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00" windowHeight="8565" tabRatio="457" firstSheet="8" activeTab="8"/>
  </bookViews>
  <sheets>
    <sheet name="Project_SF TIS" sheetId="1" r:id="rId1"/>
    <sheet name="Project_NPO" sheetId="2" r:id="rId2"/>
    <sheet name="Project_MS" sheetId="3" r:id="rId3"/>
    <sheet name="Project_national" sheetId="4" r:id="rId4"/>
    <sheet name="Project_SmartFren" sheetId="5" r:id="rId5"/>
    <sheet name="Project_XL" sheetId="6" r:id="rId6"/>
    <sheet name="Project_HCPT" sheetId="7" r:id="rId7"/>
    <sheet name="Project_SISINDO" sheetId="8" r:id="rId8"/>
    <sheet name="Project_Telkomsel" sheetId="9" r:id="rId9"/>
    <sheet name="Project_Indosat" sheetId="10" r:id="rId10"/>
    <sheet name="Project_Support Admin" sheetId="11" r:id="rId11"/>
    <sheet name="Shadowing FnC" sheetId="12" r:id="rId12"/>
    <sheet name="FRESENIUS" sheetId="13" r:id="rId13"/>
    <sheet name="GSM TOWER" sheetId="14" r:id="rId14"/>
    <sheet name="ESERVGLOBAL" sheetId="15" r:id="rId15"/>
    <sheet name="Kaltim Methanol" sheetId="16" r:id="rId16"/>
    <sheet name="LippoMall" sheetId="17" r:id="rId17"/>
    <sheet name="WINCOR" sheetId="18" r:id="rId18"/>
    <sheet name="BEIERS" sheetId="19" r:id="rId19"/>
    <sheet name="GTA" sheetId="20" r:id="rId20"/>
    <sheet name="GTSI" sheetId="21" r:id="rId21"/>
    <sheet name="Kantar" sheetId="22" r:id="rId22"/>
    <sheet name="TNS" sheetId="23" r:id="rId23"/>
    <sheet name="Microsoft" sheetId="24" r:id="rId24"/>
    <sheet name="TNS Mobile HMD" sheetId="25" r:id="rId25"/>
    <sheet name="Allen &amp; Overy" sheetId="26" r:id="rId26"/>
    <sheet name="PEFINDO" sheetId="27" r:id="rId27"/>
    <sheet name="J&amp;J" sheetId="28" r:id="rId28"/>
    <sheet name="IHI" sheetId="29" r:id="rId29"/>
    <sheet name="Thamrin9" sheetId="30" r:id="rId30"/>
    <sheet name="Mondelez" sheetId="31" r:id="rId31"/>
    <sheet name="FJI" sheetId="32" r:id="rId32"/>
    <sheet name="Samsung" sheetId="33" r:id="rId33"/>
    <sheet name="DNOW" sheetId="34" r:id="rId34"/>
    <sheet name="LENOVO" sheetId="35" r:id="rId35"/>
    <sheet name="Marubeni" sheetId="36" r:id="rId36"/>
    <sheet name="Mundi" sheetId="37" r:id="rId37"/>
    <sheet name="Asahi" sheetId="38" r:id="rId38"/>
    <sheet name="PROTEL" sheetId="39" r:id="rId39"/>
  </sheets>
  <externalReferences>
    <externalReference r:id="rId40"/>
    <externalReference r:id="rId41"/>
    <externalReference r:id="rId42"/>
    <externalReference r:id="rId43"/>
  </externalReferences>
  <definedNames>
    <definedName name="_xlnm._FilterDatabase" localSheetId="6" hidden="1">Project_HCPT!$B$4:$BZ$76</definedName>
    <definedName name="_xlnm._FilterDatabase" localSheetId="9" hidden="1">Project_Indosat!$A$4:$BK$20</definedName>
    <definedName name="_xlnm.Print_Titles" localSheetId="13">'GSM TOWER'!$A:C</definedName>
    <definedName name="_xlnm._FilterDatabase" localSheetId="17" hidden="1">WINCOR!$A$5:$AR$197</definedName>
    <definedName name="_xlnm.Print_Titles" localSheetId="22">TNS!$12:13</definedName>
    <definedName name="_xlnm._FilterDatabase" localSheetId="22" hidden="1">TNS!$A$13:$BN$48</definedName>
    <definedName name="_xlnm._FilterDatabase" localSheetId="27" hidden="1">'J&amp;J'!$A$12:$AO$86</definedName>
    <definedName name="_xlnm._FilterDatabase" localSheetId="29" hidden="1">Thamrin9!$A$13:$AQ$27</definedName>
    <definedName name="_xlnm._FilterDatabase" localSheetId="32" hidden="1">Samsung!$A$5:$AX$93</definedName>
    <definedName name="_xlnm.Print_Titles" localSheetId="34">LENOVO!$A:D</definedName>
    <definedName name="_xlnm._FilterDatabase" localSheetId="37" hidden="1">Asahi!$A$13:$AD$56</definedName>
    <definedName name="_xlnm._FilterDatabase" localSheetId="18" hidden="1">BEIERS!$A$13:$BH$23</definedName>
    <definedName name="_xlnm._FilterDatabase" localSheetId="31" hidden="1">FJI!$A$13:$AN$32</definedName>
    <definedName name="_xlnm._FilterDatabase" localSheetId="13" hidden="1">'GSM TOWER'!$A$8:$AN$8</definedName>
    <definedName name="_xlnm._FilterDatabase" localSheetId="19" hidden="1">GTA!$V$12:$AK$29</definedName>
    <definedName name="_xlnm._FilterDatabase" localSheetId="20" hidden="1">GTSI!$K$12:$Z$18</definedName>
    <definedName name="_xlnm._FilterDatabase" localSheetId="34" hidden="1">LENOVO!$A$10:$AM$32</definedName>
    <definedName name="_xlnm._FilterDatabase" localSheetId="16" hidden="1">LippoMall!$A$5:$AD$26</definedName>
    <definedName name="_xlnm._FilterDatabase" localSheetId="23" hidden="1">Microsoft!$A$12:$AK$14</definedName>
    <definedName name="_xlnm._FilterDatabase" localSheetId="30" hidden="1">Mondelez!$A$13:$DZ$40</definedName>
    <definedName name="_xlnm._FilterDatabase" localSheetId="36" hidden="1">Mundi!$A$13:$AC$23</definedName>
    <definedName name="_xlnm._FilterDatabase" localSheetId="2" hidden="1">Project_MS!$B$4:$AS$5</definedName>
    <definedName name="_xlnm._FilterDatabase" localSheetId="3" hidden="1">Project_national!$B$4:$BA$4</definedName>
    <definedName name="_xlnm._FilterDatabase" localSheetId="1" hidden="1">Project_NPO!$A$4:$AU$58</definedName>
    <definedName name="_xlnm._FilterDatabase" localSheetId="0" hidden="1">'Project_SF TIS'!$B$3:$BD$253</definedName>
    <definedName name="_xlnm._FilterDatabase" localSheetId="7" hidden="1">Project_SISINDO!$B$4:$AR$4</definedName>
    <definedName name="_xlnm._FilterDatabase" localSheetId="4" hidden="1">Project_SmartFren!$B$4:$BK$7</definedName>
    <definedName name="_xlnm._FilterDatabase" localSheetId="10" hidden="1">'Project_Support Admin'!$A$4:$BD$24</definedName>
    <definedName name="_xlnm._FilterDatabase" localSheetId="8" hidden="1">Project_Telkomsel!$A$4:$BJ$37</definedName>
    <definedName name="_xlnm._FilterDatabase" localSheetId="5" hidden="1">Project_XL!$B$4:$AJ$4</definedName>
    <definedName name="_xlnm._FilterDatabase" localSheetId="38" hidden="1">PROTEL!$A$11:$Y$11</definedName>
    <definedName name="_xlnm._FilterDatabase" localSheetId="24" hidden="1">'TNS Mobile HMD'!$A$12:$Y$19</definedName>
    <definedName name="CompLevel">'[1]Drop down lists'!$I$4:$I$12</definedName>
    <definedName name="end_date" localSheetId="14">#REF!</definedName>
    <definedName name="end_date" localSheetId="12">#REF!</definedName>
    <definedName name="end_date" localSheetId="13">#REF!</definedName>
    <definedName name="end_date" localSheetId="15">#REF!</definedName>
    <definedName name="Gender">[2]Sheet6!$A$1:$A$2</definedName>
    <definedName name="yes">[2]Sheet6!$C$1:$C$2</definedName>
  </definedNames>
  <calcPr calcId="144525" concurrentCalc="0"/>
</workbook>
</file>

<file path=xl/comments1.xml><?xml version="1.0" encoding="utf-8"?>
<comments xmlns="http://schemas.openxmlformats.org/spreadsheetml/2006/main">
  <authors>
    <author>Astrid</author>
    <author>VIKA</author>
  </authors>
  <commentList>
    <comment ref="AP226" authorId="0">
      <text>
        <r>
          <rPr>
            <sz val="9"/>
            <color indexed="81"/>
            <rFont val="宋体"/>
            <charset val="134"/>
          </rPr>
          <t xml:space="preserve">Astrid:
project allw</t>
        </r>
      </text>
    </comment>
    <comment ref="AL335" authorId="1">
      <text>
        <r>
          <rPr>
            <sz val="9"/>
            <color indexed="81"/>
            <rFont val="宋体"/>
            <charset val="134"/>
          </rPr>
          <t xml:space="preserve">VIKA:
POSISI ALLOW</t>
        </r>
      </text>
    </comment>
  </commentList>
</comments>
</file>

<file path=xl/comments10.xml><?xml version="1.0" encoding="utf-8"?>
<comments xmlns="http://schemas.openxmlformats.org/spreadsheetml/2006/main">
  <authors>
    <author>Astrid</author>
    <author>user</author>
  </authors>
  <commentList>
    <comment ref="H17" authorId="0">
      <text>
        <r>
          <rPr>
            <sz val="9"/>
            <color indexed="81"/>
            <rFont val="宋体"/>
            <charset val="134"/>
          </rPr>
          <t xml:space="preserve">Astrid:
join date 1 mei 2013</t>
        </r>
      </text>
    </comment>
    <comment ref="I35" authorId="1">
      <text>
        <r>
          <rPr>
            <sz val="9"/>
            <color indexed="81"/>
            <rFont val="宋体"/>
            <charset val="134"/>
          </rPr>
          <t xml:space="preserve">user:
Extension
1. 20 Nov'13 - 11 Jan'13</t>
        </r>
      </text>
    </comment>
  </commentList>
</comments>
</file>

<file path=xl/comments11.xml><?xml version="1.0" encoding="utf-8"?>
<comments xmlns="http://schemas.openxmlformats.org/spreadsheetml/2006/main">
  <authors>
    <author>VIKA</author>
    <author>Astrid</author>
  </authors>
  <commentList>
    <comment ref="M14" authorId="0">
      <text>
        <r>
          <rPr>
            <sz val="9"/>
            <color indexed="81"/>
            <rFont val="宋体"/>
            <charset val="134"/>
          </rPr>
          <t xml:space="preserve">VIKA:
info e_29/1/2016
belum dibuat, masih mei habisnya</t>
        </r>
      </text>
    </comment>
    <comment ref="AC15" authorId="0">
      <text>
        <r>
          <rPr>
            <sz val="9"/>
            <color indexed="81"/>
            <rFont val="宋体"/>
            <charset val="134"/>
          </rPr>
          <t xml:space="preserve">VIKA:
Prev =&gt; Pd. Bulak Jl. B Rt/Rw.002/002 Cinangka, Sawangan, Kota Depok</t>
        </r>
      </text>
    </comment>
    <comment ref="N32" authorId="1">
      <text>
        <r>
          <rPr>
            <sz val="9"/>
            <color indexed="81"/>
            <rFont val="宋体"/>
            <charset val="134"/>
          </rPr>
          <t xml:space="preserve">Astrid:
revisi (shorten)
e_11/01/2017</t>
        </r>
      </text>
    </comment>
  </commentList>
</comments>
</file>

<file path=xl/comments12.xml><?xml version="1.0" encoding="utf-8"?>
<comments xmlns="http://schemas.openxmlformats.org/spreadsheetml/2006/main">
  <authors>
    <author>vika</author>
    <author>VIKA</author>
    <author>user</author>
  </authors>
  <commentList>
    <comment ref="N26" authorId="0">
      <text>
        <r>
          <rPr>
            <sz val="9"/>
            <color indexed="81"/>
            <rFont val="宋体"/>
            <charset val="134"/>
          </rPr>
          <t xml:space="preserve">vika:
belum</t>
        </r>
      </text>
    </comment>
    <comment ref="M28" authorId="0">
      <text>
        <r>
          <rPr>
            <sz val="9"/>
            <color indexed="81"/>
            <rFont val="宋体"/>
            <charset val="134"/>
          </rPr>
          <t xml:space="preserve">vika:
PKWT 2 not yet print
e_21/8/2015</t>
        </r>
      </text>
    </comment>
    <comment ref="AA36" authorId="1">
      <text>
        <r>
          <rPr>
            <sz val="9"/>
            <color indexed="81"/>
            <rFont val="宋体"/>
            <charset val="134"/>
          </rPr>
          <t xml:space="preserve">VIKA:
e_25/2/2016 prev 20 rb
</t>
        </r>
      </text>
    </comment>
    <comment ref="AA37" authorId="1">
      <text>
        <r>
          <rPr>
            <sz val="9"/>
            <color indexed="81"/>
            <rFont val="宋体"/>
            <charset val="134"/>
          </rPr>
          <t xml:space="preserve">VIKA:
e_25/2/2016 prev 20 rb
</t>
        </r>
      </text>
    </comment>
    <comment ref="Q57" authorId="1">
      <text>
        <r>
          <rPr>
            <sz val="9"/>
            <color indexed="81"/>
            <rFont val="宋体"/>
            <charset val="134"/>
          </rPr>
          <t xml:space="preserve">VIKA:
extend, prev 12 Jun '17</t>
        </r>
      </text>
    </comment>
    <comment ref="J58" authorId="1">
      <text>
        <r>
          <rPr>
            <sz val="9"/>
            <color indexed="81"/>
            <rFont val="宋体"/>
            <charset val="134"/>
          </rPr>
          <t xml:space="preserve">VIKA:
revisi I &amp; II</t>
        </r>
      </text>
    </comment>
    <comment ref="J59" authorId="1">
      <text>
        <r>
          <rPr>
            <sz val="9"/>
            <color indexed="81"/>
            <rFont val="宋体"/>
            <charset val="134"/>
          </rPr>
          <t xml:space="preserve">VIKA:
revisi I &amp; II</t>
        </r>
      </text>
    </comment>
    <comment ref="H63" authorId="2">
      <text>
        <r>
          <rPr>
            <sz val="9"/>
            <color indexed="81"/>
            <rFont val="宋体"/>
            <charset val="134"/>
          </rPr>
          <t xml:space="preserve">user:
new title per 14'Nov'13 prev. Finance Associate</t>
        </r>
      </text>
    </comment>
  </commentList>
</comments>
</file>

<file path=xl/comments13.xml><?xml version="1.0" encoding="utf-8"?>
<comments xmlns="http://schemas.openxmlformats.org/spreadsheetml/2006/main">
  <authors>
    <author>vika</author>
    <author>VIKA</author>
  </authors>
  <commentList>
    <comment ref="Z27" authorId="0">
      <text>
        <r>
          <rPr>
            <sz val="9"/>
            <color indexed="81"/>
            <rFont val="宋体"/>
            <charset val="134"/>
          </rPr>
          <t xml:space="preserve">vika:
variable based on KPI achievement</t>
        </r>
      </text>
    </comment>
    <comment ref="P29" authorId="1">
      <text>
        <r>
          <rPr>
            <sz val="9"/>
            <color indexed="81"/>
            <rFont val="宋体"/>
            <charset val="134"/>
          </rPr>
          <t xml:space="preserve">VIKA:
di extend email 12/11/2015</t>
        </r>
      </text>
    </comment>
    <comment ref="X31" authorId="0">
      <text>
        <r>
          <rPr>
            <sz val="9"/>
            <color indexed="81"/>
            <rFont val="宋体"/>
            <charset val="134"/>
          </rPr>
          <t xml:space="preserve">vika:
Vehicle Rent </t>
        </r>
      </text>
    </comment>
    <comment ref="X32" authorId="0">
      <text>
        <r>
          <rPr>
            <sz val="9"/>
            <color indexed="81"/>
            <rFont val="宋体"/>
            <charset val="134"/>
          </rPr>
          <t xml:space="preserve">vika:
Vehicle Rent </t>
        </r>
      </text>
    </comment>
    <comment ref="X33" authorId="0">
      <text>
        <r>
          <rPr>
            <sz val="9"/>
            <color indexed="81"/>
            <rFont val="宋体"/>
            <charset val="134"/>
          </rPr>
          <t xml:space="preserve">vika:
Vehicle Rent </t>
        </r>
      </text>
    </comment>
  </commentList>
</comments>
</file>

<file path=xl/comments14.xml><?xml version="1.0" encoding="utf-8"?>
<comments xmlns="http://schemas.openxmlformats.org/spreadsheetml/2006/main">
  <authors>
    <author>vika</author>
  </authors>
  <commentList>
    <comment ref="L15" authorId="0">
      <text>
        <r>
          <rPr>
            <sz val="9"/>
            <color indexed="81"/>
            <rFont val="宋体"/>
            <charset val="134"/>
          </rPr>
          <t xml:space="preserve">vika:
Vehicle Rent </t>
        </r>
      </text>
    </comment>
    <comment ref="L26" authorId="0">
      <text>
        <r>
          <rPr>
            <sz val="9"/>
            <color indexed="81"/>
            <rFont val="宋体"/>
            <charset val="134"/>
          </rPr>
          <t xml:space="preserve">vika:
Vehicle Rent </t>
        </r>
      </text>
    </comment>
  </commentList>
</comments>
</file>

<file path=xl/comments15.xml><?xml version="1.0" encoding="utf-8"?>
<comments xmlns="http://schemas.openxmlformats.org/spreadsheetml/2006/main">
  <authors>
    <author>vika</author>
    <author>VIKA</author>
  </authors>
  <commentList>
    <comment ref="K25" authorId="0">
      <text>
        <r>
          <rPr>
            <sz val="9"/>
            <color indexed="81"/>
            <rFont val="宋体"/>
            <charset val="134"/>
          </rPr>
          <t xml:space="preserve">vika:
8 Juni '15 email</t>
        </r>
      </text>
    </comment>
    <comment ref="H27" authorId="1">
      <text>
        <r>
          <rPr>
            <sz val="9"/>
            <color indexed="81"/>
            <rFont val="宋体"/>
            <charset val="134"/>
          </rPr>
          <t xml:space="preserve">VIKA:
revisi join, prev 5 Okt</t>
        </r>
      </text>
    </comment>
  </commentList>
</comments>
</file>

<file path=xl/comments16.xml><?xml version="1.0" encoding="utf-8"?>
<comments xmlns="http://schemas.openxmlformats.org/spreadsheetml/2006/main">
  <authors>
    <author>Astrid</author>
  </authors>
  <commentList>
    <comment ref="Q14" authorId="0">
      <text>
        <r>
          <rPr>
            <sz val="9"/>
            <color indexed="81"/>
            <rFont val="宋体"/>
            <charset val="134"/>
          </rPr>
          <t xml:space="preserve">Astrid:
prev 2 feb '18 dijadiin satu</t>
        </r>
      </text>
    </comment>
  </commentList>
</comments>
</file>

<file path=xl/comments17.xml><?xml version="1.0" encoding="utf-8"?>
<comments xmlns="http://schemas.openxmlformats.org/spreadsheetml/2006/main">
  <authors>
    <author>Astrid</author>
    <author>VIKA</author>
  </authors>
  <commentList>
    <comment ref="K15" authorId="0">
      <text>
        <r>
          <rPr>
            <sz val="9"/>
            <color indexed="81"/>
            <rFont val="宋体"/>
            <charset val="134"/>
          </rPr>
          <t xml:space="preserve">Astrid:
re join after break</t>
        </r>
      </text>
    </comment>
    <comment ref="K80" authorId="1">
      <text>
        <r>
          <rPr>
            <sz val="9"/>
            <color indexed="81"/>
            <rFont val="宋体"/>
            <charset val="134"/>
          </rPr>
          <t xml:space="preserve">VIKA:
revisi join prev 1 Nov e_6/11/2017</t>
        </r>
      </text>
    </comment>
    <comment ref="W127" authorId="0">
      <text>
        <r>
          <rPr>
            <sz val="9"/>
            <color indexed="81"/>
            <rFont val="宋体"/>
            <charset val="134"/>
          </rPr>
          <t xml:space="preserve">Astrid:
re join after break</t>
        </r>
      </text>
    </comment>
  </commentList>
</comments>
</file>

<file path=xl/comments18.xml><?xml version="1.0" encoding="utf-8"?>
<comments xmlns="http://schemas.openxmlformats.org/spreadsheetml/2006/main">
  <authors>
    <author>vika</author>
  </authors>
  <commentList>
    <comment ref="G22" authorId="0">
      <text>
        <r>
          <rPr>
            <sz val="9"/>
            <color indexed="81"/>
            <rFont val="宋体"/>
            <charset val="134"/>
          </rPr>
          <t xml:space="preserve">vika:
eff 1/8/2014 prev GA Staff</t>
        </r>
      </text>
    </comment>
  </commentList>
</comments>
</file>

<file path=xl/comments19.xml><?xml version="1.0" encoding="utf-8"?>
<comments xmlns="http://schemas.openxmlformats.org/spreadsheetml/2006/main">
  <authors>
    <author>vika</author>
    <author>VIKA</author>
    <author>Astrid</author>
  </authors>
  <commentList>
    <comment ref="BV14" authorId="0">
      <text>
        <r>
          <rPr>
            <sz val="9"/>
            <color indexed="81"/>
            <rFont val="宋体"/>
            <charset val="134"/>
          </rPr>
          <t xml:space="preserve">vika:
23/5/2014
</t>
        </r>
      </text>
    </comment>
    <comment ref="DS14" authorId="1">
      <text>
        <r>
          <rPr>
            <sz val="9"/>
            <color indexed="81"/>
            <rFont val="宋体"/>
            <charset val="134"/>
          </rPr>
          <t xml:space="preserve">VIKA:
paid gaji maret 2018</t>
        </r>
      </text>
    </comment>
    <comment ref="CA15" authorId="0">
      <text>
        <r>
          <rPr>
            <sz val="9"/>
            <color indexed="81"/>
            <rFont val="宋体"/>
            <charset val="134"/>
          </rPr>
          <t xml:space="preserve">vika:
5/10/2014</t>
        </r>
      </text>
    </comment>
    <comment ref="BW16" authorId="0">
      <text>
        <r>
          <rPr>
            <sz val="9"/>
            <color indexed="81"/>
            <rFont val="宋体"/>
            <charset val="134"/>
          </rPr>
          <t xml:space="preserve">vika:
24/5, 23/5</t>
        </r>
      </text>
    </comment>
    <comment ref="CG16" authorId="0">
      <text>
        <r>
          <rPr>
            <sz val="9"/>
            <color indexed="81"/>
            <rFont val="宋体"/>
            <charset val="134"/>
          </rPr>
          <t xml:space="preserve">vika:
kw 14/2, 19/2, 22/2</t>
        </r>
      </text>
    </comment>
    <comment ref="T17" authorId="1">
      <text>
        <r>
          <rPr>
            <sz val="9"/>
            <color indexed="81"/>
            <rFont val="宋体"/>
            <charset val="134"/>
          </rPr>
          <t xml:space="preserve">VIKA:
extend 1 year, verbal bu liez
</t>
        </r>
      </text>
    </comment>
    <comment ref="T18" authorId="1">
      <text>
        <r>
          <rPr>
            <sz val="9"/>
            <color indexed="81"/>
            <rFont val="宋体"/>
            <charset val="134"/>
          </rPr>
          <t xml:space="preserve">VIKA:
extend 1 year, verbal bu liez
</t>
        </r>
      </text>
    </comment>
    <comment ref="DH19" authorId="1">
      <text>
        <r>
          <rPr>
            <sz val="9"/>
            <color indexed="81"/>
            <rFont val="宋体"/>
            <charset val="134"/>
          </rPr>
          <t xml:space="preserve">VIKA:
optik 2/4/2017 paid april'17
</t>
        </r>
      </text>
    </comment>
    <comment ref="DN19" authorId="1">
      <text>
        <r>
          <rPr>
            <sz val="9"/>
            <color indexed="81"/>
            <rFont val="宋体"/>
            <charset val="134"/>
          </rPr>
          <t xml:space="preserve">VIKA:
KW 23/9/2017
TOTAL 2.877.825</t>
        </r>
      </text>
    </comment>
    <comment ref="DM20" authorId="1">
      <text>
        <r>
          <rPr>
            <sz val="9"/>
            <color indexed="81"/>
            <rFont val="宋体"/>
            <charset val="134"/>
          </rPr>
          <t xml:space="preserve">VIKA:
17/9/2017 + 17/9/2017 + 18/09/2017</t>
        </r>
      </text>
    </comment>
    <comment ref="DF21" authorId="1">
      <text>
        <r>
          <rPr>
            <sz val="9"/>
            <color indexed="81"/>
            <rFont val="宋体"/>
            <charset val="134"/>
          </rPr>
          <t xml:space="preserve">VIKA:
14/2/2017 paid feb 2017</t>
        </r>
      </text>
    </comment>
    <comment ref="DP21" authorId="1">
      <text>
        <r>
          <rPr>
            <sz val="9"/>
            <color indexed="81"/>
            <rFont val="宋体"/>
            <charset val="134"/>
          </rPr>
          <t xml:space="preserve">VIKA:
125000+700000+400000=1225000
SISA MED JAN - DES 2017</t>
        </r>
      </text>
    </comment>
    <comment ref="K23" authorId="1">
      <text>
        <r>
          <rPr>
            <sz val="9"/>
            <color indexed="81"/>
            <rFont val="宋体"/>
            <charset val="134"/>
          </rPr>
          <t xml:space="preserve">VIKA:
extend 1 year, verbal bu liez
</t>
        </r>
      </text>
    </comment>
    <comment ref="Z23" authorId="2">
      <text>
        <r>
          <rPr>
            <sz val="9"/>
            <color indexed="81"/>
            <rFont val="宋体"/>
            <charset val="134"/>
          </rPr>
          <t xml:space="preserve">Astrid:
NETT</t>
        </r>
      </text>
    </comment>
    <comment ref="AD24" authorId="1">
      <text>
        <r>
          <rPr>
            <sz val="9"/>
            <color indexed="81"/>
            <rFont val="宋体"/>
            <charset val="134"/>
          </rPr>
          <t xml:space="preserve">VIKA:
meal &amp; transport</t>
        </r>
      </text>
    </comment>
    <comment ref="K53" authorId="1">
      <text>
        <r>
          <rPr>
            <sz val="9"/>
            <color indexed="81"/>
            <rFont val="宋体"/>
            <charset val="134"/>
          </rPr>
          <t xml:space="preserve">VIKA:
revisi e_13/5/2016 prev 17/3/2017</t>
        </r>
      </text>
    </comment>
    <comment ref="K58" authorId="1">
      <text>
        <r>
          <rPr>
            <sz val="9"/>
            <color indexed="81"/>
            <rFont val="宋体"/>
            <charset val="134"/>
          </rPr>
          <t xml:space="preserve">VIKA:
revisi e_13/5/2016 prev 15/3/2017</t>
        </r>
      </text>
    </comment>
    <comment ref="DK59" authorId="1">
      <text>
        <r>
          <rPr>
            <sz val="9"/>
            <color indexed="81"/>
            <rFont val="宋体"/>
            <charset val="134"/>
          </rPr>
          <t xml:space="preserve">VIKA:
KW 8/7/2017 + </t>
        </r>
      </text>
    </comment>
  </commentList>
</comments>
</file>

<file path=xl/comments2.xml><?xml version="1.0" encoding="utf-8"?>
<comments xmlns="http://schemas.openxmlformats.org/spreadsheetml/2006/main">
  <authors>
    <author>VIKA</author>
  </authors>
  <commentList>
    <comment ref="AC29" authorId="0">
      <text>
        <r>
          <rPr>
            <sz val="9"/>
            <color indexed="81"/>
            <rFont val="宋体"/>
            <charset val="134"/>
          </rPr>
          <t xml:space="preserve">VIKA:
DRIVER ALLOWANCE</t>
        </r>
      </text>
    </comment>
    <comment ref="D69" authorId="0">
      <text>
        <r>
          <rPr>
            <sz val="9"/>
            <color indexed="81"/>
            <rFont val="宋体"/>
            <charset val="134"/>
          </rPr>
          <t xml:space="preserve">VIKA:
prev nama SURYANI
</t>
        </r>
      </text>
    </comment>
    <comment ref="D83" authorId="0">
      <text>
        <r>
          <rPr>
            <sz val="9"/>
            <color indexed="81"/>
            <rFont val="宋体"/>
            <charset val="134"/>
          </rPr>
          <t xml:space="preserve">VIKA:
IMAM DJAKWAN</t>
        </r>
      </text>
    </comment>
  </commentList>
</comments>
</file>

<file path=xl/comments20.xml><?xml version="1.0" encoding="utf-8"?>
<comments xmlns="http://schemas.openxmlformats.org/spreadsheetml/2006/main">
  <authors>
    <author>vika</author>
    <author>Astrid</author>
    <author>VIKA</author>
  </authors>
  <commentList>
    <comment ref="Y14" authorId="0">
      <text>
        <r>
          <rPr>
            <sz val="9"/>
            <color indexed="81"/>
            <rFont val="宋体"/>
            <charset val="134"/>
          </rPr>
          <t xml:space="preserve">vika:
eff 1 jan 2015, shift leader</t>
        </r>
      </text>
    </comment>
    <comment ref="M43" authorId="1">
      <text>
        <r>
          <rPr>
            <sz val="9"/>
            <color indexed="81"/>
            <rFont val="宋体"/>
            <charset val="134"/>
          </rPr>
          <t xml:space="preserve">Astrid:
pkwt II belum dibuat, tunggu ump baru</t>
        </r>
      </text>
    </comment>
    <comment ref="H44" authorId="2">
      <text>
        <r>
          <rPr>
            <sz val="9"/>
            <color indexed="81"/>
            <rFont val="宋体"/>
            <charset val="134"/>
          </rPr>
          <t xml:space="preserve">VIKA:
info email pak bayu 18/12/2015
prev 26 Nov 2015</t>
        </r>
      </text>
    </comment>
    <comment ref="M45" authorId="1">
      <text>
        <r>
          <rPr>
            <sz val="9"/>
            <color indexed="81"/>
            <rFont val="宋体"/>
            <charset val="134"/>
          </rPr>
          <t xml:space="preserve">Astrid:
pkwt II belum dibuat, tunggu ump baru</t>
        </r>
      </text>
    </comment>
  </commentList>
</comments>
</file>

<file path=xl/comments21.xml><?xml version="1.0" encoding="utf-8"?>
<comments xmlns="http://schemas.openxmlformats.org/spreadsheetml/2006/main">
  <authors>
    <author>Astrid</author>
    <author>VIKA</author>
  </authors>
  <commentList>
    <comment ref="O13" authorId="0">
      <text>
        <r>
          <rPr>
            <sz val="9"/>
            <color indexed="81"/>
            <rFont val="宋体"/>
            <charset val="134"/>
          </rPr>
          <t xml:space="preserve">Astrid:
mengikuti batas master agreement di 12 April 2018</t>
        </r>
      </text>
    </comment>
    <comment ref="O37" authorId="0">
      <text>
        <r>
          <rPr>
            <sz val="9"/>
            <color indexed="81"/>
            <rFont val="宋体"/>
            <charset val="134"/>
          </rPr>
          <t xml:space="preserve">Astrid:
revisi amandemen karena hilang &amp; belum kembali ke Indo HR prev 12 Apr 18</t>
        </r>
      </text>
    </comment>
    <comment ref="M46" authorId="1">
      <text>
        <r>
          <rPr>
            <sz val="9"/>
            <color indexed="81"/>
            <rFont val="宋体"/>
            <charset val="134"/>
          </rPr>
          <t xml:space="preserve">VIKA:
PREV JOIN 14 SEP'17</t>
        </r>
      </text>
    </comment>
    <comment ref="N58" authorId="1">
      <text>
        <r>
          <rPr>
            <sz val="9"/>
            <color indexed="81"/>
            <rFont val="宋体"/>
            <charset val="134"/>
          </rPr>
          <t xml:space="preserve">VIKA:
REV PREV 12/4/2018</t>
        </r>
      </text>
    </comment>
    <comment ref="N59" authorId="1">
      <text>
        <r>
          <rPr>
            <sz val="9"/>
            <color indexed="81"/>
            <rFont val="宋体"/>
            <charset val="134"/>
          </rPr>
          <t xml:space="preserve">VIKA:
REV PREV 16/4/2018
</t>
        </r>
      </text>
    </comment>
    <comment ref="C69" authorId="1">
      <text>
        <r>
          <rPr>
            <sz val="9"/>
            <color indexed="81"/>
            <rFont val="宋体"/>
            <charset val="134"/>
          </rPr>
          <t xml:space="preserve">VIKA:
Ignatius Febrian
</t>
        </r>
      </text>
    </comment>
    <comment ref="I155" authorId="1">
      <text>
        <r>
          <rPr>
            <sz val="9"/>
            <color indexed="81"/>
            <rFont val="宋体"/>
            <charset val="134"/>
          </rPr>
          <t xml:space="preserve">VIKA:
e_3/8/2017
</t>
        </r>
      </text>
    </comment>
    <comment ref="AA199" authorId="1">
      <text>
        <r>
          <rPr>
            <sz val="9"/>
            <color indexed="81"/>
            <rFont val="宋体"/>
            <charset val="134"/>
          </rPr>
          <t xml:space="preserve">VIKA:
medical allowance</t>
        </r>
      </text>
    </comment>
    <comment ref="AB199" authorId="1">
      <text>
        <r>
          <rPr>
            <sz val="9"/>
            <color indexed="81"/>
            <rFont val="宋体"/>
            <charset val="134"/>
          </rPr>
          <t xml:space="preserve">VIKA:
parkir allowance</t>
        </r>
      </text>
    </comment>
    <comment ref="J209" authorId="1">
      <text>
        <r>
          <rPr>
            <sz val="9"/>
            <color indexed="81"/>
            <rFont val="宋体"/>
            <charset val="134"/>
          </rPr>
          <t xml:space="preserve">VIKA:
prev Retail Sales Marketing Officer (RSMO) Manado</t>
        </r>
      </text>
    </comment>
  </commentList>
</comments>
</file>

<file path=xl/comments22.xml><?xml version="1.0" encoding="utf-8"?>
<comments xmlns="http://schemas.openxmlformats.org/spreadsheetml/2006/main">
  <authors>
    <author>reza</author>
  </authors>
  <commentList>
    <comment ref="R22" authorId="0">
      <text>
        <r>
          <rPr>
            <sz val="9"/>
            <color indexed="81"/>
            <rFont val="宋体"/>
            <charset val="134"/>
          </rPr>
          <t xml:space="preserve">reza:
NET</t>
        </r>
      </text>
    </comment>
    <comment ref="R23" authorId="0">
      <text>
        <r>
          <rPr>
            <sz val="9"/>
            <color indexed="81"/>
            <rFont val="宋体"/>
            <charset val="134"/>
          </rPr>
          <t xml:space="preserve">reza:
NET</t>
        </r>
      </text>
    </comment>
  </commentList>
</comments>
</file>

<file path=xl/comments23.xml><?xml version="1.0" encoding="utf-8"?>
<comments xmlns="http://schemas.openxmlformats.org/spreadsheetml/2006/main">
  <authors>
    <author>VIKA</author>
  </authors>
  <commentList>
    <comment ref="L30" authorId="0">
      <text>
        <r>
          <rPr>
            <sz val="9"/>
            <color indexed="81"/>
            <rFont val="宋体"/>
            <charset val="134"/>
          </rPr>
          <t xml:space="preserve">VIKA:
revisi prev 26 Oct '17 e_15/12/2017</t>
        </r>
      </text>
    </comment>
    <comment ref="W30" authorId="0">
      <text>
        <r>
          <rPr>
            <sz val="9"/>
            <color indexed="81"/>
            <rFont val="宋体"/>
            <charset val="134"/>
          </rPr>
          <t xml:space="preserve">VIKA:
TUNJANGAN INSENTIF</t>
        </r>
      </text>
    </comment>
    <comment ref="L31" authorId="0">
      <text>
        <r>
          <rPr>
            <sz val="9"/>
            <color indexed="81"/>
            <rFont val="宋体"/>
            <charset val="134"/>
          </rPr>
          <t xml:space="preserve">VIKA:
revisi prev 26 Oct '17 e_15/12/2017</t>
        </r>
      </text>
    </comment>
    <comment ref="W31" authorId="0">
      <text>
        <r>
          <rPr>
            <sz val="9"/>
            <color indexed="81"/>
            <rFont val="宋体"/>
            <charset val="134"/>
          </rPr>
          <t xml:space="preserve">VIKA:
TUNJANGAN INSENTIF</t>
        </r>
      </text>
    </comment>
    <comment ref="X52" authorId="0">
      <text>
        <r>
          <rPr>
            <sz val="9"/>
            <color indexed="81"/>
            <rFont val="宋体"/>
            <charset val="134"/>
          </rPr>
          <t xml:space="preserve">VIKA:
melampirkan kwitansi, seperti klaim BTR</t>
        </r>
      </text>
    </comment>
  </commentList>
</comments>
</file>

<file path=xl/comments24.xml><?xml version="1.0" encoding="utf-8"?>
<comments xmlns="http://schemas.openxmlformats.org/spreadsheetml/2006/main">
  <authors>
    <author>Astrid</author>
  </authors>
  <commentList>
    <comment ref="I57" authorId="0">
      <text>
        <r>
          <rPr>
            <sz val="9"/>
            <color indexed="81"/>
            <rFont val="宋体"/>
            <charset val="134"/>
          </rPr>
          <t xml:space="preserve">Astrid:
revisi join date karena tidak ada rekening
prev 1 Mei 2018</t>
        </r>
      </text>
    </comment>
  </commentList>
</comments>
</file>

<file path=xl/comments3.xml><?xml version="1.0" encoding="utf-8"?>
<comments xmlns="http://schemas.openxmlformats.org/spreadsheetml/2006/main">
  <authors>
    <author>VIKA</author>
    <author>Astrid</author>
  </authors>
  <commentList>
    <comment ref="AI5" authorId="0">
      <text>
        <r>
          <rPr>
            <sz val="9"/>
            <color indexed="81"/>
            <rFont val="宋体"/>
            <charset val="134"/>
          </rPr>
          <t xml:space="preserve">VIKA:
prev end 31 Des'17, not print yet</t>
        </r>
      </text>
    </comment>
    <comment ref="AM21" authorId="1">
      <text>
        <r>
          <rPr>
            <sz val="9"/>
            <color indexed="81"/>
            <rFont val="宋体"/>
            <charset val="134"/>
          </rPr>
          <t xml:space="preserve">Astrid:
NETT</t>
        </r>
      </text>
    </comment>
    <comment ref="AM32" authorId="1">
      <text>
        <r>
          <rPr>
            <sz val="9"/>
            <color indexed="81"/>
            <rFont val="宋体"/>
            <charset val="134"/>
          </rPr>
          <t xml:space="preserve">Astrid:
NETT
</t>
        </r>
      </text>
    </comment>
    <comment ref="AM34" authorId="1">
      <text>
        <r>
          <rPr>
            <sz val="9"/>
            <color indexed="81"/>
            <rFont val="宋体"/>
            <charset val="134"/>
          </rPr>
          <t xml:space="preserve">Astrid:
NETT
</t>
        </r>
      </text>
    </comment>
  </commentList>
</comments>
</file>

<file path=xl/comments4.xml><?xml version="1.0" encoding="utf-8"?>
<comments xmlns="http://schemas.openxmlformats.org/spreadsheetml/2006/main">
  <authors>
    <author>Astrid</author>
    <author>VIKA</author>
  </authors>
  <commentList>
    <comment ref="D6" authorId="0">
      <text>
        <r>
          <rPr>
            <sz val="9"/>
            <color indexed="81"/>
            <rFont val="宋体"/>
            <charset val="134"/>
          </rPr>
          <t xml:space="preserve">Astrid:
2323a</t>
        </r>
      </text>
    </comment>
    <comment ref="AY27" authorId="0">
      <text>
        <r>
          <rPr>
            <sz val="9"/>
            <color indexed="81"/>
            <rFont val="宋体"/>
            <charset val="134"/>
          </rPr>
          <t xml:space="preserve">Astrid:
THP = 7.457.533</t>
        </r>
      </text>
    </comment>
    <comment ref="AY32" authorId="0">
      <text>
        <r>
          <rPr>
            <sz val="9"/>
            <color indexed="81"/>
            <rFont val="宋体"/>
            <charset val="134"/>
          </rPr>
          <t xml:space="preserve">Astrid:
NETT</t>
        </r>
      </text>
    </comment>
    <comment ref="AY45" authorId="0">
      <text>
        <r>
          <rPr>
            <sz val="9"/>
            <color indexed="81"/>
            <rFont val="宋体"/>
            <charset val="134"/>
          </rPr>
          <t xml:space="preserve">Astrid:
NETT</t>
        </r>
      </text>
    </comment>
    <comment ref="AY47" authorId="0">
      <text>
        <r>
          <rPr>
            <sz val="9"/>
            <color indexed="81"/>
            <rFont val="宋体"/>
            <charset val="134"/>
          </rPr>
          <t xml:space="preserve">Astrid:
NETT</t>
        </r>
      </text>
    </comment>
    <comment ref="AY63" authorId="1">
      <text>
        <r>
          <rPr>
            <sz val="9"/>
            <color indexed="81"/>
            <rFont val="宋体"/>
            <charset val="134"/>
          </rPr>
          <t xml:space="preserve">VIKA:
NETT ALL 34 JT</t>
        </r>
      </text>
    </comment>
    <comment ref="AY68" authorId="0">
      <text>
        <r>
          <rPr>
            <sz val="9"/>
            <color indexed="81"/>
            <rFont val="宋体"/>
            <charset val="134"/>
          </rPr>
          <t xml:space="preserve">Astrid:
NETT</t>
        </r>
      </text>
    </comment>
    <comment ref="AY70" authorId="0">
      <text>
        <r>
          <rPr>
            <sz val="9"/>
            <color indexed="81"/>
            <rFont val="宋体"/>
            <charset val="134"/>
          </rPr>
          <t xml:space="preserve">Astrid:
NETT</t>
        </r>
      </text>
    </comment>
    <comment ref="BB99" authorId="1">
      <text>
        <r>
          <rPr>
            <sz val="9"/>
            <color indexed="81"/>
            <rFont val="宋体"/>
            <charset val="134"/>
          </rPr>
          <t xml:space="preserve">VIKA:
e_28/2/2017 prev 1 jt</t>
        </r>
      </text>
    </comment>
    <comment ref="H101" authorId="1">
      <text>
        <r>
          <rPr>
            <sz val="9"/>
            <color indexed="81"/>
            <rFont val="宋体"/>
            <charset val="134"/>
          </rPr>
          <t xml:space="preserve">VIKA:
minta KK / akte</t>
        </r>
      </text>
    </comment>
    <comment ref="O105" authorId="1">
      <text>
        <r>
          <rPr>
            <sz val="9"/>
            <color indexed="81"/>
            <rFont val="宋体"/>
            <charset val="134"/>
          </rPr>
          <t xml:space="preserve">VIKA:
prev 31 juli PM late info</t>
        </r>
      </text>
    </comment>
    <comment ref="AY118" authorId="0">
      <text>
        <r>
          <rPr>
            <sz val="9"/>
            <color indexed="81"/>
            <rFont val="宋体"/>
            <charset val="134"/>
          </rPr>
          <t xml:space="preserve">Astrid:
NETT</t>
        </r>
      </text>
    </comment>
    <comment ref="AY130" authorId="0">
      <text>
        <r>
          <rPr>
            <sz val="9"/>
            <color indexed="81"/>
            <rFont val="宋体"/>
            <charset val="134"/>
          </rPr>
          <t xml:space="preserve">Astrid:
NETT</t>
        </r>
      </text>
    </comment>
    <comment ref="AY145" authorId="0">
      <text>
        <r>
          <rPr>
            <sz val="9"/>
            <color indexed="81"/>
            <rFont val="宋体"/>
            <charset val="134"/>
          </rPr>
          <t xml:space="preserve">Astrid:
NETT</t>
        </r>
      </text>
    </comment>
    <comment ref="O198" authorId="1">
      <text>
        <r>
          <rPr>
            <sz val="9"/>
            <color indexed="81"/>
            <rFont val="宋体"/>
            <charset val="134"/>
          </rPr>
          <t xml:space="preserve">VIKA:
LGS DARI EXT MARET</t>
        </r>
      </text>
    </comment>
  </commentList>
</comments>
</file>

<file path=xl/comments5.xml><?xml version="1.0" encoding="utf-8"?>
<comments xmlns="http://schemas.openxmlformats.org/spreadsheetml/2006/main">
  <authors>
    <author>VIKA</author>
  </authors>
  <commentList>
    <comment ref="H20" authorId="0">
      <text>
        <r>
          <rPr>
            <sz val="9"/>
            <color indexed="81"/>
            <rFont val="宋体"/>
            <charset val="134"/>
          </rPr>
          <t xml:space="preserve">VIKA:
e_2/10/2017 anak pertama dr istri baru</t>
        </r>
      </text>
    </comment>
    <comment ref="AR29" authorId="0">
      <text>
        <r>
          <rPr>
            <sz val="9"/>
            <color indexed="81"/>
            <rFont val="宋体"/>
            <charset val="134"/>
          </rPr>
          <t xml:space="preserve">VIKA:
not entitle prev 8.5 jt</t>
        </r>
      </text>
    </comment>
    <comment ref="AR30" authorId="0">
      <text>
        <r>
          <rPr>
            <sz val="9"/>
            <color indexed="81"/>
            <rFont val="宋体"/>
            <charset val="134"/>
          </rPr>
          <t xml:space="preserve">VIKA:
not entitle prev 8 jt</t>
        </r>
      </text>
    </comment>
    <comment ref="AR31" authorId="0">
      <text>
        <r>
          <rPr>
            <sz val="9"/>
            <color indexed="81"/>
            <rFont val="宋体"/>
            <charset val="134"/>
          </rPr>
          <t xml:space="preserve">VIKA:
not entitle prev 8 jt</t>
        </r>
      </text>
    </comment>
    <comment ref="AR45" authorId="0">
      <text>
        <r>
          <rPr>
            <sz val="9"/>
            <color indexed="81"/>
            <rFont val="宋体"/>
            <charset val="134"/>
          </rPr>
          <t xml:space="preserve">VIKA:
not entitle prev 8 jt</t>
        </r>
      </text>
    </comment>
    <comment ref="AR47" authorId="0">
      <text>
        <r>
          <rPr>
            <sz val="9"/>
            <color indexed="81"/>
            <rFont val="宋体"/>
            <charset val="134"/>
          </rPr>
          <t xml:space="preserve">VIKA:
not entitle prev 8 jt</t>
        </r>
      </text>
    </comment>
    <comment ref="L51" authorId="0">
      <text>
        <r>
          <rPr>
            <sz val="9"/>
            <color indexed="81"/>
            <rFont val="宋体"/>
            <charset val="134"/>
          </rPr>
          <t xml:space="preserve">VIKA:
baru brgkt 22 Mei prev 16 Mei, info Mba Iwek 29/5/2017</t>
        </r>
      </text>
    </comment>
    <comment ref="AR52" authorId="0">
      <text>
        <r>
          <rPr>
            <sz val="9"/>
            <color indexed="81"/>
            <rFont val="宋体"/>
            <charset val="134"/>
          </rPr>
          <t xml:space="preserve">VIKA:
not entitle prev 8 jt</t>
        </r>
      </text>
    </comment>
    <comment ref="AR55" authorId="0">
      <text>
        <r>
          <rPr>
            <sz val="9"/>
            <color indexed="81"/>
            <rFont val="宋体"/>
            <charset val="134"/>
          </rPr>
          <t xml:space="preserve">VIKA:
not entitle prev 8 jt</t>
        </r>
      </text>
    </comment>
    <comment ref="AR56" authorId="0">
      <text>
        <r>
          <rPr>
            <sz val="9"/>
            <color indexed="81"/>
            <rFont val="宋体"/>
            <charset val="134"/>
          </rPr>
          <t xml:space="preserve">VIKA:
not entitle prev 8 jt</t>
        </r>
      </text>
    </comment>
    <comment ref="AR57" authorId="0">
      <text>
        <r>
          <rPr>
            <sz val="9"/>
            <color indexed="81"/>
            <rFont val="宋体"/>
            <charset val="134"/>
          </rPr>
          <t xml:space="preserve">VIKA:
not entitle prev 9.5 jt</t>
        </r>
      </text>
    </comment>
  </commentList>
</comments>
</file>

<file path=xl/comments6.xml><?xml version="1.0" encoding="utf-8"?>
<comments xmlns="http://schemas.openxmlformats.org/spreadsheetml/2006/main">
  <authors>
    <author>Astrid</author>
    <author>VIKA</author>
  </authors>
  <commentList>
    <comment ref="AL5" authorId="0">
      <text>
        <r>
          <rPr>
            <sz val="9"/>
            <color indexed="81"/>
            <rFont val="宋体"/>
            <charset val="134"/>
          </rPr>
          <t xml:space="preserve">Astrid:
no 3228</t>
        </r>
      </text>
    </comment>
    <comment ref="AT15" authorId="1">
      <text>
        <r>
          <rPr>
            <sz val="9"/>
            <color indexed="81"/>
            <rFont val="宋体"/>
            <charset val="134"/>
          </rPr>
          <t xml:space="preserve">VIKA:
Tunj. Jabatan/posisi</t>
        </r>
      </text>
    </comment>
    <comment ref="AU15" authorId="1">
      <text>
        <r>
          <rPr>
            <sz val="9"/>
            <color indexed="81"/>
            <rFont val="宋体"/>
            <charset val="134"/>
          </rPr>
          <t xml:space="preserve">VIKA:
other allowance / project allow. / standby allow</t>
        </r>
      </text>
    </comment>
    <comment ref="AU16" authorId="1">
      <text>
        <r>
          <rPr>
            <sz val="9"/>
            <color indexed="81"/>
            <rFont val="宋体"/>
            <charset val="134"/>
          </rPr>
          <t xml:space="preserve">VIKA:
other allowance / project allow. / standby allow</t>
        </r>
      </text>
    </comment>
  </commentList>
</comments>
</file>

<file path=xl/comments7.xml><?xml version="1.0" encoding="utf-8"?>
<comments xmlns="http://schemas.openxmlformats.org/spreadsheetml/2006/main">
  <authors>
    <author>VIKA</author>
  </authors>
  <commentList>
    <comment ref="AN24" authorId="0">
      <text>
        <r>
          <rPr>
            <sz val="9"/>
            <color indexed="81"/>
            <rFont val="宋体"/>
            <charset val="134"/>
          </rPr>
          <t xml:space="preserve">VIKA:
TRANSPORT ALLOW.</t>
        </r>
      </text>
    </comment>
  </commentList>
</comments>
</file>

<file path=xl/comments8.xml><?xml version="1.0" encoding="utf-8"?>
<comments xmlns="http://schemas.openxmlformats.org/spreadsheetml/2006/main">
  <authors>
    <author>VIKA</author>
    <author>Astrid</author>
  </authors>
  <commentList>
    <comment ref="I15" authorId="0">
      <text>
        <r>
          <rPr>
            <sz val="9"/>
            <color indexed="81"/>
            <rFont val="宋体"/>
            <charset val="134"/>
          </rPr>
          <t xml:space="preserve">VIKA:
prev 21 juli</t>
        </r>
      </text>
    </comment>
    <comment ref="I39" authorId="1">
      <text>
        <r>
          <rPr>
            <sz val="9"/>
            <color indexed="81"/>
            <rFont val="宋体"/>
            <charset val="134"/>
          </rPr>
          <t xml:space="preserve">Astrid:
prev. 21 Juli 2017
tanggal kontrak kerja 21 Juli 2017</t>
        </r>
      </text>
    </comment>
  </commentList>
</comments>
</file>

<file path=xl/comments9.xml><?xml version="1.0" encoding="utf-8"?>
<comments xmlns="http://schemas.openxmlformats.org/spreadsheetml/2006/main">
  <authors>
    <author>Astrid</author>
  </authors>
  <commentList>
    <comment ref="P6" authorId="0">
      <text>
        <r>
          <rPr>
            <sz val="9"/>
            <color indexed="81"/>
            <rFont val="宋体"/>
            <charset val="134"/>
          </rPr>
          <t xml:space="preserve">Astrid:
NETT</t>
        </r>
      </text>
    </comment>
    <comment ref="Q6" authorId="0">
      <text>
        <r>
          <rPr>
            <sz val="9"/>
            <color indexed="81"/>
            <rFont val="宋体"/>
            <charset val="134"/>
          </rPr>
          <t xml:space="preserve">Astrid:
NETT</t>
        </r>
      </text>
    </comment>
    <comment ref="S6" authorId="0">
      <text>
        <r>
          <rPr>
            <sz val="9"/>
            <color indexed="81"/>
            <rFont val="宋体"/>
            <charset val="134"/>
          </rPr>
          <t xml:space="preserve">Astrid:
NETT</t>
        </r>
      </text>
    </comment>
  </commentList>
</comments>
</file>

<file path=xl/sharedStrings.xml><?xml version="1.0" encoding="utf-8"?>
<sst xmlns="http://schemas.openxmlformats.org/spreadsheetml/2006/main" count="18399">
  <si>
    <t>No</t>
  </si>
  <si>
    <t>CODE</t>
  </si>
  <si>
    <t>NAME</t>
  </si>
  <si>
    <t>Date of Birth</t>
  </si>
  <si>
    <t>Sex</t>
  </si>
  <si>
    <t>Status / Pajak</t>
  </si>
  <si>
    <t>Homebase</t>
  </si>
  <si>
    <t>Project</t>
  </si>
  <si>
    <t>POSITION</t>
  </si>
  <si>
    <t>PKWT I</t>
  </si>
  <si>
    <t>Amandemen</t>
  </si>
  <si>
    <t>PKWT II</t>
  </si>
  <si>
    <t>PKWT ZEN (BREAK)</t>
  </si>
  <si>
    <t>PKWT III</t>
  </si>
  <si>
    <t>Least Day</t>
  </si>
  <si>
    <t>Remarks</t>
  </si>
  <si>
    <t>Basic Salary</t>
  </si>
  <si>
    <t>Comm. All.</t>
  </si>
  <si>
    <t>Daily All.</t>
  </si>
  <si>
    <t>Driver Allow.</t>
  </si>
  <si>
    <t>Tunj. Posisi</t>
  </si>
  <si>
    <t>Laptop Allow.</t>
  </si>
  <si>
    <t>Broadband</t>
  </si>
  <si>
    <t>Transp Allow.</t>
  </si>
  <si>
    <t>Other Allw</t>
  </si>
  <si>
    <t>OT</t>
  </si>
  <si>
    <t>THR</t>
  </si>
  <si>
    <t>Asuransi</t>
  </si>
  <si>
    <t>Address</t>
  </si>
  <si>
    <t>Phone No.</t>
  </si>
  <si>
    <t>Bank Account</t>
  </si>
  <si>
    <t>KTP</t>
  </si>
  <si>
    <t>NPWP</t>
  </si>
  <si>
    <t>Jamsostek</t>
  </si>
  <si>
    <t>BPJS</t>
  </si>
  <si>
    <t>Email</t>
  </si>
  <si>
    <t>Reason of Termination</t>
  </si>
  <si>
    <t>From</t>
  </si>
  <si>
    <t>To</t>
  </si>
  <si>
    <t>1</t>
  </si>
  <si>
    <t>OS1504027</t>
  </si>
  <si>
    <t>Dede Sudrajat</t>
  </si>
  <si>
    <t>Cianjur, 27 Oktober 1994</t>
  </si>
  <si>
    <t>M</t>
  </si>
  <si>
    <t>S</t>
  </si>
  <si>
    <t>Jabodetabek Serang Banten Purwakarta</t>
  </si>
  <si>
    <t>TI</t>
  </si>
  <si>
    <t>Installer =&gt; Team Leader</t>
  </si>
  <si>
    <t>Yes</t>
  </si>
  <si>
    <t>RI&amp;RJ only employee &amp; BPJS Kes</t>
  </si>
  <si>
    <t>eff 1 Mar'17 change posisi &amp; BS prev 2.780 rb &amp;CA prev 150 rb ; eff 1 Jan '17 prev BS 2.560.000 &amp; DA 15rb; eff 1 Jan'16 prev BS 2.440.000 &amp; No CA &amp; DA 10.000</t>
  </si>
  <si>
    <t>Kp. Cempaka Rt/Rw.001/005 Kec. Cempaka Kab. Cianjur</t>
  </si>
  <si>
    <t>Mandiri : 9000026428475</t>
  </si>
  <si>
    <t>3203152710940001</t>
  </si>
  <si>
    <t>0001640200735 OK</t>
  </si>
  <si>
    <t>as it is</t>
  </si>
  <si>
    <t>2</t>
  </si>
  <si>
    <t>OS1504028</t>
  </si>
  <si>
    <t>Deny Hermansyah</t>
  </si>
  <si>
    <t>Tangerang, 9 jul 1980</t>
  </si>
  <si>
    <t>M1</t>
  </si>
  <si>
    <t>Team Leader</t>
  </si>
  <si>
    <t>eff 1 Jan '17 prev DA 10rb</t>
  </si>
  <si>
    <t>Kp. Sindangsana Rt/Rw.002/004 Neglasari, Tangerang</t>
  </si>
  <si>
    <t>MANDIRI : 1550002495383</t>
  </si>
  <si>
    <t>3671100907800007</t>
  </si>
  <si>
    <t>34.799.027.7.402.000</t>
  </si>
  <si>
    <t>0001393409575 OK</t>
  </si>
  <si>
    <t>3</t>
  </si>
  <si>
    <t>OS1504031</t>
  </si>
  <si>
    <t>Suandi</t>
  </si>
  <si>
    <t>Lebak, 13 November 1987</t>
  </si>
  <si>
    <t>eff 1 Feb'18 driver allow none prev 30 rb ; eff 1 jan '17 prev DA 10rb; entitle driver allw eff per 10 oct '16; change posisi eff 1 Mei'16 prev BS 2.560 CA 150 DA 15 rb ; eff 1 Jan'16 prev BS 2.440.000 &amp; No CA &amp; DA 10.000</t>
  </si>
  <si>
    <t>Kp. Sindang Hurip Rt/Rw.014/005 Kel. Sukatani Kec. Wanasalam, Banten 42396</t>
  </si>
  <si>
    <t>089617984439 / 082119102727</t>
  </si>
  <si>
    <t>MANDIRI : 9000025207706</t>
  </si>
  <si>
    <t>1000658556009 OK</t>
  </si>
  <si>
    <t>giginpermana15@gmail.com</t>
  </si>
  <si>
    <t>4</t>
  </si>
  <si>
    <t>OS1505002</t>
  </si>
  <si>
    <t>Rozza Ahmad Mantaya</t>
  </si>
  <si>
    <t>Jakarta, 30 September 1992</t>
  </si>
  <si>
    <t>TI =&gt; HCPT =&gt; TIS</t>
  </si>
  <si>
    <t>Admin, Logistics, Inventory Staff =&gt; Admin</t>
  </si>
  <si>
    <t>move project eff 1 Feb'18 other allow prev 4.5 jt ; move project eff 23 Okt'17 - 31 Jan '18 entitle other allow utk kompensasi ; eff 1 jan '17 prev DA 10rb; entitle laptop allow e_26/6/2015</t>
  </si>
  <si>
    <t>Jl. Rawa Sari Rt/Rw.001/006 No.34 Kec. Cipayung Kel. Cipayung Jaya, Depok</t>
  </si>
  <si>
    <t>085710838304</t>
  </si>
  <si>
    <t>BCA : 2551293485</t>
  </si>
  <si>
    <t>3276013009920009</t>
  </si>
  <si>
    <t>71.729.619.8.412.000</t>
  </si>
  <si>
    <t>0000004926993 OK</t>
  </si>
  <si>
    <t>rozza.nsn@gmail.com</t>
  </si>
  <si>
    <t>5</t>
  </si>
  <si>
    <t>OS1504033</t>
  </si>
  <si>
    <t>Andrianus</t>
  </si>
  <si>
    <t>Jakarta, 20 Januari 1978</t>
  </si>
  <si>
    <t>M3</t>
  </si>
  <si>
    <t>Team Leader =&gt; Quality Inspector 1/2/2018</t>
  </si>
  <si>
    <t>change posisi 1 Feb '18 entitle posisi allow ; eff 1 jan '17 prev DA 10rb; adj 21 Jun'15 prev BS 2.440.000</t>
  </si>
  <si>
    <t>Pondok Aren Indah E.4/20 Rt/Rw.003/007 Pondok Aren, Tangearang Selatan</t>
  </si>
  <si>
    <t>083815393993</t>
  </si>
  <si>
    <t>Mandiri : 1240007138028</t>
  </si>
  <si>
    <t>3674032001780004</t>
  </si>
  <si>
    <t>64.029.762.8.411.000</t>
  </si>
  <si>
    <t>0001640200691 OK</t>
  </si>
  <si>
    <t>andrianusanu@yahoo.com</t>
  </si>
  <si>
    <t>extend 30-Juni-2018</t>
  </si>
  <si>
    <t>6</t>
  </si>
  <si>
    <t>OS1505014</t>
  </si>
  <si>
    <t>A Imam Mustagis Malkan</t>
  </si>
  <si>
    <t>Jember, 16 jun 1986</t>
  </si>
  <si>
    <t>Project Admin =&gt; DCC Leader =&gt; Doc Leader =&gt; Doc Coordinator1/9/2017</t>
  </si>
  <si>
    <t>NO</t>
  </si>
  <si>
    <t>YES</t>
  </si>
  <si>
    <t>change posisi adj 1 Sept'17 BS prev 4.2 jt ; eff 1 jan '17 entitle OA &amp; prev DA 20rb; adj eff 19 Mei'16 prev BS 3.6 jt CA 200 rb ; change posisi 1 Nov 2015 BS prev 3.4 jt daily 10 rb ; entitle laptop allow e_4/6/2015</t>
  </si>
  <si>
    <t>Kp. Baru RT 014 / RW 006, Sinarbanten, Talang Padang, Tanggamus Lampung</t>
  </si>
  <si>
    <t>081278382424</t>
  </si>
  <si>
    <t>Danamon : 3516648726</t>
  </si>
  <si>
    <t>1806021606860010</t>
  </si>
  <si>
    <t>0001850814729 OK</t>
  </si>
  <si>
    <t>mustagismalkan@gmail.com, imam.mustagis@corphr-nokia.com</t>
  </si>
  <si>
    <t>7</t>
  </si>
  <si>
    <t>OS1505026</t>
  </si>
  <si>
    <t>Harum Fauziyyah</t>
  </si>
  <si>
    <t>Kebumen, 1 Februari 1996</t>
  </si>
  <si>
    <t>F</t>
  </si>
  <si>
    <t>Project Admin =&gt; Admin</t>
  </si>
  <si>
    <t>eff 18 Jan '18 entitle laptop allow ; eff 1 jan '17 prev BS 3.1jt &amp; DA 20rb; adjust 1 Nov'15 prev BS 2.740.000 daily 10rb</t>
  </si>
  <si>
    <t>Desa Dorowati Rt/Rw.02/02 Klirong, Kebumen</t>
  </si>
  <si>
    <t>0857 40186371</t>
  </si>
  <si>
    <t>BCA : 4230367359</t>
  </si>
  <si>
    <t>3305054102960002</t>
  </si>
  <si>
    <t>72.855.715.8.523.000</t>
  </si>
  <si>
    <t>0001603052684 OK</t>
  </si>
  <si>
    <t>harumfauziyah@yahoo.co.id</t>
  </si>
  <si>
    <t>8</t>
  </si>
  <si>
    <t>OS1505068</t>
  </si>
  <si>
    <t>Sukino</t>
  </si>
  <si>
    <t>Wonogiri, 9 Januari 1984</t>
  </si>
  <si>
    <t>eff 1 Feb '18 no driver allw prev 30rb; adj eff 1 Sept'17 Daily prev 10 rb driver prev 20 rb ; driving allow eff 27 Mei 2015</t>
  </si>
  <si>
    <t>Jambul Rt/Rw.004/001 Jeporo, Jatipurno, Kab. Wonogiri</t>
  </si>
  <si>
    <t>0856 97733944</t>
  </si>
  <si>
    <t>Mandiri : 9000026428582</t>
  </si>
  <si>
    <t>3312210901840003</t>
  </si>
  <si>
    <t>0001658555785 OK</t>
  </si>
  <si>
    <t>qin_qien@yahoo.com</t>
  </si>
  <si>
    <t>9</t>
  </si>
  <si>
    <t>OS1505071</t>
  </si>
  <si>
    <t>Usep Saepullah</t>
  </si>
  <si>
    <t>Bandung, 7 jul 1965</t>
  </si>
  <si>
    <t>Installer =&gt; Driver</t>
  </si>
  <si>
    <t>eff 1 jan '17 prev BS 2.560.000 &amp; DA 15rb; eff 1 Jan'16 prev BS 2.440.000 &amp; No CA &amp; DA 10.000</t>
  </si>
  <si>
    <t>Kp. Buah Dua Rt/Rw.002/012 Rancaekek Wetan, Rancaekek, Bandung</t>
  </si>
  <si>
    <t>082219372596</t>
  </si>
  <si>
    <t>Mandiri : 9000026428509</t>
  </si>
  <si>
    <t>3204280707650007</t>
  </si>
  <si>
    <t>0001515447189 -KELUARGA</t>
  </si>
  <si>
    <t>10</t>
  </si>
  <si>
    <t>OS1506066</t>
  </si>
  <si>
    <t>Abdullah</t>
  </si>
  <si>
    <t>Tangerang Selatan, 10 April 1976</t>
  </si>
  <si>
    <t>Teknisi =&gt; Installer</t>
  </si>
  <si>
    <t>eff per 1 jan '17 prev BS 2.560.000 &amp; DA 15rb; eff 1 Jan'16 prev BS 2.440.000 &amp; No CA &amp; DA 10.000</t>
  </si>
  <si>
    <t>Jl. Raya Pondok Aren Rt/Rw.001/005 Pondok Aren, Kota Tangerang Selatan</t>
  </si>
  <si>
    <t>BCA : 6800332719</t>
  </si>
  <si>
    <t>3674031004760002</t>
  </si>
  <si>
    <t>0001652149855 OK</t>
  </si>
  <si>
    <t>bangdoel371@gmail.com</t>
  </si>
  <si>
    <t>11</t>
  </si>
  <si>
    <t>OS1506086</t>
  </si>
  <si>
    <t>Rulyansah</t>
  </si>
  <si>
    <t>Bogor, 1 jun 1992</t>
  </si>
  <si>
    <t>Teknisi =&gt; Team Leader =&gt; Quality Inspector 1/2/2018</t>
  </si>
  <si>
    <t>change posisi 1 Feb '18 entitle posisi allow ; eff 1 jan '17 prev DA 10rb; entitle driver allw eff per 21 dec '16; change position eff 5 Sep '16 (prev BS 2.560.000, comm allw 150rb, daily allw 15rb/day) ; eff 1 jan'16 prev BS 2.440.000 &amp; No CA &amp; DA 10.000, not entitle driving allow eff 28 Des '15 prev 20 rb ; entitle driving allow eff 3 Agus '15</t>
  </si>
  <si>
    <t>Masjid Al-Baliyah Gg. Flamboyan No.81 Rt/Rw.05/09 Pabuaran, Cibinong, Kab. Bogor 16916</t>
  </si>
  <si>
    <t>08990082341</t>
  </si>
  <si>
    <t>MANDIRI: 1240007225031  A/N: RULLYANSYAH</t>
  </si>
  <si>
    <t>3201010106920008</t>
  </si>
  <si>
    <t>0000001658555324 OK</t>
  </si>
  <si>
    <t>rullyansahulay@yahoo.co.id</t>
  </si>
  <si>
    <t>Cuti tanpa di bayar tgl 08 Dec 2017 sd 31 Dec 17</t>
  </si>
  <si>
    <t>12</t>
  </si>
  <si>
    <t>OS1505102</t>
  </si>
  <si>
    <t>Nur Azis</t>
  </si>
  <si>
    <t>Kebumen, 2 Februari 1996</t>
  </si>
  <si>
    <t>Installer</t>
  </si>
  <si>
    <t>eff 1 jan '17 prev BS 2.560.000 &amp; DA 15rb; eff 1 jan'16 prev BS 2.440.000 &amp; No CA &amp; DA 10.000,prev magang 15 Mei 2015 75 rb /day</t>
  </si>
  <si>
    <t>DK Krujon Rt/Rw.001/004 Podoluhur, Klirong, Kebumen, Jateng 54381</t>
  </si>
  <si>
    <t>0896 70220268</t>
  </si>
  <si>
    <t>MANDIRI : 9000026428491</t>
  </si>
  <si>
    <t>3305050202960002 / KK 3305051201071797</t>
  </si>
  <si>
    <t>72.373.038.8.523.000</t>
  </si>
  <si>
    <t>PBI (APBN)</t>
  </si>
  <si>
    <t>nuraziz5296@gmail.com</t>
  </si>
  <si>
    <t>13</t>
  </si>
  <si>
    <t>OS1508010</t>
  </si>
  <si>
    <t>Slamet Riyadi</t>
  </si>
  <si>
    <t>Tegal, 9 Mei 1985</t>
  </si>
  <si>
    <t>eff 1 jan '17 prev BS 2.560.000 &amp; CA 150rb &amp; DA 15rb; eff 1 Jan'16 prev BS 2.440.000 &amp; No CA &amp; DA 10.000</t>
  </si>
  <si>
    <t>Pulo Gebang Permai Blok A 8/15 Rt/Rw.005/010 Pulo Gebang, Cakung, Jakarta Timur</t>
  </si>
  <si>
    <t>0812 91617765</t>
  </si>
  <si>
    <t>Mandiri : 1240007210934</t>
  </si>
  <si>
    <t>3328120905850009</t>
  </si>
  <si>
    <t>0001653611769 M2</t>
  </si>
  <si>
    <t>14</t>
  </si>
  <si>
    <t>OS1508011</t>
  </si>
  <si>
    <t>Dwi Judo Purnomo</t>
  </si>
  <si>
    <t>Surabaya, 10 April 1975</t>
  </si>
  <si>
    <t>Engineer</t>
  </si>
  <si>
    <t>entitle Other Allw per 1 jan '17; entitle laptop per join Agust' 15</t>
  </si>
  <si>
    <t>Kp. Gaga Rt/Rw.003/004 Semanan, Kalideres, Jakarta Barat</t>
  </si>
  <si>
    <t>085222252728 / 087788788511</t>
  </si>
  <si>
    <t>MANDIRI: 1180004135876</t>
  </si>
  <si>
    <t>3173061004750016</t>
  </si>
  <si>
    <t>pur.yudho@gmail.com</t>
  </si>
  <si>
    <t>15</t>
  </si>
  <si>
    <t>OS1510024</t>
  </si>
  <si>
    <t>Ferdiansyah</t>
  </si>
  <si>
    <t>Tangerang, 9 Mei 1986</t>
  </si>
  <si>
    <t>Team Leader =&gt; Junior Engineer =&gt; Engineer =&gt; Engineer Senior</t>
  </si>
  <si>
    <t>eff 1 Mar'17 change posisi &amp; BS prev 3.7 jt ; eff 1 jan '17 prev CA 200rb &amp; DA 15rb; eff 1  Mar 16 prev BS 3,2 DA 10.000 &amp; No Laptop</t>
  </si>
  <si>
    <t>Kp. Buaran Rt/Rw.005/002 Serua Ciputat, Tangerang Selatan</t>
  </si>
  <si>
    <t>0853 86874011</t>
  </si>
  <si>
    <t>BCA : 7550166610</t>
  </si>
  <si>
    <t>3674040905860001</t>
  </si>
  <si>
    <t>54.031.188.3.411.000</t>
  </si>
  <si>
    <t>0001739542083 -KELUARGA</t>
  </si>
  <si>
    <t>ferdy_4634@yahoo.com</t>
  </si>
  <si>
    <t>cancel terminated e_23/5/2017</t>
  </si>
  <si>
    <t>16</t>
  </si>
  <si>
    <t>OS1509037</t>
  </si>
  <si>
    <t>Achmad Rohiman</t>
  </si>
  <si>
    <t>Jakarta, 20 Juli 1983</t>
  </si>
  <si>
    <t>eff 1 Jan '17 entitle Other Allw &amp; prev BA 200rb; eff Mar'16 No PA, eff 23 Des'15 entitle pro allow &amp; BB prev none</t>
  </si>
  <si>
    <t>Jl. Cagar Alam Selatan No.49 Rt/Rw.001/05 Pancoran Mas Kota Depok 16436</t>
  </si>
  <si>
    <t>0812 93889616</t>
  </si>
  <si>
    <t>Mandiri : 1290004459026</t>
  </si>
  <si>
    <t>3276012007830005</t>
  </si>
  <si>
    <t>rohiman123@gmail.com</t>
  </si>
  <si>
    <t>17</t>
  </si>
  <si>
    <t>OS1509040</t>
  </si>
  <si>
    <t>Doni Mario</t>
  </si>
  <si>
    <t>Jakarta, 22 Maret 1989</t>
  </si>
  <si>
    <t>driver allow per 9 mei'17 prev none ; eff 1 Jan '17 prev DA 10rb</t>
  </si>
  <si>
    <t>Jl. Raya Kapuk Rt/Rw.008/012 Kapuk, Cengkareng, Jakarta Barat 11720</t>
  </si>
  <si>
    <t>087878876636</t>
  </si>
  <si>
    <t>Mandiri : 0700005369942</t>
  </si>
  <si>
    <t>3173012403891001</t>
  </si>
  <si>
    <t>0001743302889 - KELUARGA</t>
  </si>
  <si>
    <t>donysigebray@gmail.com</t>
  </si>
  <si>
    <t>18</t>
  </si>
  <si>
    <t>OS1509042</t>
  </si>
  <si>
    <t>Riswanto</t>
  </si>
  <si>
    <t>Klaten, 5 Oktober 1981</t>
  </si>
  <si>
    <t>M2</t>
  </si>
  <si>
    <t>Silulang Rt/Rw.12/05 Sedayu, Tulung, Klaten, Jawa Tengah</t>
  </si>
  <si>
    <t>0899 0385604</t>
  </si>
  <si>
    <t>Mandiri : 1260006750581</t>
  </si>
  <si>
    <t>3310190506810001</t>
  </si>
  <si>
    <t>0001739542072 -KELUARGA</t>
  </si>
  <si>
    <t>lintang.arcadea@yahoo.com</t>
  </si>
  <si>
    <t>19</t>
  </si>
  <si>
    <t>OS1510055</t>
  </si>
  <si>
    <t>Ryan Hidayatullah</t>
  </si>
  <si>
    <t>Bogor, 16 Februari 1996</t>
  </si>
  <si>
    <t>Installer =&gt; Document Maker =&gt; Doc Team</t>
  </si>
  <si>
    <t>eff 1 jan '17 prev DA 10rb; eff 1 Dec '16 change posisi (prev. BS 2.560.000, DA 15rb/day, CA 150rb); eff 1 Jan'16 prev BS 2.440.000 &amp; No CA &amp; DA 10.000</t>
  </si>
  <si>
    <t>Kp. Cibeber Jalan Rt/Rw.002/006 Cibeber I, Leuwiliang, Bogor, Jawa Barat</t>
  </si>
  <si>
    <t>088211397805 / 082213540910 / 089655775094</t>
  </si>
  <si>
    <t>BCA : 8990994936</t>
  </si>
  <si>
    <t>3201141602960001</t>
  </si>
  <si>
    <t xml:space="preserve">PBI (APBN) </t>
  </si>
  <si>
    <t>20</t>
  </si>
  <si>
    <t>OS1602069</t>
  </si>
  <si>
    <t>Fitri</t>
  </si>
  <si>
    <t>Rantauprapat, 20 Juli 1984</t>
  </si>
  <si>
    <t>Jakarta Banten</t>
  </si>
  <si>
    <t>Document Maker =&gt; Doc Team</t>
  </si>
  <si>
    <t>eff 1 jan '17 prev BS 3.1jt &amp; DA 10rb; entitle laptop 7 Mei'15 e_6/6/2016</t>
  </si>
  <si>
    <t>Kp. Cinagara Rt/Rw. 002/005 Cinagara, Caringan Kabupaten Bogor</t>
  </si>
  <si>
    <t>082284121631</t>
  </si>
  <si>
    <t>Mandiri : 1290006614495</t>
  </si>
  <si>
    <t>3201276007840007</t>
  </si>
  <si>
    <t>26.184.932.7-443.000</t>
  </si>
  <si>
    <t>0001744528689 OK SINGLE</t>
  </si>
  <si>
    <t>fitri_ashegaf@yahoo.com</t>
  </si>
  <si>
    <t>21</t>
  </si>
  <si>
    <t>OS1603016</t>
  </si>
  <si>
    <t>Krispats O David Agu</t>
  </si>
  <si>
    <t>Jakarta, 4 AGUST 1987</t>
  </si>
  <si>
    <t>entitle driver 17 Okt '17 prev none ; eff 1 Mar'17 change posisi &amp; BS prev 2.765.000 &amp;CA prev 150 rb ; eff 1 jan '17 prev BS 2.560.000 &amp; DA 15rb</t>
  </si>
  <si>
    <t>Perum Permata Kemang RT 04/07 Kota Bogor</t>
  </si>
  <si>
    <t>082225751669</t>
  </si>
  <si>
    <t>MANDIRI: 9000032121353</t>
  </si>
  <si>
    <t>KTP: 3674030408870011</t>
  </si>
  <si>
    <t xml:space="preserve">0001766453624 OK
</t>
  </si>
  <si>
    <t>22</t>
  </si>
  <si>
    <t>OS1603024</t>
  </si>
  <si>
    <t>Hendra Yana</t>
  </si>
  <si>
    <t>TANGERANG, 13 APRIL 1983</t>
  </si>
  <si>
    <t>eff 1 Mar'17 change posisi &amp; BS prev 2.765.000 &amp;CA prev 150 rb ; eff 1 jan '17 prev BS 2.560.000</t>
  </si>
  <si>
    <t>KP Maruga RT 07/04 Sarva Ciputat Tangerang Banten</t>
  </si>
  <si>
    <t>087809240347</t>
  </si>
  <si>
    <t>BCA : 3681759148</t>
  </si>
  <si>
    <t>3674041304830003</t>
  </si>
  <si>
    <t>98.482.897.0-411.000</t>
  </si>
  <si>
    <t xml:space="preserve">0001393406987 OK
</t>
  </si>
  <si>
    <t>hendrayana.mrg@gmail.com</t>
  </si>
  <si>
    <t>23</t>
  </si>
  <si>
    <t>OS1510064</t>
  </si>
  <si>
    <t>Hendrick De Silva</t>
  </si>
  <si>
    <t>Jakarta, 5 aug 1979</t>
  </si>
  <si>
    <t>eff 1 jan '17 entitle other allw &amp; prev LA 500rb &amp; prev BB 200rb; eff 4 Jan'16 entitle pro allow &amp; BB prev none</t>
  </si>
  <si>
    <t>Jl. Mahoni II No.4 Rt/Rw.003/007 Perum. Pondok Aren Indah, Arinda II, Tangerang Selatan</t>
  </si>
  <si>
    <t>021.73446010 / 08211151604 / 083813451879</t>
  </si>
  <si>
    <t>Mandiri : 409766252707</t>
  </si>
  <si>
    <t>3674030508790013</t>
  </si>
  <si>
    <t>ada</t>
  </si>
  <si>
    <t>0001743302935 -KELUARGA</t>
  </si>
  <si>
    <t>desilvahendrick5@gmail.com, hendrik.silva@corphr-nokia.com</t>
  </si>
  <si>
    <t>24</t>
  </si>
  <si>
    <t>OS1511031</t>
  </si>
  <si>
    <t>Yahya Ayash</t>
  </si>
  <si>
    <t>Jakarta, 6 September 1994</t>
  </si>
  <si>
    <t>Engineer &amp; Driver =&gt; Project Coordinator eff 1/5/18</t>
  </si>
  <si>
    <t>change post</t>
  </si>
  <si>
    <t>change posisi eff 1 May '18 prev BS 4.2jt, CA 250rb, Driver 30rb, posisi none, OA 200rb; driver allow per 8 mei'17 prev none ; eff 1 Jan '17 entitle OA &amp; prev BB 200rb; eff 22 Des'15 entitle pro allow &amp; BB prev none</t>
  </si>
  <si>
    <t>Jl. SMUN 64 Rt/Rw.01/03 Cipayung, Jakarta Timur</t>
  </si>
  <si>
    <t>0878 766911739</t>
  </si>
  <si>
    <t>BCA : 7033267562</t>
  </si>
  <si>
    <t>3175100609940002</t>
  </si>
  <si>
    <t>0001743303058 OK</t>
  </si>
  <si>
    <t>yahyaayash.pk@gmail.com</t>
  </si>
  <si>
    <t>25</t>
  </si>
  <si>
    <t>OS1603028</t>
  </si>
  <si>
    <t>Abu Rizal</t>
  </si>
  <si>
    <t>Kendal, 17 September 1997</t>
  </si>
  <si>
    <t>Installer &amp; Driver =&gt; Team Leader 1/5/18</t>
  </si>
  <si>
    <t>change posisi eff 1 May '18 prev BS 2.765.000, CA 150rb; driver allow per 22 mar'17 prev none ; eff 1 Jan '17 prev BS 2.560.000 &amp; DA 15rb</t>
  </si>
  <si>
    <t>Ds. Wonosari Rt.02/02 Kec. Patebon Kab. Kendal Jawa Tengah</t>
  </si>
  <si>
    <t>081350311125</t>
  </si>
  <si>
    <t>BRI: 042501013717501</t>
  </si>
  <si>
    <t>3324141709970004</t>
  </si>
  <si>
    <t>15029097605</t>
  </si>
  <si>
    <t xml:space="preserve">0001766676971 OK
</t>
  </si>
  <si>
    <t>abur87252@gmail.com</t>
  </si>
  <si>
    <t>26</t>
  </si>
  <si>
    <t>OS1604014</t>
  </si>
  <si>
    <t>Gun Gun Gunawan</t>
  </si>
  <si>
    <t>Cianjur, 8 September 1983</t>
  </si>
  <si>
    <t>Desa Sukaresmi, Kec. Sukaresmi Kab. Cianjur</t>
  </si>
  <si>
    <t>087721241881</t>
  </si>
  <si>
    <t>BCA : 2101321128</t>
  </si>
  <si>
    <t>320313080983009</t>
  </si>
  <si>
    <t>73.551.541.3-406.000</t>
  </si>
  <si>
    <t>0001859025251 - KELUARGA</t>
  </si>
  <si>
    <t>gungun83.99@gmail.com</t>
  </si>
  <si>
    <t>27</t>
  </si>
  <si>
    <t>OS1605017</t>
  </si>
  <si>
    <t>Noferi Agus Santoso</t>
  </si>
  <si>
    <t>Depok, 10 November 1985</t>
  </si>
  <si>
    <t>Jabo Banten</t>
  </si>
  <si>
    <t>entitle laptop allow eff 3 Feb'18 ; eff 1 jan '17 prev CA 200rb &amp; DA 15rb</t>
  </si>
  <si>
    <t>Jln. Nusantara Raya GG. Masjid RT/RW.004/013 No. 17 Des. Beji Kel. Beji Kota Depok</t>
  </si>
  <si>
    <t>0895.3486.23959/0888.8009.280</t>
  </si>
  <si>
    <t>MANDIRI : 1240007964340</t>
  </si>
  <si>
    <t>3276061011850005</t>
  </si>
  <si>
    <t>PBI APBD KOTA DEPOK</t>
  </si>
  <si>
    <t>noferi.aguss10@gmail.com</t>
  </si>
  <si>
    <t>28</t>
  </si>
  <si>
    <t>OS1605018</t>
  </si>
  <si>
    <t>Dedy Setiawan</t>
  </si>
  <si>
    <t>Jakarta 03 Desember 1979</t>
  </si>
  <si>
    <t>Document Control =&gt; Doc Team</t>
  </si>
  <si>
    <t>eff 1 jan '17 prev DA 10rb</t>
  </si>
  <si>
    <t>Kp. Bulak RT/RW.001/009 Kel. Benda Baru Kec. Pamulang, Tanggerang Selatan</t>
  </si>
  <si>
    <t>0823 50308488</t>
  </si>
  <si>
    <t>BRI : 762101000186508</t>
  </si>
  <si>
    <t>3674060312790003</t>
  </si>
  <si>
    <t>0001767928419</t>
  </si>
  <si>
    <t>balistik.setiawan@gmail.com</t>
  </si>
  <si>
    <t>29</t>
  </si>
  <si>
    <t>OS1605019</t>
  </si>
  <si>
    <t>Yana Supriana</t>
  </si>
  <si>
    <t>Bandung 28 Februari 1970</t>
  </si>
  <si>
    <t>Pangalengan, Cikalong Bandung RT/RW.001/006</t>
  </si>
  <si>
    <t>0853 17807900</t>
  </si>
  <si>
    <t>3204152802700003</t>
  </si>
  <si>
    <t>0001767928386</t>
  </si>
  <si>
    <t>Cuti Tidak di bayar dari tgl 07 Jul 2017 sd 22 Juli 2017</t>
  </si>
  <si>
    <t>30</t>
  </si>
  <si>
    <t>OS1605020</t>
  </si>
  <si>
    <t>Dimas Suwarno Putra</t>
  </si>
  <si>
    <t>Jakarta 11 Januari 1993</t>
  </si>
  <si>
    <t>Jl. SD Inpres RT/RW.001/007 Pondok Karya, Pondok Aren, Tangsel</t>
  </si>
  <si>
    <t>: 5000012548195</t>
  </si>
  <si>
    <t>3674031101930002</t>
  </si>
  <si>
    <t>9707811184111000</t>
  </si>
  <si>
    <t>0001338153085 OK</t>
  </si>
  <si>
    <t>dimassuwarno12@gmail.com</t>
  </si>
  <si>
    <t>31</t>
  </si>
  <si>
    <t>OS1604030</t>
  </si>
  <si>
    <t>Iqbal Firdaus Harahap</t>
  </si>
  <si>
    <t>Medan, 18 aug 1992</t>
  </si>
  <si>
    <t>M0</t>
  </si>
  <si>
    <t>eff 1 jan '17 prev DA 10rb; entitle laptop e_7/6/2016</t>
  </si>
  <si>
    <t>Jl. Subur Pertamina KAU II, Gg. Bhineka Kel. Pondok Rangon Kec. Cipayung, Jakarta Timur</t>
  </si>
  <si>
    <t>Mandiri : 9000029426583</t>
  </si>
  <si>
    <t>3275121808920003</t>
  </si>
  <si>
    <t>0001769545967 OK</t>
  </si>
  <si>
    <t>iqbaLfirdaus90@yahoo.co.id</t>
  </si>
  <si>
    <t>32</t>
  </si>
  <si>
    <t>OS1606018</t>
  </si>
  <si>
    <t>Maniso Yadi</t>
  </si>
  <si>
    <t>Cilacap, 12 Pebruari 1979</t>
  </si>
  <si>
    <t>Installer =&gt; Quality Inspector 1/2/2018</t>
  </si>
  <si>
    <t>change posisi 1 Feb '18 entitle posisi allow ; eff 1 jan '17 prev BS 2.560.000 &amp; DA 15rb</t>
  </si>
  <si>
    <t>Jl. Kampung Rawa Babat RT 05 / RW 06, Pondok Pucung, Tangerang Selatan</t>
  </si>
  <si>
    <t>08111101004</t>
  </si>
  <si>
    <t>Mandiri Syariah : 7050378343</t>
  </si>
  <si>
    <t>3674031202790002</t>
  </si>
  <si>
    <t>66.642.597.0.411.000</t>
  </si>
  <si>
    <t>1771296963 - ISTRI</t>
  </si>
  <si>
    <t>Manisoyadi@gmail.com</t>
  </si>
  <si>
    <t>33</t>
  </si>
  <si>
    <t>OS1606022</t>
  </si>
  <si>
    <t>Dedi Junaedi</t>
  </si>
  <si>
    <t>Jakarta, 19 Juni 1984</t>
  </si>
  <si>
    <t>TIS</t>
  </si>
  <si>
    <t>Engineer =&gt; Coordinator 1/2/2018</t>
  </si>
  <si>
    <t>inc Allw</t>
  </si>
  <si>
    <t>eff 1 Jun '18 prev CA 250rb, Posisi none, OA 300rb; change posisi eff 1 Feb '18 BS prev 3.7 jt driver allow prev 30 rb other allow prev none ; entitle driver 17 Okt '17 prev none ; eff 1 jan '17 prev CA 200rb &amp; DA 15rb</t>
  </si>
  <si>
    <t>Jl. Nusantara Raya Gg. H. Encat RT 03 / RW 13 No. 67 Depok</t>
  </si>
  <si>
    <t>0888 08020192</t>
  </si>
  <si>
    <t>3276061906840004</t>
  </si>
  <si>
    <t>77.665.689.4.412.000</t>
  </si>
  <si>
    <t>PBI APBN AKTIF</t>
  </si>
  <si>
    <t>ddole19@gmail.com</t>
  </si>
  <si>
    <t>34</t>
  </si>
  <si>
    <t>OS1505025</t>
  </si>
  <si>
    <t>Dadang Sahbani</t>
  </si>
  <si>
    <t>Jakarta, 10 Desember 1977</t>
  </si>
  <si>
    <t>TIS =&gt; NPO</t>
  </si>
  <si>
    <t>move project eff 10 Okt'17 ; eff 1 jan '17 prev BS 2.560.000 &amp; DA 15rb; adj driver allw eff per 1 oct '16 prev. 20rb; entitle driver allw eff per 19 Jul '16 e_20/07/16</t>
  </si>
  <si>
    <t>Kampung Malela Rt/Rw.03/18 Depok, Pancoran Mas, Kota Depok</t>
  </si>
  <si>
    <t>085692282220 / 087788742220</t>
  </si>
  <si>
    <t>CIMB Niaga : 0800146614117</t>
  </si>
  <si>
    <t>3276011012770009</t>
  </si>
  <si>
    <t>0001628022925 OK</t>
  </si>
  <si>
    <t>dadangsahbani@gmail.com</t>
  </si>
  <si>
    <t>35</t>
  </si>
  <si>
    <t>OS1606021</t>
  </si>
  <si>
    <t>Muhammad Eriansyah</t>
  </si>
  <si>
    <t>Pangkalan Susu, 12 Juli 1975</t>
  </si>
  <si>
    <t>Project Engineer =&gt; Engineer</t>
  </si>
  <si>
    <t>eff 1 jan '17 prev CA 200rb</t>
  </si>
  <si>
    <t>Perum Cikeas Gardenia Blok A3/9 Cikeas Bogor</t>
  </si>
  <si>
    <t>08159413488 / 081250302282</t>
  </si>
  <si>
    <t>Mandiri : 1560000142887 a.n Nila Sapitri</t>
  </si>
  <si>
    <t>3201301207750003</t>
  </si>
  <si>
    <t>69.423.423.8.023.000</t>
  </si>
  <si>
    <t>0001645940766 OK</t>
  </si>
  <si>
    <t>eriansyah.pasha@gmail.com</t>
  </si>
  <si>
    <t>36</t>
  </si>
  <si>
    <t>OS1609019</t>
  </si>
  <si>
    <t>Jayali</t>
  </si>
  <si>
    <t>18 Mei 1976</t>
  </si>
  <si>
    <t>eff 1 jan '17 prev BS 2.560.000 &amp; DA 15rb</t>
  </si>
  <si>
    <t>Jl. Peninggaran Timur II RT 06 / RW 09 No. 38, Kebayoran Lama Utara, Jakarta Selatan 12241</t>
  </si>
  <si>
    <t>089633152049 / 085320878704</t>
  </si>
  <si>
    <t>Mandiri : 9000015902589</t>
  </si>
  <si>
    <t>3674051605760001</t>
  </si>
  <si>
    <t>jayalibiangkerok@gmail.com</t>
  </si>
  <si>
    <t>37</t>
  </si>
  <si>
    <t>OS1610023</t>
  </si>
  <si>
    <t>Iman Turmudzi</t>
  </si>
  <si>
    <t>Klaten, 29 Oktober 1987</t>
  </si>
  <si>
    <t>Jl. Damai Raya No. 65 RT 12 / RW 02, Cipete Utara, Kebayoran Baru, Jakarta Selatan</t>
  </si>
  <si>
    <t>0815 67824587</t>
  </si>
  <si>
    <t>Mandiri : 1270007945874 a.n Imam Turmudzi</t>
  </si>
  <si>
    <t>3174072910870001</t>
  </si>
  <si>
    <t>15041424217</t>
  </si>
  <si>
    <t>andex462@gmail.com</t>
  </si>
  <si>
    <t>38</t>
  </si>
  <si>
    <t>OS1611017</t>
  </si>
  <si>
    <t>Dadan Agung</t>
  </si>
  <si>
    <t>Bandung, 22 April 1996</t>
  </si>
  <si>
    <t>change posisi eff 1 May '18 prev BS 2.765.000, CA 150rb; REJOIN 21 NOV 2017 ; eff 1 jan '17 prev BS 2.560.000 &amp; DA 15rb</t>
  </si>
  <si>
    <t>Kp. Rancakendal RT 03 / RW 07, Kel. Cipedes Kec. Paseh, Bandung</t>
  </si>
  <si>
    <t>082236937028</t>
  </si>
  <si>
    <t>BCA : 3760064938</t>
  </si>
  <si>
    <t>320435220496003</t>
  </si>
  <si>
    <t>dadan.agung71@gmail.com</t>
  </si>
  <si>
    <t>Cuti tidak dibayar Tgl 2 September 2017 s/d 20 November 2017 ; Cuti Tidak di bayar dari tgl 03 Jul 2017 sd 22 Juli 2017</t>
  </si>
  <si>
    <t>39</t>
  </si>
  <si>
    <t>OS1611019</t>
  </si>
  <si>
    <t>Jamal Lulail</t>
  </si>
  <si>
    <t>Tegal , 9 November 1979</t>
  </si>
  <si>
    <t>entitle other 1 Okt '17 prev none ; OTHER ALLOW NONE EFF 1 MAR'17 PREV 800 RB</t>
  </si>
  <si>
    <t>Ds. Timbang Reja RT 03/ RW 04, Lebaksiu, Tegal</t>
  </si>
  <si>
    <t>085871369993 
/ 081213596291</t>
  </si>
  <si>
    <t>BCA : 1320317599</t>
  </si>
  <si>
    <t>3327080911790022</t>
  </si>
  <si>
    <t>Jamal.ortega@gmail.com</t>
  </si>
  <si>
    <t>40</t>
  </si>
  <si>
    <t>OS1701008</t>
  </si>
  <si>
    <t>Zulfatus Zuroya</t>
  </si>
  <si>
    <t>Kebumen, January 24 1996</t>
  </si>
  <si>
    <t>Project Admin</t>
  </si>
  <si>
    <t>Nampudadi 10/05, Petanahan, Kebumen</t>
  </si>
  <si>
    <t xml:space="preserve"> 
081914425855</t>
  </si>
  <si>
    <t>Mandiri : 900-00-4041313-1</t>
  </si>
  <si>
    <t>3305046401960002</t>
  </si>
  <si>
    <t>zzulfa96@gmail.com</t>
  </si>
  <si>
    <t>41</t>
  </si>
  <si>
    <t>OS1612043</t>
  </si>
  <si>
    <t>Bangbang Nurdiansyah</t>
  </si>
  <si>
    <t>Garut, 4 Mei 1980</t>
  </si>
  <si>
    <t xml:space="preserve">Installer </t>
  </si>
  <si>
    <t>no driver allw</t>
  </si>
  <si>
    <t>not entitle driver allw eff 7 Mei 2018 prev 30rb; driver allow per 30 apr'17 prev none ; UMP 2017 prev BS 2.560.000 &amp; DA 15rb/day</t>
  </si>
  <si>
    <t>Kp. Cinangka Wetan RT 03 / RW 05, Kel. Sukamerang Kec. Kersamanah, Garut</t>
  </si>
  <si>
    <t>082317542000</t>
  </si>
  <si>
    <t>3205130107800016</t>
  </si>
  <si>
    <t>Cuti Tidak di bayar dari tgl 03 Jul 2017 sd 22 Juli 2017</t>
  </si>
  <si>
    <t>42</t>
  </si>
  <si>
    <t>OS1612044</t>
  </si>
  <si>
    <t>Dikdik Rustandi</t>
  </si>
  <si>
    <t>entitle driver 17 Okt '17 prev none ; NOT ENTITLE DA per 5 Apr'17 prev 30 rb ; entitle DA eff 1 Mar'17 prev none ; UMP 2017 prev BS 2.560.000</t>
  </si>
  <si>
    <t>Kp. Banen RT 01 / RW 11 Limbangan Timur, Kec. Blubur Limbangan Garut</t>
  </si>
  <si>
    <t>082129740900</t>
  </si>
  <si>
    <t>3205380706840018</t>
  </si>
  <si>
    <t>rustandydikdik07@yahoo.com</t>
  </si>
  <si>
    <t>43</t>
  </si>
  <si>
    <t>OS1701037</t>
  </si>
  <si>
    <t>Nopi Prabowo</t>
  </si>
  <si>
    <t>Tangerang, 13 Nopember 1984</t>
  </si>
  <si>
    <t>Perum Total Persada Blok C2 No. 12A RT 01 / RW 07, Kel. Gembor Kec. Periuk, Tangerang</t>
  </si>
  <si>
    <t>'085946550908</t>
  </si>
  <si>
    <t>BCA : 7130387637</t>
  </si>
  <si>
    <t>3671081311840001</t>
  </si>
  <si>
    <t>798365474402000</t>
  </si>
  <si>
    <t>44</t>
  </si>
  <si>
    <t>OS1612046</t>
  </si>
  <si>
    <t>Fredika Huda Dwi Putra</t>
  </si>
  <si>
    <t>Bogor, 16 Januari 1990</t>
  </si>
  <si>
    <t>Kp. Kelapa Rt.001/016 Desa Rawapanjang Kecamatan Bojong Gede Kabupaten Bogor</t>
  </si>
  <si>
    <t>08930295885</t>
  </si>
  <si>
    <t>3201131601900003</t>
  </si>
  <si>
    <t>fredica16@gmail.com</t>
  </si>
  <si>
    <t>45</t>
  </si>
  <si>
    <t>OS1701040</t>
  </si>
  <si>
    <t>Sopian</t>
  </si>
  <si>
    <t>Garut, 10 Februari 1993</t>
  </si>
  <si>
    <t>Kp.Cipeujeh 01/02 Desa Ciwangi Kec. BL. Limbangan Kab. Garut</t>
  </si>
  <si>
    <t>08224045607</t>
  </si>
  <si>
    <t>Mandiri : 1240007988711</t>
  </si>
  <si>
    <t>3205381002930009</t>
  </si>
  <si>
    <t>Cuti Tidak di bayar dari tgl 21 Jul 2017 sd 23 Jul 2017 dan 11 Jul 2017 sd 22 Juli 2017</t>
  </si>
  <si>
    <t>46</t>
  </si>
  <si>
    <t>OS1701042</t>
  </si>
  <si>
    <t>Zainuddin</t>
  </si>
  <si>
    <t>Tanggerang 16 Sep 1981</t>
  </si>
  <si>
    <t>eff 18 Jan '18 entitle laptop allow</t>
  </si>
  <si>
    <t>Jl. Menjangan III Rt.002/003 Pondok Ranji-Ciputat</t>
  </si>
  <si>
    <t>085248235146</t>
  </si>
  <si>
    <t>3674051609810004</t>
  </si>
  <si>
    <t>77.774.174.1-411.000</t>
  </si>
  <si>
    <t>zainuddinrj@yahoo.com</t>
  </si>
  <si>
    <t>47</t>
  </si>
  <si>
    <t>OS1702118</t>
  </si>
  <si>
    <t>Jafarudin</t>
  </si>
  <si>
    <t>Majene, 20 Maret 1985</t>
  </si>
  <si>
    <t>Engineer &amp; Driver =&gt; Koordinator 1/4/2018</t>
  </si>
  <si>
    <t>change posisi eff 1 Apr '18 prev BS 4.2jt CA 250rb Driver 30rb Posisi none;adj 1 Sept'17 BS prev 3.9 jt ; driver allow per 13 mei'17 prev none</t>
  </si>
  <si>
    <t>Jl. Sidareja No. 334/41 RT 05 / RW 06, Kel. Sukamaju Kec. Cibeunying Kidul, Kota Bandung</t>
  </si>
  <si>
    <t>BCA : 2281451318</t>
  </si>
  <si>
    <t>3204052003850004</t>
  </si>
  <si>
    <t>jaffarudin@gmail.com</t>
  </si>
  <si>
    <t>48</t>
  </si>
  <si>
    <t>OS1702119</t>
  </si>
  <si>
    <t>Henri Sihombing</t>
  </si>
  <si>
    <t>Sirimbang, 4 Desember 1974</t>
  </si>
  <si>
    <t/>
  </si>
  <si>
    <t>Perum Griya Setu Permai II Blok BB 3 No. 7 RT 04 / RW 15, Kel. Ciledug Kec. Setu, Bekasi</t>
  </si>
  <si>
    <t>3202010412740003</t>
  </si>
  <si>
    <t>henripocatech@gmail.com</t>
  </si>
  <si>
    <t xml:space="preserve">Cuti Tidak di bayar selama 9 hari </t>
  </si>
  <si>
    <t>49</t>
  </si>
  <si>
    <t>OS1702120</t>
  </si>
  <si>
    <t>Adrian Ferdhana</t>
  </si>
  <si>
    <t>Palembang, 26 aug 1981</t>
  </si>
  <si>
    <t>Team Leader &amp; Driver =&gt; Team Leader 01/02/18</t>
  </si>
  <si>
    <t>eff 1 Feb '18 no driver allw prev 30rb; driver allow per 8 mei'17 prev none ; DA eff 1 Mar'17 NONE prev 30 rb</t>
  </si>
  <si>
    <t>Cipondoh Makmur Blok E4 No. 1 RT 07 / RW 05, Kel. Cipondoh Makmur Kec. Cipondoh, Kota Tangerang</t>
  </si>
  <si>
    <t>BCA 1780022350 an Dhony Alfandriansyah (Saudara)</t>
  </si>
  <si>
    <t>3671052608810003</t>
  </si>
  <si>
    <t>ferdhanaadrian@gmail.com</t>
  </si>
  <si>
    <t>50</t>
  </si>
  <si>
    <t>OS1702186</t>
  </si>
  <si>
    <t>Tursiyah</t>
  </si>
  <si>
    <t>Cilacap, 13 aug 1973</t>
  </si>
  <si>
    <t>S3</t>
  </si>
  <si>
    <t>Office Girl =&gt; Office Assistant 1/4/18</t>
  </si>
  <si>
    <t>inc salary</t>
  </si>
  <si>
    <t>change posisi eff 1 Apr '18 prev BS 2.765.000 CA 150rb daily 17rb</t>
  </si>
  <si>
    <t>Gang Gardu Rt.008/005 Bojong, Pondok Terong, Depok, Citayam Bogor</t>
  </si>
  <si>
    <t>Mandiri 0060002319493</t>
  </si>
  <si>
    <t>3175035308730004</t>
  </si>
  <si>
    <t>51</t>
  </si>
  <si>
    <t>OS1702187</t>
  </si>
  <si>
    <t>Rahmat Sarifudin</t>
  </si>
  <si>
    <t>Kebumen, 8 September 1989</t>
  </si>
  <si>
    <t>Installer =&gt; Team Leader 1/3/2018</t>
  </si>
  <si>
    <t>adj 1 Mar'18 BS prev 2.765.000 CA 150 rb</t>
  </si>
  <si>
    <t>Perum Graha Cibadak Block A5/22 Ds. Pasir Nangka, Kec Tigaraksa, Tanggerang</t>
  </si>
  <si>
    <t>085891346484</t>
  </si>
  <si>
    <t>3603180809890016</t>
  </si>
  <si>
    <t>rahmat.ovan89@gmail.com</t>
  </si>
  <si>
    <t>52</t>
  </si>
  <si>
    <t>OS1702190</t>
  </si>
  <si>
    <t>Muhammad Bagja Subakti</t>
  </si>
  <si>
    <t>Bandung, 14 November 1982</t>
  </si>
  <si>
    <t>WH Tools &amp; Asset Management</t>
  </si>
  <si>
    <t>Jl. Musyawarah No. 14 Rt.002/009 Rawa Mekar Jaya Serpong</t>
  </si>
  <si>
    <t>085221159915</t>
  </si>
  <si>
    <t>Mandiri : 1640001299421</t>
  </si>
  <si>
    <t>3206121411820001</t>
  </si>
  <si>
    <t>77.881.751.0-421.000</t>
  </si>
  <si>
    <t>15030896904</t>
  </si>
  <si>
    <t>arh_bagja@yahoo.co.id</t>
  </si>
  <si>
    <t>53</t>
  </si>
  <si>
    <t>OS1510051</t>
  </si>
  <si>
    <t>Rahmad Hary Nurdi</t>
  </si>
  <si>
    <t>Mojokerto, 2 Juli 1982</t>
  </si>
  <si>
    <t>eff 6 Mar'17 change posisi &amp; BS prev 2.780.000 &amp;CA prev 150 rb ; eff 1 jan '17 prev BS 2.560.000 &amp; DA 15rb; eff 1 Jan'16 prev BS 2.440.000 &amp; No CA &amp; DA 10.000</t>
  </si>
  <si>
    <t>Kp. Buaran I Rt/Rw.006/008 Jatinegara, Cakung, Jakarta Timur</t>
  </si>
  <si>
    <t>082 330975900</t>
  </si>
  <si>
    <t>Mandiri : 0060005204122</t>
  </si>
  <si>
    <t>3175060207820031</t>
  </si>
  <si>
    <t>0001676635132</t>
  </si>
  <si>
    <t>rahmadhary.45@gmail.com</t>
  </si>
  <si>
    <t>54</t>
  </si>
  <si>
    <t>OS1612018</t>
  </si>
  <si>
    <t>Sumardi</t>
  </si>
  <si>
    <t>Bogor, 28 Oktober 1991</t>
  </si>
  <si>
    <t>Jl. Sawo Kp. Utan RT 03 / RW 07, Krukut, Limo, Kota Depok</t>
  </si>
  <si>
    <t>089307003731</t>
  </si>
  <si>
    <t>Mandiri : 1210004713636 
a/n Surono</t>
  </si>
  <si>
    <t>3276042810910007</t>
  </si>
  <si>
    <t>mardisumardi@gmail.com</t>
  </si>
  <si>
    <t>55</t>
  </si>
  <si>
    <t>OS1612038</t>
  </si>
  <si>
    <t>Hendri Setiawan Junaedi</t>
  </si>
  <si>
    <t>8 Oktober 1987</t>
  </si>
  <si>
    <t>eff 1 jan '17 prev BS 2.560.000 &amp; DA 15rb;</t>
  </si>
  <si>
    <t>Jln masjid darussalam Rt 003/014 Desa kedaung kecamatan Pamulang kota tanggerang Selatan / Jl. H. Sarma, Kp. Pondok Aren Kel. Parigi Kec. Pondok Aren, Tangerang</t>
  </si>
  <si>
    <t>089539018029</t>
  </si>
  <si>
    <t>BCA : 0670078035</t>
  </si>
  <si>
    <t>3674060810870003</t>
  </si>
  <si>
    <t>49.132.930.6-411.000</t>
  </si>
  <si>
    <t>56</t>
  </si>
  <si>
    <t>OS1705048</t>
  </si>
  <si>
    <t>Supriyanto</t>
  </si>
  <si>
    <t>Jombang 29, September 1991</t>
  </si>
  <si>
    <t>Jawa Timur</t>
  </si>
  <si>
    <t>Installer =&gt; Team Leader 26/02/18</t>
  </si>
  <si>
    <t>change posisi eff 26 Feb '18 prev BS 2.765.000 CA 150rb</t>
  </si>
  <si>
    <t>Dusun Barmanik Kec. Perak Kab. Jombang, Jawa Timur</t>
  </si>
  <si>
    <t>085894121332</t>
  </si>
  <si>
    <t>supry29091991@gmail.com</t>
  </si>
  <si>
    <t>57</t>
  </si>
  <si>
    <t>OS1705049</t>
  </si>
  <si>
    <t>Moh Ghufron Alfajri</t>
  </si>
  <si>
    <t>Sukoharjo, 12 Juli 1986</t>
  </si>
  <si>
    <t>Dk Brunggang Rt/Rw.003/003 Krajan, Weru, Sukoharjo, Jawa Tengah</t>
  </si>
  <si>
    <t>Mandiri : 1350014434474</t>
  </si>
  <si>
    <t>3311011207860002</t>
  </si>
  <si>
    <t xml:space="preserve">13019284416   </t>
  </si>
  <si>
    <t>alfajri999@gmail.com</t>
  </si>
  <si>
    <t>58</t>
  </si>
  <si>
    <t>OS1705059</t>
  </si>
  <si>
    <t>Sugiarto Subeni</t>
  </si>
  <si>
    <t>Jombang, 21 September 1994</t>
  </si>
  <si>
    <t>Installer =&gt; Installer &amp; Driver 15/2/18</t>
  </si>
  <si>
    <t>entitle driver allw 15/2/18 prev none</t>
  </si>
  <si>
    <t>Dsn Barmanik Rt/Rw.002/001 Jantiganggong, Perak, Kab. Jombang, Jawa Timur</t>
  </si>
  <si>
    <t>085730495534</t>
  </si>
  <si>
    <t>3517012109940002</t>
  </si>
  <si>
    <t>Benicorong@gmail.com</t>
  </si>
  <si>
    <t>59</t>
  </si>
  <si>
    <t>OS1705065</t>
  </si>
  <si>
    <t>Hadi Soesanto Ratman</t>
  </si>
  <si>
    <t>Surabaya, 27 September 1978</t>
  </si>
  <si>
    <t>Petemon Sidomulyo 4-A/34 Rt/Rw.015/018 Petemon, Sawahan, Kota Surabaya</t>
  </si>
  <si>
    <t xml:space="preserve">085607719111  </t>
  </si>
  <si>
    <t>1400012256773 Mandiri a/n Gesty Candra Ayu Pratiwi</t>
  </si>
  <si>
    <t xml:space="preserve">3578062709780002   </t>
  </si>
  <si>
    <t xml:space="preserve">santo.elang91@gmail.com       </t>
  </si>
  <si>
    <t>60</t>
  </si>
  <si>
    <t>OS1705066</t>
  </si>
  <si>
    <t>Sukmo Wiyono</t>
  </si>
  <si>
    <t>Pacitan, 7 Nopember 1994</t>
  </si>
  <si>
    <t>Krajan Rt/Rw.001/001 Ngumbul, Tulakan, Kab. Pacitan, Jawa Timur</t>
  </si>
  <si>
    <t>083845225076</t>
  </si>
  <si>
    <t>9000022125281 Mandiri a/n Sukmo Wiyono</t>
  </si>
  <si>
    <t>3501100711940001</t>
  </si>
  <si>
    <t>0001632085075</t>
  </si>
  <si>
    <t>Sukma_ucil@yahoo.com</t>
  </si>
  <si>
    <t>61</t>
  </si>
  <si>
    <t>OS1705067</t>
  </si>
  <si>
    <t>Noor Ihsan Fajaryanto</t>
  </si>
  <si>
    <t>Madiun, 5 April 1987</t>
  </si>
  <si>
    <t>Jerukgulung Rt/Rw.005/001 Jerukgulung, Balerejo, Kab. Madiun, Jawa Timur</t>
  </si>
  <si>
    <t xml:space="preserve">082234738295  </t>
  </si>
  <si>
    <t>0184048546 BCA a/n Noor Ihsan Fajaryanto</t>
  </si>
  <si>
    <t>3519100504870002</t>
  </si>
  <si>
    <t xml:space="preserve">ihsanl0verosul@gmail.com       </t>
  </si>
  <si>
    <t>62</t>
  </si>
  <si>
    <t>OS1708036</t>
  </si>
  <si>
    <t>Arbilah Avtor Rully</t>
  </si>
  <si>
    <t>Surabaya, 5 Maret 1986</t>
  </si>
  <si>
    <t>DCC</t>
  </si>
  <si>
    <t>Kupang Gunung Barat 6/8 RT 06 / RW 09, Kel. Putat Jaya Kec. Sawangan, Kota Surabaya</t>
  </si>
  <si>
    <t>BCA : 0870081570</t>
  </si>
  <si>
    <t>3578130503860003</t>
  </si>
  <si>
    <t>584479679614000</t>
  </si>
  <si>
    <t>0001393714541</t>
  </si>
  <si>
    <t>arbilahavtorruly@gmail.com</t>
  </si>
  <si>
    <t>extend 30-September-2018</t>
  </si>
  <si>
    <t>63</t>
  </si>
  <si>
    <t>OS1701034</t>
  </si>
  <si>
    <t>Agung Suherman</t>
  </si>
  <si>
    <t>Jakarta, 6 Oktober 1988</t>
  </si>
  <si>
    <t>driver allow eff 31 Jul'17 E_15/9/2017</t>
  </si>
  <si>
    <t>Waru Jaya RT 01/ RW 02, Kel. Warujaya Kec. Parung, Bogor</t>
  </si>
  <si>
    <t>085779313310</t>
  </si>
  <si>
    <t>BCA : 5855067274</t>
  </si>
  <si>
    <t>3201100610880002</t>
  </si>
  <si>
    <t>Cuti tidak dibayar Tgl 5 Juli, 7 Juli, 8 Juli, 13 Juli, 15 Juli, dan 24 Juli s/d 28 Juli 2017</t>
  </si>
  <si>
    <t>64</t>
  </si>
  <si>
    <t>OS1610032</t>
  </si>
  <si>
    <t>Aris Nasrul</t>
  </si>
  <si>
    <t>Padang, 25 Maret 1983</t>
  </si>
  <si>
    <t>Quality Leader</t>
  </si>
  <si>
    <t>ACTIVE</t>
  </si>
  <si>
    <t>Jl. Payakumbuh II No. 590, Siteba, Padang Sumatera Barat</t>
  </si>
  <si>
    <t>082178069707</t>
  </si>
  <si>
    <t>BCA : 4300438631</t>
  </si>
  <si>
    <t>1371102503830001</t>
  </si>
  <si>
    <t>58.387.631-311.000</t>
  </si>
  <si>
    <t>0001739541881 OK</t>
  </si>
  <si>
    <t>areis.nasrul@gmail.com, aris.nasrul@corphr-nokia.com</t>
  </si>
  <si>
    <t>65</t>
  </si>
  <si>
    <t>OS1710069</t>
  </si>
  <si>
    <t>Riki</t>
  </si>
  <si>
    <t>Bogor, 11 Oktober 1980</t>
  </si>
  <si>
    <t>Bali</t>
  </si>
  <si>
    <t>H3I TSEL</t>
  </si>
  <si>
    <t>Zone Manager H3I &amp; SGI Tsel Project</t>
  </si>
  <si>
    <t>employee only</t>
  </si>
  <si>
    <t>Taman Kedaton II Blok A6 RT 03 / RW 10, Kel. Laladon Kec. Ciomas, Bogor</t>
  </si>
  <si>
    <t>CIMB : 0701482116300 an Riki</t>
  </si>
  <si>
    <t>3201291110800005</t>
  </si>
  <si>
    <t>641501010434000</t>
  </si>
  <si>
    <t>riki.cqa@gmail.com, riki.riki@corphr-nokia.com</t>
  </si>
  <si>
    <t>66</t>
  </si>
  <si>
    <t xml:space="preserve"> OS1702158</t>
  </si>
  <si>
    <t>Rofin Farianto</t>
  </si>
  <si>
    <t>Malang, 28 Oktober 1979</t>
  </si>
  <si>
    <t>tis</t>
  </si>
  <si>
    <t>Coordinator TI Project</t>
  </si>
  <si>
    <t>Jl. Sumedang 54 Rt/Rw.0/3 Kepanjen, Malang, Jatim</t>
  </si>
  <si>
    <t>089672094398 / 081338756809</t>
  </si>
  <si>
    <t>BNI : 0433764747</t>
  </si>
  <si>
    <t>3374092810790002</t>
  </si>
  <si>
    <t>r.farianto@gmail.com, rofin.farianto@corphr-nokia.com</t>
  </si>
  <si>
    <t>67</t>
  </si>
  <si>
    <t>OS1710100</t>
  </si>
  <si>
    <t>Diaz Akbari</t>
  </si>
  <si>
    <t>Tangerang, 01 Juni 1993</t>
  </si>
  <si>
    <t>Document Controller</t>
  </si>
  <si>
    <t>Kp.Lengkong Kulon RT 02/01 Kec.Pagedangan, Kab.Tangerang Banten</t>
  </si>
  <si>
    <t>082299776936</t>
  </si>
  <si>
    <t>MANDIRI : 1240007964357</t>
  </si>
  <si>
    <t>3603220106930002</t>
  </si>
  <si>
    <t>76.228.527.8-452.000</t>
  </si>
  <si>
    <t>16048187724</t>
  </si>
  <si>
    <t>0002092695164</t>
  </si>
  <si>
    <t>diaz.akbari@indottech.corphr.com</t>
  </si>
  <si>
    <t>68</t>
  </si>
  <si>
    <t>OS1710101</t>
  </si>
  <si>
    <t>Novryus Hangryawan</t>
  </si>
  <si>
    <t>Padang , 13 November 1989</t>
  </si>
  <si>
    <t>Jln.ir sutami link. krenceng rt 009/003 kel.kebonsari kec. citangkil cilegon-banten 42442</t>
  </si>
  <si>
    <t>MANDIRI : 1630002411299</t>
  </si>
  <si>
    <t>3672081311890004</t>
  </si>
  <si>
    <t>novri_king@ymail.com</t>
  </si>
  <si>
    <t>69</t>
  </si>
  <si>
    <t>OS1710102</t>
  </si>
  <si>
    <t>Umara Yana</t>
  </si>
  <si>
    <t>Cianjur, 25 Desember 1980</t>
  </si>
  <si>
    <t>Kp. Cikareo RT04 RW01 Kel.Sukaresmi,Kec.Sukaresmi, Kab.Cianjur Jawa Barat</t>
  </si>
  <si>
    <t>087714528638</t>
  </si>
  <si>
    <t>BRI : '407101015712536</t>
  </si>
  <si>
    <t>3203132512800001</t>
  </si>
  <si>
    <t>70</t>
  </si>
  <si>
    <t>OS1504013</t>
  </si>
  <si>
    <t>Deki Suhendar</t>
  </si>
  <si>
    <t>Garut, 31 Desember 1993</t>
  </si>
  <si>
    <t>REJOIN 02 OCT 2017 ; eff 1 jan '17 prev BS 2.560.000 &amp; DA15rb; eff 1 Jan'16 prev BS 2.440.000 &amp; No CA &amp; DA 10.000</t>
  </si>
  <si>
    <t>Kp. Pasir Jambu Rt/Rw.004/007 Leles, Leles, Garut 44152</t>
  </si>
  <si>
    <t>08976176612</t>
  </si>
  <si>
    <t>Mandiri : 9000026428517</t>
  </si>
  <si>
    <t>3205093112930003</t>
  </si>
  <si>
    <t>0001640200566 OK</t>
  </si>
  <si>
    <t>71</t>
  </si>
  <si>
    <t xml:space="preserve"> OS1610024</t>
  </si>
  <si>
    <t>Arief Hidayat</t>
  </si>
  <si>
    <t>Bandung, 27 Mei 1985</t>
  </si>
  <si>
    <t>Coordinator =&gt; Junior ZM eff 23/04/18</t>
  </si>
  <si>
    <t>change posisi eff 23 Apr '18 prev BS 4.5jt, CA 400rb, DA 20rb, Posisi 500rb, Transp none</t>
  </si>
  <si>
    <t>Kp. Rancakendal RT 01/ RW 14, Desa Cipedes Kec. Paseh, Kab. Bandung</t>
  </si>
  <si>
    <t>085323096655</t>
  </si>
  <si>
    <t>BCA : 3461645109</t>
  </si>
  <si>
    <t>3505162705850002</t>
  </si>
  <si>
    <t>762437929444000</t>
  </si>
  <si>
    <t xml:space="preserve">ariefh.neo@gmail.com ; ariefh85@gmail.com
</t>
  </si>
  <si>
    <t>72</t>
  </si>
  <si>
    <t>OS1711025</t>
  </si>
  <si>
    <t>Fernando Antonius</t>
  </si>
  <si>
    <t>Jakarta, 27 Desember 1989</t>
  </si>
  <si>
    <t>Kav. PGRI RT.01/021 No.155  Kel. Pejuang Kec. Medan Satria Bekasi Barat</t>
  </si>
  <si>
    <t>081294871189</t>
  </si>
  <si>
    <t>MANDIRI : 9000042131814</t>
  </si>
  <si>
    <t>3275062712890010</t>
  </si>
  <si>
    <t>fernandoantonius27@gmail.com</t>
  </si>
  <si>
    <t>73</t>
  </si>
  <si>
    <t>OS1711026</t>
  </si>
  <si>
    <t>Syaiful Mashuri</t>
  </si>
  <si>
    <t>Talang Padang, 4 Oktober 1986</t>
  </si>
  <si>
    <t>Sumatra Selatan</t>
  </si>
  <si>
    <t>Kp. Baru RT 14 / RW 06, Kel. Sinar Banten Kec. Talang Padang, Tanggamus</t>
  </si>
  <si>
    <t>08136828809</t>
  </si>
  <si>
    <t>Mandiri : 1240007988471</t>
  </si>
  <si>
    <t>1806020410860004</t>
  </si>
  <si>
    <t>syaifulmashuri8@gmail.com</t>
  </si>
  <si>
    <t>74</t>
  </si>
  <si>
    <t>OS1506006</t>
  </si>
  <si>
    <t>Deddy Priambodo Setiansyah</t>
  </si>
  <si>
    <t>Surabaya, 3 September 1984</t>
  </si>
  <si>
    <t>Bali-Denpasar =&gt; Jabodetabek Purwakarta Karawang Serang 13/2/18</t>
  </si>
  <si>
    <t>adj 13 Feb'18 BS prev 4.2 jt entitle posisi allow prev none</t>
  </si>
  <si>
    <t>Jl. Manukan Asri III Blok 33 D/12, Surabaya, Jawa Timur</t>
  </si>
  <si>
    <t>089660797851 / 08992682243</t>
  </si>
  <si>
    <t>BCA : 3701106693</t>
  </si>
  <si>
    <t>3578140309840001</t>
  </si>
  <si>
    <t>deddy.setiansyah@gmail.com</t>
  </si>
  <si>
    <t>75</t>
  </si>
  <si>
    <t>Yangyag Muhamad Taufik</t>
  </si>
  <si>
    <t>Bandung, 10 Oktober 1988</t>
  </si>
  <si>
    <t>Kp. Cipandawa RT 005 / RW 002 Ds. Sukajaya Kec. Bojongpicung Kab. Cianjur Jawa Barat</t>
  </si>
  <si>
    <t>082126036371/ 082250434629</t>
  </si>
  <si>
    <t>MANDIRI : 900-00-1815128-3</t>
  </si>
  <si>
    <t>3203061010880014</t>
  </si>
  <si>
    <t>iyank.taufik23@gmail.com</t>
  </si>
  <si>
    <t>76</t>
  </si>
  <si>
    <t>OS1711050</t>
  </si>
  <si>
    <t>Martin Anggara Saputra</t>
  </si>
  <si>
    <t>Manna Bengkulu Selatan, 28 April 1996</t>
  </si>
  <si>
    <t>Jl. Datuk Madrus Ps. Manna Bengkulu Selatan 04/01</t>
  </si>
  <si>
    <t>085839317406</t>
  </si>
  <si>
    <t>2582042838 BCA a.n Zulfatus Zuroya</t>
  </si>
  <si>
    <t>1701112804960002</t>
  </si>
  <si>
    <t>0001238448328</t>
  </si>
  <si>
    <t>anggaram47@gmail.com</t>
  </si>
  <si>
    <t>77</t>
  </si>
  <si>
    <t>OS1711049</t>
  </si>
  <si>
    <t>Sigit Mardianto</t>
  </si>
  <si>
    <t>Purwokerto, 1 Maret 1973</t>
  </si>
  <si>
    <t>M4</t>
  </si>
  <si>
    <t>entitle driver allow eff  3 Jan '18 e_5/2/2018</t>
  </si>
  <si>
    <t>Jl. A. Djaelani 32, RT 01 / RW 03 Karang Wangkal Purwokerto Utara 53123</t>
  </si>
  <si>
    <t>085868067105 / 089523156661</t>
  </si>
  <si>
    <t>BRI : 6824-01-012039-53-6</t>
  </si>
  <si>
    <t>3302270103730003</t>
  </si>
  <si>
    <t>84.606.325.3-521.000</t>
  </si>
  <si>
    <t>sigitmardianto.ceteka@gmail.com</t>
  </si>
  <si>
    <t>78</t>
  </si>
  <si>
    <t>OS1711059</t>
  </si>
  <si>
    <t>Rafsanjani Nasrul</t>
  </si>
  <si>
    <t>Padang, 21 Mei 1986</t>
  </si>
  <si>
    <t>laptop allw</t>
  </si>
  <si>
    <t>entitle laptop allow eff 3 Apr'18 prev none</t>
  </si>
  <si>
    <t>Jl. Raflesia Komp Perum Areka Recident Blok B1 No. 06 / RW 02, Kel. Nusa Indah Kec. Ratu Agung, Kota Bengkulu</t>
  </si>
  <si>
    <t>082384421686</t>
  </si>
  <si>
    <t>546401022815535 BRI a.n Yuke Widianti</t>
  </si>
  <si>
    <t>1771062105860003</t>
  </si>
  <si>
    <t>rafsanjani.nasrul@gmail.com</t>
  </si>
  <si>
    <t>79</t>
  </si>
  <si>
    <t>OS1711060</t>
  </si>
  <si>
    <t>Nur Kholis</t>
  </si>
  <si>
    <t>Megang Sakti, 28 Agustus 1993</t>
  </si>
  <si>
    <t>Dusun II RT 11, Kel. Megang Sakti III, Musi Rawas</t>
  </si>
  <si>
    <t>085740989608</t>
  </si>
  <si>
    <t>BCA : 0213183688</t>
  </si>
  <si>
    <t>1605122808930005</t>
  </si>
  <si>
    <t>kholisstylen93@gmail.com</t>
  </si>
  <si>
    <t>80</t>
  </si>
  <si>
    <t>OS1711061</t>
  </si>
  <si>
    <t>Sugiono Chandra, A.Md</t>
  </si>
  <si>
    <t>Surakarta, 17 November 1974</t>
  </si>
  <si>
    <t>Jl. Raya Monjok Kebon No. 21 Lingk. Kbn Jaya TI RT 05, Kel. Monjok Kec. Selaparang 83122, Mataram</t>
  </si>
  <si>
    <t>085271564625</t>
  </si>
  <si>
    <t>0700004792201 Mandiri a.n Sugiono Chandra</t>
  </si>
  <si>
    <t>5271051711740002</t>
  </si>
  <si>
    <t>81</t>
  </si>
  <si>
    <t>OS1711062</t>
  </si>
  <si>
    <t>Tris Permana</t>
  </si>
  <si>
    <t>Jakarta, 13 Oktober 1972</t>
  </si>
  <si>
    <t>Jabodetabek</t>
  </si>
  <si>
    <t>Jl. Sersan Hamzah RT 02 / RW 09, Kel. Margahayu Kec. Bekasi Timur, Kota Bekasi</t>
  </si>
  <si>
    <t>081582844046</t>
  </si>
  <si>
    <t>5780760437 BCA a.n Heny Anizar</t>
  </si>
  <si>
    <t>3275011310720014</t>
  </si>
  <si>
    <t>trispermana11@gmail.com</t>
  </si>
  <si>
    <t>82</t>
  </si>
  <si>
    <t>OS1711068</t>
  </si>
  <si>
    <t>Aji Satria Laksmono Jati</t>
  </si>
  <si>
    <t>Jakarta, 21 Februari 1986</t>
  </si>
  <si>
    <t>Team Leader =&gt; Team Leader &amp; Driver 21/1/2018</t>
  </si>
  <si>
    <t>entitle driver allow eff  21 Jan '18</t>
  </si>
  <si>
    <t>Rawa Indah No. 101 RT 06/ RW 03, Kel. Pegangsaan Dua Kec. Kelapa Gading</t>
  </si>
  <si>
    <t>085882138386</t>
  </si>
  <si>
    <t>4140245149 BCA a.n Aji Satria Laksmono Jati</t>
  </si>
  <si>
    <t>3216022102860009</t>
  </si>
  <si>
    <t>449489632002000</t>
  </si>
  <si>
    <t>16041447315</t>
  </si>
  <si>
    <t>0002246786504</t>
  </si>
  <si>
    <t>satria.adjieputri@gmail.com</t>
  </si>
  <si>
    <t>83</t>
  </si>
  <si>
    <t>OS1711069</t>
  </si>
  <si>
    <t>Amirul Mu’minin</t>
  </si>
  <si>
    <t>Jepara Jateng, 25 September 1992</t>
  </si>
  <si>
    <t>Jl. Pelemkerep Mayong Jepara / 
Jl. Garuda Gg. Pucuk No. 2 Dalung Permai Denpasar</t>
  </si>
  <si>
    <t>082237237365</t>
  </si>
  <si>
    <t>MANDIRI : 9000029739951 a.n amirul muminin</t>
  </si>
  <si>
    <t>3320042509920001</t>
  </si>
  <si>
    <t>paimansubakti@yahoo.co.id</t>
  </si>
  <si>
    <t>84</t>
  </si>
  <si>
    <t>OS1703073</t>
  </si>
  <si>
    <t>Masriana</t>
  </si>
  <si>
    <t>Benteng Selayar, 10 September 1988</t>
  </si>
  <si>
    <t>Document Control</t>
  </si>
  <si>
    <t>BTN Minasa Upa Blok C2/10 Rt/Rw.002/006 Gunung Sari, Rappocini, Kota Makassar, Sulawesi Selatan</t>
  </si>
  <si>
    <t>085399525997</t>
  </si>
  <si>
    <t>MANDIRI : 1520015591569</t>
  </si>
  <si>
    <t>7371135009880012</t>
  </si>
  <si>
    <t>734406010805000</t>
  </si>
  <si>
    <t>0001738832973</t>
  </si>
  <si>
    <t>masrianasardi2@gmail.com</t>
  </si>
  <si>
    <t>85</t>
  </si>
  <si>
    <t>OS1712006</t>
  </si>
  <si>
    <t>Imam Safii</t>
  </si>
  <si>
    <t>Banyumas, 08 Oktober 1976</t>
  </si>
  <si>
    <t>Desa Bojong Sari RT 01 / RW 01, Kec. Kembaran Banyumas 53182</t>
  </si>
  <si>
    <t>085655664957</t>
  </si>
  <si>
    <t>BRI : '6829-01-015647-53-2</t>
  </si>
  <si>
    <t>3302200810760001</t>
  </si>
  <si>
    <t>safiiimam627@gmail.com</t>
  </si>
  <si>
    <t>86</t>
  </si>
  <si>
    <t>OS1712007</t>
  </si>
  <si>
    <t>Moh Khoir Rizqi</t>
  </si>
  <si>
    <t>Jakarta, 16 April 1989</t>
  </si>
  <si>
    <t>Jln. C Utan Panjang III No. 16 RT 002/005 Kemayoran Jakarta Pusat</t>
  </si>
  <si>
    <t>0895331644729 / 083862255524</t>
  </si>
  <si>
    <t>BCA : 2761592442 A.N Rafika Iristianti</t>
  </si>
  <si>
    <t>3171031604890001</t>
  </si>
  <si>
    <t>Mohammadkhoir89@gmail.com</t>
  </si>
  <si>
    <t>88</t>
  </si>
  <si>
    <t>OS1712010</t>
  </si>
  <si>
    <t>Yulkurnain Agus Rahmanto</t>
  </si>
  <si>
    <t>30 Desember 1979</t>
  </si>
  <si>
    <t>Kalisoro RT 03 / RW 01</t>
  </si>
  <si>
    <t>082234458673 / 081584338344</t>
  </si>
  <si>
    <t>MANDIRI : 1210005683101</t>
  </si>
  <si>
    <t>3313063012790004</t>
  </si>
  <si>
    <t>brekele_agoes@yahoo.co.id</t>
  </si>
  <si>
    <t>89</t>
  </si>
  <si>
    <t>OS1412011</t>
  </si>
  <si>
    <t>Iwan Hendrianto</t>
  </si>
  <si>
    <t>Blitar, 12 Maret 1988</t>
  </si>
  <si>
    <t>SF =&gt; TIS</t>
  </si>
  <si>
    <t>Project Engineer</t>
  </si>
  <si>
    <t>No =&gt; yes =&gt; NO</t>
  </si>
  <si>
    <t>Yes =&gt; RI&amp;RJ only employee &amp; BPJS Kes 1/1/2018</t>
  </si>
  <si>
    <t>eff 1 Jan'18 change asuransi BS prev 8 jt CA prev 500 rb BB prev 100 rb transp &amp; posisi allow none OT prev yes ; move project eff Mar'17 asuransi ttp 400 hinga 31 Des'17 ; entitle BB Jan '16 prev none ; adjust Jan '16 prev 5 jt</t>
  </si>
  <si>
    <t>Link. Tumpuk Rt/Rw.1/6 Kel. Tangkil Kec. Wlingi, Blitar</t>
  </si>
  <si>
    <t>0342-694750 / 085604359495</t>
  </si>
  <si>
    <t>BCA : 3220423505</t>
  </si>
  <si>
    <t>3505171203880003</t>
  </si>
  <si>
    <t>98.328.469.6-653.000</t>
  </si>
  <si>
    <t>12044582612</t>
  </si>
  <si>
    <t>0001401839368 OK</t>
  </si>
  <si>
    <t>iwan.hendrianto@yahoo.com, iwan.hendrianto@corphr-nokia.com</t>
  </si>
  <si>
    <t>move TIS per Maret 2017</t>
  </si>
  <si>
    <t>90</t>
  </si>
  <si>
    <t>OS1801058</t>
  </si>
  <si>
    <t>Wenda</t>
  </si>
  <si>
    <t>Jakarta, 24 April 1983</t>
  </si>
  <si>
    <t>Jl. Kali Anyar VIII No.1 Rt. 008 Rw. 06, Kel. Kali Anyar Kec. Tambora, Jakarta Barat 11310</t>
  </si>
  <si>
    <t>081285946182</t>
  </si>
  <si>
    <t>BCA  5370157652</t>
  </si>
  <si>
    <t>3173042404830011</t>
  </si>
  <si>
    <t>452203318033000</t>
  </si>
  <si>
    <t>wendaara2@gmail.com</t>
  </si>
  <si>
    <t>91</t>
  </si>
  <si>
    <t>OS1801053</t>
  </si>
  <si>
    <t>Andri Hidayat</t>
  </si>
  <si>
    <t>Cianjur, 25 Juli 1995</t>
  </si>
  <si>
    <t>Team Leader &amp; Driver</t>
  </si>
  <si>
    <t>Kp. Cipandawa RT 05 / RW 02, Kel. Sukajaya Kec. Bojongpicung, Kab. Cianjur, Jawa Barat</t>
  </si>
  <si>
    <t>081353313393</t>
  </si>
  <si>
    <t>MANDIRI  1450010846141</t>
  </si>
  <si>
    <t>3203062507950002</t>
  </si>
  <si>
    <t>andry.hidayat95@gmail.com</t>
  </si>
  <si>
    <t>92</t>
  </si>
  <si>
    <t>OS1801059</t>
  </si>
  <si>
    <t>Fandi Rohmat</t>
  </si>
  <si>
    <t>Bojonegoro, 6 Maret 1986</t>
  </si>
  <si>
    <t>Ds. Klepek Kec. Sukosewu Kab. Bojonegoro</t>
  </si>
  <si>
    <t>082 331 320 160</t>
  </si>
  <si>
    <t>MANDIRI  1420013914923</t>
  </si>
  <si>
    <t>3522230603860001</t>
  </si>
  <si>
    <t>fandirohmat999@gmail.com</t>
  </si>
  <si>
    <t>93</t>
  </si>
  <si>
    <t>OS1801060</t>
  </si>
  <si>
    <t>Arga Tama Putra</t>
  </si>
  <si>
    <t>Pacitan, 30 September 1995</t>
  </si>
  <si>
    <t>Dsn Tenggar Ds Kluwih kec Tulakan Kab Pacitan Jawa Timur</t>
  </si>
  <si>
    <t>087758193703</t>
  </si>
  <si>
    <t>Mandiri 1240009796203</t>
  </si>
  <si>
    <t>3501103009950001</t>
  </si>
  <si>
    <t>argaputra300995@gmail.com</t>
  </si>
  <si>
    <t>94</t>
  </si>
  <si>
    <t>OS1801054</t>
  </si>
  <si>
    <t>Muhammad Ilham  </t>
  </si>
  <si>
    <t>Bogor, ,02 Mei 1987</t>
  </si>
  <si>
    <t>Jl. Sindang Barang Pillar I RT 03 / RW 06 Bogor,Kel. Sindang Barang, Kec.Bogor Barat,Jawa Barat. Selatan</t>
  </si>
  <si>
    <t>089657358871</t>
  </si>
  <si>
    <t>BRI  761701004166535</t>
  </si>
  <si>
    <t>3271040205870008</t>
  </si>
  <si>
    <t>tll386277@gmail.com</t>
  </si>
  <si>
    <t>95</t>
  </si>
  <si>
    <t>OS1801061</t>
  </si>
  <si>
    <t>Yuli Teguh Waskita</t>
  </si>
  <si>
    <t>Purworejo, 22 Juli 1975</t>
  </si>
  <si>
    <t>Jl. S. Parman 59 Rt 02 Rw 09 Kutoarjo</t>
  </si>
  <si>
    <t>081575849779</t>
  </si>
  <si>
    <t>BCA  2340187736</t>
  </si>
  <si>
    <t>3306092207750009</t>
  </si>
  <si>
    <t>11012570591</t>
  </si>
  <si>
    <t>0001140609317</t>
  </si>
  <si>
    <t>ywak77@gmail.com</t>
  </si>
  <si>
    <t>96</t>
  </si>
  <si>
    <t>OS1709021</t>
  </si>
  <si>
    <t>N. Fakhrur Rozy</t>
  </si>
  <si>
    <t>Pontianak, 18 Januari 1990</t>
  </si>
  <si>
    <t>Pontianak</t>
  </si>
  <si>
    <t>Zone Manager</t>
  </si>
  <si>
    <t>Jl. Tritura Gg. Karya Sepakat No. 47 RT/RW:004/005, Kel. Tanjung Hilir Kec. Pontianak Timur Kota Pontianak</t>
  </si>
  <si>
    <t>08127777021 / 08113432788</t>
  </si>
  <si>
    <t>Mandiri : 1460007164648</t>
  </si>
  <si>
    <t>6171021801900003</t>
  </si>
  <si>
    <t>16.694.311.8-701.000</t>
  </si>
  <si>
    <t>0001543914887</t>
  </si>
  <si>
    <t>nfakhrurrozy@yahoo.com, nfakhrurrozy@gmail.com</t>
  </si>
  <si>
    <t>97</t>
  </si>
  <si>
    <t>OS1801062</t>
  </si>
  <si>
    <t>Achmad Rizkianto</t>
  </si>
  <si>
    <t>Banyumas, 4 Maret 1981</t>
  </si>
  <si>
    <t>Padamara RT 05 / RW 01, Padamara, Purbalingga</t>
  </si>
  <si>
    <t>085741159450</t>
  </si>
  <si>
    <t>BRI  681501009493530</t>
  </si>
  <si>
    <t>3303150403810004</t>
  </si>
  <si>
    <t>achmadrizkiantor@gmail.com</t>
  </si>
  <si>
    <t>98</t>
  </si>
  <si>
    <t>OS1801063</t>
  </si>
  <si>
    <t>Syaiful Bahri</t>
  </si>
  <si>
    <t>Pontianak, 7 Februari 1991</t>
  </si>
  <si>
    <t>Team Leader =&gt; Team Leader &amp; Driver 1/2/2018</t>
  </si>
  <si>
    <t>entitle driver allw eff 1/2/18 prev none</t>
  </si>
  <si>
    <t>Jl. Tritura Gg. H. Azhari RT 03/ RW 05 Kel. Tanjunga Hilir Pontianak Timur</t>
  </si>
  <si>
    <t>085787419066 / 085849558426</t>
  </si>
  <si>
    <t>BCA  7925288039</t>
  </si>
  <si>
    <t>6171020702910004</t>
  </si>
  <si>
    <t>syaifulbahri253@gmail.com</t>
  </si>
  <si>
    <t>99</t>
  </si>
  <si>
    <t>OS1801064</t>
  </si>
  <si>
    <t>Gusti Irman</t>
  </si>
  <si>
    <t>Putusibau, 13 Mei 1987</t>
  </si>
  <si>
    <t>Komp. Taman Surga Raya RT 17 / RW 01, Sungai Raya, Kubu Raya</t>
  </si>
  <si>
    <t>085654907774</t>
  </si>
  <si>
    <t>BCA  1710956045</t>
  </si>
  <si>
    <t>6112011305870010</t>
  </si>
  <si>
    <t>gustiirman66@gmail.com</t>
  </si>
  <si>
    <t>100</t>
  </si>
  <si>
    <t>OS1801065</t>
  </si>
  <si>
    <t>Adry Hubeth Parinusa</t>
  </si>
  <si>
    <t>Pontianak, 16 Agustus 1987</t>
  </si>
  <si>
    <t>S1</t>
  </si>
  <si>
    <t>Installer =&gt; Installer &amp; Driver eff 1/2/18 =&gt; Team Leader 1/4/18</t>
  </si>
  <si>
    <t>change posisi eff  Apr '18 prev Transp 715rb driver allw 750rb; entitle driver allw eff 1/2/18 prev none</t>
  </si>
  <si>
    <t>Jl. Karet Komp Karet Indah II Blok C-D No. 3 RT 02 / RW 37, Sungai Beliung, Pontianak Barat</t>
  </si>
  <si>
    <t>082152762888</t>
  </si>
  <si>
    <t>BCA  0292178385</t>
  </si>
  <si>
    <t>6171031608870001</t>
  </si>
  <si>
    <t>16.776.0990-701.000</t>
  </si>
  <si>
    <t>17004146936</t>
  </si>
  <si>
    <t>adryhubeth87@gmail.com</t>
  </si>
  <si>
    <t>101</t>
  </si>
  <si>
    <t>OS1801066</t>
  </si>
  <si>
    <t>Djamian</t>
  </si>
  <si>
    <t>Pontianak, 8 Januari 1991</t>
  </si>
  <si>
    <t>Dusun Palai RT/RW 005/003 Desa Sempalai Sebedang Kecamatan Sebawi</t>
  </si>
  <si>
    <t>081345946330</t>
  </si>
  <si>
    <t>BCA  '0291803554</t>
  </si>
  <si>
    <t>6171010801810001</t>
  </si>
  <si>
    <t>16.658.679.2-701.000</t>
  </si>
  <si>
    <t>12021828921</t>
  </si>
  <si>
    <t>0001970100538</t>
  </si>
  <si>
    <t>DJAMIANACHMAD@GMAIL.COM</t>
  </si>
  <si>
    <t>103</t>
  </si>
  <si>
    <t>OS1801068</t>
  </si>
  <si>
    <t>Azhar</t>
  </si>
  <si>
    <t>Pontianak, 02 Juli 1992</t>
  </si>
  <si>
    <t>Jl. Parit Pangeran Gg. Karya Bersama Kec : Pontianak Utara, Kelurahan Siantan Hulu</t>
  </si>
  <si>
    <t>082358217164</t>
  </si>
  <si>
    <t>MANDIRI   1460010271570</t>
  </si>
  <si>
    <t>6171040207920007</t>
  </si>
  <si>
    <t>169153574701000</t>
  </si>
  <si>
    <t>azhar.dirgantara@gmail.com</t>
  </si>
  <si>
    <t>104</t>
  </si>
  <si>
    <t>OS1801069</t>
  </si>
  <si>
    <t>Irawan Agus Setiawan</t>
  </si>
  <si>
    <t>Pontianak, 7 Mei 1992</t>
  </si>
  <si>
    <t>Jl. Tani Kelurahan Saigon</t>
  </si>
  <si>
    <t>082155551107</t>
  </si>
  <si>
    <t>MANDIRI   146-00-1163206-9</t>
  </si>
  <si>
    <t>6171020705920004</t>
  </si>
  <si>
    <t xml:space="preserve"> 0001064529617</t>
  </si>
  <si>
    <t>WAWAN.GCT@GMAIL.COM</t>
  </si>
  <si>
    <t>105</t>
  </si>
  <si>
    <t>OS1802018</t>
  </si>
  <si>
    <t>Zulkifli</t>
  </si>
  <si>
    <t>Pontianak, 13 Juni 1991</t>
  </si>
  <si>
    <t>Jl. Tanjung Raya 1 Gg. Harapan</t>
  </si>
  <si>
    <t>081257333573</t>
  </si>
  <si>
    <t>BCA   5125079030</t>
  </si>
  <si>
    <t>6171021306910002</t>
  </si>
  <si>
    <t>82.246.998.7-701.000</t>
  </si>
  <si>
    <t>16011260631</t>
  </si>
  <si>
    <t>zulkifliptk5@gmail.com</t>
  </si>
  <si>
    <t>106</t>
  </si>
  <si>
    <t>OS1801070</t>
  </si>
  <si>
    <t>Ramdani Munggahari</t>
  </si>
  <si>
    <t>Bandung, 31 Mei 1984</t>
  </si>
  <si>
    <t>Jl. Adisucipto Gg. Aminah RT 02 RW 03</t>
  </si>
  <si>
    <t>085750013719</t>
  </si>
  <si>
    <t>BCA  0292080814</t>
  </si>
  <si>
    <t>6112013105840009</t>
  </si>
  <si>
    <t>0002244125608</t>
  </si>
  <si>
    <t>Ramdanimunggahari415@gmail.com</t>
  </si>
  <si>
    <t>107</t>
  </si>
  <si>
    <t>OS1802019</t>
  </si>
  <si>
    <t>Candra Wibawa</t>
  </si>
  <si>
    <t>04 Maret 1988</t>
  </si>
  <si>
    <t>Engineer =&gt;Koordinator 1/4/2018</t>
  </si>
  <si>
    <t>change post eff 1 Apr '18 prev BS 3.9jt posisi none</t>
  </si>
  <si>
    <t>Dusun Bindang, Desa Kartiasa , Kec Sambas , Kab Sambas, Kal-Bar</t>
  </si>
  <si>
    <t>081256456089</t>
  </si>
  <si>
    <t>MANDIRI  146-00-1163770-4</t>
  </si>
  <si>
    <t>6171050403880004</t>
  </si>
  <si>
    <t>71.635.804.9-701.000</t>
  </si>
  <si>
    <t>0001543914898</t>
  </si>
  <si>
    <t>candra_wibawa89@yahoo.co.id</t>
  </si>
  <si>
    <t>108</t>
  </si>
  <si>
    <t>OS1802020</t>
  </si>
  <si>
    <t>Muttaqin</t>
  </si>
  <si>
    <t>Jl. Purnama 2, Gg. Eka Putra, RT 01 / RW 09, Kel. Parit Tokaya Pontianak Selatan</t>
  </si>
  <si>
    <t>085245806599</t>
  </si>
  <si>
    <t>MANDIRI  146-00-1164401-5</t>
  </si>
  <si>
    <t>6171012009860014</t>
  </si>
  <si>
    <t>0001543914854</t>
  </si>
  <si>
    <t>Muttaqin_DJ@yahoo.com</t>
  </si>
  <si>
    <t>109</t>
  </si>
  <si>
    <t>OS1802021</t>
  </si>
  <si>
    <t>Anugrah Rizky Nabila</t>
  </si>
  <si>
    <t>Pontianak, 19 Agustus 1996</t>
  </si>
  <si>
    <t>BTN Alam Bhana Makmur Blok G12 RT 10 / RW 10, Sungai Ambawang Kuala, Kubu Raya</t>
  </si>
  <si>
    <t>082159362510</t>
  </si>
  <si>
    <t>DANAMON  003607600750</t>
  </si>
  <si>
    <t>6112031908960001</t>
  </si>
  <si>
    <t>0002287059434</t>
  </si>
  <si>
    <t>abilslow21@gmail.com</t>
  </si>
  <si>
    <t>110</t>
  </si>
  <si>
    <t>OS1802022</t>
  </si>
  <si>
    <t>Bernandus Ugro Seno</t>
  </si>
  <si>
    <t>Jakarta, 8 Januari 1992</t>
  </si>
  <si>
    <t>Team Leader =&gt; Engineer 1/4/18</t>
  </si>
  <si>
    <t>change posisi eff 1 Apr '18 prev CA 250rb Laptop none Transp 1.365.000</t>
  </si>
  <si>
    <t>Jl. Adisucipto Gg. Buana RT 02 / RW 01, Kel. Parit Baru Kec. Sungai Raya, Kubu Raya</t>
  </si>
  <si>
    <t>BCA  0292058726</t>
  </si>
  <si>
    <t>6112010801920019</t>
  </si>
  <si>
    <t>0001966173017</t>
  </si>
  <si>
    <t>seno.doank99@gmail.com</t>
  </si>
  <si>
    <t>111</t>
  </si>
  <si>
    <t>OS1802024</t>
  </si>
  <si>
    <t>Hairul Hadi</t>
  </si>
  <si>
    <t>Pontianak, 27 Mei 1993</t>
  </si>
  <si>
    <t>Installer =&gt; Team Leader 1/4/2018</t>
  </si>
  <si>
    <t>change posisi eff 1 Apr '18 prev Transp 715rb</t>
  </si>
  <si>
    <t>Jl. Adisucipto, Gg. Teluk Permai RT 05 / RW 03, Teluk Kapuas, Sungai Raya, Kubu Raya</t>
  </si>
  <si>
    <t>082195262308</t>
  </si>
  <si>
    <t>BCA  0292061429</t>
  </si>
  <si>
    <t>6112012705930008</t>
  </si>
  <si>
    <t>hairulhadi20@gmail.com</t>
  </si>
  <si>
    <t>112</t>
  </si>
  <si>
    <t>OS1802025</t>
  </si>
  <si>
    <t>Marnus</t>
  </si>
  <si>
    <t>Sanggau, 26 Desember 1994</t>
  </si>
  <si>
    <t>Jl. Adisucipto, Gg. Belitung I RT 01 / RW 11, Bangka Belitung Laut, Kota Pontianak</t>
  </si>
  <si>
    <t>089693417168</t>
  </si>
  <si>
    <t>BCA  5125080453</t>
  </si>
  <si>
    <t>6171062612940002</t>
  </si>
  <si>
    <t>14027369751</t>
  </si>
  <si>
    <t>marnus160@gmail.com</t>
  </si>
  <si>
    <t>113</t>
  </si>
  <si>
    <t>OS1801071</t>
  </si>
  <si>
    <t>Dian Hariyadi</t>
  </si>
  <si>
    <t>Binjai, 26 Agustus 1976</t>
  </si>
  <si>
    <t>Project Coordinator</t>
  </si>
  <si>
    <t>Jl. Tanjung Barat RT 12 / RW 08, Gg. Langgar 3, Pasar Minggu, Jak-Sel</t>
  </si>
  <si>
    <t>087781701827</t>
  </si>
  <si>
    <t>MANDIRI  1390017011242</t>
  </si>
  <si>
    <t>3302162608760003</t>
  </si>
  <si>
    <t>472843523034000</t>
  </si>
  <si>
    <t>dian.hariyadi76@gmail.com</t>
  </si>
  <si>
    <t>114</t>
  </si>
  <si>
    <t>OS1802026</t>
  </si>
  <si>
    <t>Fernando</t>
  </si>
  <si>
    <t>Medan, 30 Oktober 1992</t>
  </si>
  <si>
    <t>Jl. Bunga Rampai Raya LK III RT 02 / RW 01, Simalingkar B, Medan Tuntungan, Kota Medan</t>
  </si>
  <si>
    <t>0853 9197 6012</t>
  </si>
  <si>
    <t>BCA  0292071301</t>
  </si>
  <si>
    <t>1271072002920001</t>
  </si>
  <si>
    <t>fernandosingarimbun118@gmail.com</t>
  </si>
  <si>
    <t>115</t>
  </si>
  <si>
    <t xml:space="preserve">OS1802027 </t>
  </si>
  <si>
    <t>Ricky Johanes Bangun</t>
  </si>
  <si>
    <t>Medan, 27 November 1993</t>
  </si>
  <si>
    <t>Jl. Bunga Rampai Raya Kel. Simalingkar B, Kec. Medan Tuntungan, Medan</t>
  </si>
  <si>
    <t>081264305693</t>
  </si>
  <si>
    <t>BCA  0292315846</t>
  </si>
  <si>
    <t>1271072711930003</t>
  </si>
  <si>
    <t>117</t>
  </si>
  <si>
    <t>OS1802031</t>
  </si>
  <si>
    <t>Edy Fahmudin</t>
  </si>
  <si>
    <t>Gunungkidul, 11 April 1992</t>
  </si>
  <si>
    <t>Sumatera Selatan</t>
  </si>
  <si>
    <t>Team Leader =&gt; Team Leader &amp; Driver 27/4/2018</t>
  </si>
  <si>
    <t>entitle driver allw eff 27 Apr '18 prev none</t>
  </si>
  <si>
    <t>Bedoyo Lor RT 03 / RW 04, Bedoyo, Ponjong, Gunung Kidul</t>
  </si>
  <si>
    <t>082299994147</t>
  </si>
  <si>
    <t>BCA  6500401531 a.n Anifah</t>
  </si>
  <si>
    <t>3403101104920002</t>
  </si>
  <si>
    <t>ksukadi3@gmail.com</t>
  </si>
  <si>
    <t>118</t>
  </si>
  <si>
    <t>OS1802033</t>
  </si>
  <si>
    <t>Sukarno</t>
  </si>
  <si>
    <t>Jakarta, 10 Maret 1984</t>
  </si>
  <si>
    <t>Kp. Pengarengan RT 10 RW 06 No. 80a Kel. Jatinegara Kec. Cakung</t>
  </si>
  <si>
    <t>Mandiri  165-00-0117477-1</t>
  </si>
  <si>
    <t>3175061003840017</t>
  </si>
  <si>
    <t>49.151.506.0-006.000</t>
  </si>
  <si>
    <t>16046515892</t>
  </si>
  <si>
    <t>0001445412205</t>
  </si>
  <si>
    <t>ganendrabraja09@gmail.com</t>
  </si>
  <si>
    <t>119</t>
  </si>
  <si>
    <t>OS1802034</t>
  </si>
  <si>
    <t>Hery Septian</t>
  </si>
  <si>
    <t>Sukabumi, 10 September 1981</t>
  </si>
  <si>
    <t>Kp. Kamurang Kel. Puspanegara RT 03 / RW 04, Kec. Citeureup Bogor</t>
  </si>
  <si>
    <t>089626698977</t>
  </si>
  <si>
    <t>3201031009810002</t>
  </si>
  <si>
    <t>eyiebatara@gmail.com</t>
  </si>
  <si>
    <t>120</t>
  </si>
  <si>
    <t>OS1802035</t>
  </si>
  <si>
    <t>Adil</t>
  </si>
  <si>
    <t>Medan, 15 Mei 1984</t>
  </si>
  <si>
    <t>Medan</t>
  </si>
  <si>
    <t>Jl. Platina 3 Link. 12 Titi Papan, Sumatera Utara</t>
  </si>
  <si>
    <t>081289298893</t>
  </si>
  <si>
    <t>BCA  8645038165</t>
  </si>
  <si>
    <t>1271061505840002</t>
  </si>
  <si>
    <t>099048589112000</t>
  </si>
  <si>
    <t>adilhuawei89@gmail.com</t>
  </si>
  <si>
    <t>121</t>
  </si>
  <si>
    <t>OS1802036</t>
  </si>
  <si>
    <t>Ruslian Bahari</t>
  </si>
  <si>
    <t>Tanjung Pura, 3 Mei 1994</t>
  </si>
  <si>
    <t>Team Leader =&gt; Team Leader &amp; Driver 1/4/2018</t>
  </si>
  <si>
    <t>change posisi eff 1 Apr '18 prev driver none</t>
  </si>
  <si>
    <t>Gg. Buntu Link. II Mawar, Kel. Sei Bilah Timur</t>
  </si>
  <si>
    <t>085275092490</t>
  </si>
  <si>
    <t>Mandiri  105-00-1159831-9</t>
  </si>
  <si>
    <t>1205170305940006</t>
  </si>
  <si>
    <t>bahari.ard03@gmail.com</t>
  </si>
  <si>
    <t>122</t>
  </si>
  <si>
    <t>OS1802037</t>
  </si>
  <si>
    <t>Riduwan</t>
  </si>
  <si>
    <t>Medan, 19 Februari 1983</t>
  </si>
  <si>
    <t>Jl. Setia Luhur Gg.Camar Lk VI No 119F Kel Dwikora Kec. Helvetia Medan</t>
  </si>
  <si>
    <t>081534791909</t>
  </si>
  <si>
    <t>Mandiri  106-00-1136969-4</t>
  </si>
  <si>
    <t>1271031902830006</t>
  </si>
  <si>
    <t>24.823.857.8-124.000</t>
  </si>
  <si>
    <t xml:space="preserve">17044899932 </t>
  </si>
  <si>
    <t>0001125076588</t>
  </si>
  <si>
    <t>riduwan.rez4@gmail.com</t>
  </si>
  <si>
    <t>123</t>
  </si>
  <si>
    <t>OS1802039</t>
  </si>
  <si>
    <t>Husni Mubarak Ahmad Ba'Momen</t>
  </si>
  <si>
    <t>Pontianak, 12 November 1983</t>
  </si>
  <si>
    <t>Jl. Serikaya Gg. Serikaya V</t>
  </si>
  <si>
    <t>082157622857</t>
  </si>
  <si>
    <t>BCA  0291825281</t>
  </si>
  <si>
    <t>6171031211830012</t>
  </si>
  <si>
    <t>mubarakbarak097@gmail.com</t>
  </si>
  <si>
    <t>124</t>
  </si>
  <si>
    <t>OS1802041</t>
  </si>
  <si>
    <t>Rahmat Ilahi</t>
  </si>
  <si>
    <t>Banjarmasin, 5 Agustus 1985</t>
  </si>
  <si>
    <t>Banjarmasin</t>
  </si>
  <si>
    <t>Jl. Sungai Miai No. 45 RT 01 / RW 01, Banjarmasin Utara, Kalimantan Selatan</t>
  </si>
  <si>
    <t>085248043040 / 087816399344</t>
  </si>
  <si>
    <t>6371040508850006</t>
  </si>
  <si>
    <t>bobby.ir4w4n@gmail.com</t>
  </si>
  <si>
    <t>125</t>
  </si>
  <si>
    <t>OS1802042</t>
  </si>
  <si>
    <t>Sugianto</t>
  </si>
  <si>
    <t>Pontianak, 3 April 1989</t>
  </si>
  <si>
    <t>Installer =&gt; Installer &amp; Driver eff 1/2/18</t>
  </si>
  <si>
    <t>Jl. Tritura Depan Gg. Bersama RT 01 / RW 03, Pontianak - Kalimantan Barat 78236</t>
  </si>
  <si>
    <t>BCA  7925288021</t>
  </si>
  <si>
    <t>6171020304890008</t>
  </si>
  <si>
    <t>sa4511614@gmail.com</t>
  </si>
  <si>
    <t>126</t>
  </si>
  <si>
    <t>OS1801072</t>
  </si>
  <si>
    <t>Wahyu Irawan</t>
  </si>
  <si>
    <t>Pontianak, 08 Agustus 1993</t>
  </si>
  <si>
    <t>Jl. Tritura Gg. Askot</t>
  </si>
  <si>
    <t>0822-5047-7028 / 0811-577-5102</t>
  </si>
  <si>
    <t>BCA  7925223841</t>
  </si>
  <si>
    <t>6171020808930005</t>
  </si>
  <si>
    <t>16.628.499.2-701.000</t>
  </si>
  <si>
    <t>12005025684</t>
  </si>
  <si>
    <t>Vanthus@Engineer.com</t>
  </si>
  <si>
    <t>128</t>
  </si>
  <si>
    <t>OS1802044</t>
  </si>
  <si>
    <t>Jumadi</t>
  </si>
  <si>
    <t>Pontianak, 7 Oktober 1979</t>
  </si>
  <si>
    <t>Jl. Pelabuhan No. 4 Jungkat Kab. Mempawah, Kalimantan Barat</t>
  </si>
  <si>
    <t>089693820479</t>
  </si>
  <si>
    <t>BRI  007101070786506</t>
  </si>
  <si>
    <t>6171020112810006</t>
  </si>
  <si>
    <t>0002319808465</t>
  </si>
  <si>
    <t>msjumadi@gmail.com</t>
  </si>
  <si>
    <t>129</t>
  </si>
  <si>
    <t>OS1802046</t>
  </si>
  <si>
    <t>Muhammad Zakaria NST</t>
  </si>
  <si>
    <t>Medan, 02 Mei 1989</t>
  </si>
  <si>
    <t>Ling 2 Jln Sudirman, Deli serdang- Sumatera Utara</t>
  </si>
  <si>
    <t>085106026364</t>
  </si>
  <si>
    <t>MANDIRI 1050013572668</t>
  </si>
  <si>
    <t>alinasution42@gmail.com</t>
  </si>
  <si>
    <t>130</t>
  </si>
  <si>
    <t>OS1802047</t>
  </si>
  <si>
    <t>Ilham Panjaitan</t>
  </si>
  <si>
    <t>Binjai Serbangan, 13 February 1996</t>
  </si>
  <si>
    <t>Lingk.1 Kec Air Joman</t>
  </si>
  <si>
    <t>085269014652 / 0823 6901 4652</t>
  </si>
  <si>
    <t>BRI 528301024973539 a/n Ilyas</t>
  </si>
  <si>
    <t>1209090312960003</t>
  </si>
  <si>
    <t>ilham.panjaitan70@yahoo.com</t>
  </si>
  <si>
    <t>131</t>
  </si>
  <si>
    <t>OS1802048</t>
  </si>
  <si>
    <t>Panji Asmara Putra</t>
  </si>
  <si>
    <t>Kedai Durian, 14 Desember 1994</t>
  </si>
  <si>
    <t>Jl.Utam Dsn.8 Desa Mekar Sari Kec.Deli Tua</t>
  </si>
  <si>
    <t>085270265494</t>
  </si>
  <si>
    <t>BCA   8455338197</t>
  </si>
  <si>
    <t>1207221412940001</t>
  </si>
  <si>
    <t>panjiputra2001@gmail.com</t>
  </si>
  <si>
    <t>132</t>
  </si>
  <si>
    <t>OS1802065</t>
  </si>
  <si>
    <t>Zainur Rahman</t>
  </si>
  <si>
    <t>Situbondo, 25 Agustus 1995</t>
  </si>
  <si>
    <t>Desa Bayeman Kec. Arjasa Kab. Situbondo</t>
  </si>
  <si>
    <t>087761692060</t>
  </si>
  <si>
    <t>BCA  6130059030</t>
  </si>
  <si>
    <t>3512112508950001</t>
  </si>
  <si>
    <t>zainrahman258@gmail.com</t>
  </si>
  <si>
    <t>133</t>
  </si>
  <si>
    <t>OS1802066</t>
  </si>
  <si>
    <t>Bakriadi</t>
  </si>
  <si>
    <t>Kembayan, 30 November 1995</t>
  </si>
  <si>
    <t>Dusun Serambai RT022/008, Tanjung Merpati,Kembayan Sanggau Kalimantan Barat</t>
  </si>
  <si>
    <t>089512723795</t>
  </si>
  <si>
    <t>BRI  483701008286532</t>
  </si>
  <si>
    <t>6103083011950001</t>
  </si>
  <si>
    <t>134</t>
  </si>
  <si>
    <t>OS1802068</t>
  </si>
  <si>
    <t>Idola Syahputra</t>
  </si>
  <si>
    <t>P. Berandan, 10 Oktober 1995</t>
  </si>
  <si>
    <t>Installer =&gt; Team Leader &amp; Driver 1/4/2018</t>
  </si>
  <si>
    <t>change posisi eff 1 Apr '18 prev BS 2.9jt driver none</t>
  </si>
  <si>
    <t>Gg. Buntu Link. II Mawar Kel. Sei Bilah Timur</t>
  </si>
  <si>
    <t>082165078125</t>
  </si>
  <si>
    <t>TITIP ARIS NASRUL BCA  4300438631</t>
  </si>
  <si>
    <t>1205171010950003</t>
  </si>
  <si>
    <t>135</t>
  </si>
  <si>
    <t>OS1802069</t>
  </si>
  <si>
    <t>Rafli Farichi</t>
  </si>
  <si>
    <t>Kalianda, 25 Desember 1982</t>
  </si>
  <si>
    <t>Dusun Serambai RT 22 / RW 08, Tanjung Merpati, Kembayan Sanggau Kalimantan Barat</t>
  </si>
  <si>
    <t>081256777734</t>
  </si>
  <si>
    <t>BCA  0292061674</t>
  </si>
  <si>
    <t>3174042512820022</t>
  </si>
  <si>
    <t>rafli.farichi01@gmail.com</t>
  </si>
  <si>
    <t>136</t>
  </si>
  <si>
    <t>OS1802070</t>
  </si>
  <si>
    <t>Rahmad Hidayat</t>
  </si>
  <si>
    <t>P.Berandan, 08 September 1999</t>
  </si>
  <si>
    <t>Jl.Pompa Air Pangkalan Brandan Sumatera Utara</t>
  </si>
  <si>
    <t>1205170809990009</t>
  </si>
  <si>
    <t>137</t>
  </si>
  <si>
    <t>OS1802071</t>
  </si>
  <si>
    <t>Suwanto Handoko</t>
  </si>
  <si>
    <t>Medan, 29 Agustus 1976</t>
  </si>
  <si>
    <t>Jl. Roso Gg. Melati 3 Marendal 1, Sumatera Utara</t>
  </si>
  <si>
    <t>138</t>
  </si>
  <si>
    <t>OS1802072</t>
  </si>
  <si>
    <t>Willi</t>
  </si>
  <si>
    <t>Medan, 5 November 1982</t>
  </si>
  <si>
    <t>Jl. Platina 1 Link. 16 Titi Papan, Sumatera Utara</t>
  </si>
  <si>
    <t>1271060511820002</t>
  </si>
  <si>
    <t>Willi1982.via@gmail.com</t>
  </si>
  <si>
    <t>139</t>
  </si>
  <si>
    <t>OS1802073</t>
  </si>
  <si>
    <t>Aditya Warman</t>
  </si>
  <si>
    <t>Medan, 24 Maret 1987</t>
  </si>
  <si>
    <t>Jl. Utama Dsn. 8 Desa Mekar Sari Kec.Deli Tua, Sumatera Utara- Indonesia</t>
  </si>
  <si>
    <t>081360288831</t>
  </si>
  <si>
    <t>BCA  2200691663</t>
  </si>
  <si>
    <t>1207222403870002</t>
  </si>
  <si>
    <t>adityawarmangci@gmail.com</t>
  </si>
  <si>
    <t>140</t>
  </si>
  <si>
    <t>OS1802074</t>
  </si>
  <si>
    <t>Andri Syam</t>
  </si>
  <si>
    <t>Medan, 22 Juli 1988</t>
  </si>
  <si>
    <t>Engineer =&gt; Koordinator 1/3/2018</t>
  </si>
  <si>
    <t>change posisi eff 1 Mar '18 prev posisi none</t>
  </si>
  <si>
    <t>Jln. Deli TuaGg.Benteng No. 27Medan Sumatra Utara</t>
  </si>
  <si>
    <t>082362531727</t>
  </si>
  <si>
    <t>BCA  8430195116</t>
  </si>
  <si>
    <t>1207222207880003</t>
  </si>
  <si>
    <t>70.955.583.3-125.000</t>
  </si>
  <si>
    <t>andri.joe88@gmail.com</t>
  </si>
  <si>
    <t>141</t>
  </si>
  <si>
    <t>OS1802075</t>
  </si>
  <si>
    <t>Sahroni</t>
  </si>
  <si>
    <t>Lebak, 18 Mei 1998</t>
  </si>
  <si>
    <t>Kp. Cibunut RT 03 / RW 01, Kel. Cisimeut Kec. Leuwidamar, Lebak</t>
  </si>
  <si>
    <t>08577982231958</t>
  </si>
  <si>
    <t>BCA 5770778567</t>
  </si>
  <si>
    <t>3602061811970001</t>
  </si>
  <si>
    <t xml:space="preserve">Oniboccis945@gmail.com; </t>
  </si>
  <si>
    <t>142</t>
  </si>
  <si>
    <t>OS1802080</t>
  </si>
  <si>
    <t>Akhbar Laysa</t>
  </si>
  <si>
    <t>Bitung, 19 April 1995</t>
  </si>
  <si>
    <t>Kp.Sabi 001\002 bencongan Kelapa Dua Tangerang</t>
  </si>
  <si>
    <t>082110614676</t>
  </si>
  <si>
    <t>BCA  7550153861</t>
  </si>
  <si>
    <t>3603281904950005</t>
  </si>
  <si>
    <t>17056534187</t>
  </si>
  <si>
    <t>0001382116702</t>
  </si>
  <si>
    <t>abayazah@gmail.com</t>
  </si>
  <si>
    <t>143</t>
  </si>
  <si>
    <t>OS1802081</t>
  </si>
  <si>
    <t>Rismadewi</t>
  </si>
  <si>
    <t>Buntok, 13 September 1991</t>
  </si>
  <si>
    <t>Document Team</t>
  </si>
  <si>
    <t>Jl. Pelita Raya No. 8, Buntok</t>
  </si>
  <si>
    <t>+6285387245313</t>
  </si>
  <si>
    <t xml:space="preserve">MANDIRI 900-0042937392 </t>
  </si>
  <si>
    <t>6204065309910001</t>
  </si>
  <si>
    <t>rismadewi139@gmail.com</t>
  </si>
  <si>
    <t>144</t>
  </si>
  <si>
    <t>OS1803009</t>
  </si>
  <si>
    <t>Bedri Andi</t>
  </si>
  <si>
    <t>Koto Tinggi, 25 November 1981</t>
  </si>
  <si>
    <t>Jl. HM Said/ Pelita I Gang Sani no. 9, Medan 20233</t>
  </si>
  <si>
    <t>081327649838</t>
  </si>
  <si>
    <t>MANDIRI  1090004234738</t>
  </si>
  <si>
    <t>1271182511810006</t>
  </si>
  <si>
    <t>249256074125000</t>
  </si>
  <si>
    <t>16014021022</t>
  </si>
  <si>
    <t>0002059093877</t>
  </si>
  <si>
    <t>b.drysmile@gmail.com</t>
  </si>
  <si>
    <t>145</t>
  </si>
  <si>
    <t>OS1801075</t>
  </si>
  <si>
    <t>Dadang Mulyana</t>
  </si>
  <si>
    <t>Bandung, 3 September 1999</t>
  </si>
  <si>
    <t>Kp. Buah Dua RT 02 / RW 12, Rancaekek Wetan, Rancaekek, Kab. Bandung</t>
  </si>
  <si>
    <t>089657078442</t>
  </si>
  <si>
    <t>Mandiri 1300012197805 An Tati Rosmiati (Kakak)</t>
  </si>
  <si>
    <t>3204280309990008</t>
  </si>
  <si>
    <t>146</t>
  </si>
  <si>
    <t>OS1802078</t>
  </si>
  <si>
    <t>Najarudin</t>
  </si>
  <si>
    <t>Rutas, 1 Agustus 1995</t>
  </si>
  <si>
    <t>Driver</t>
  </si>
  <si>
    <t>Jl. Kayu Bawang RT 12 / RW 03, Kayu Bawang, Hulu Sungai</t>
  </si>
  <si>
    <t>MANDIRI SYARIAH  7113900808</t>
  </si>
  <si>
    <t>6307060108950001</t>
  </si>
  <si>
    <t>0002017506789</t>
  </si>
  <si>
    <t>147</t>
  </si>
  <si>
    <t>OS1802079</t>
  </si>
  <si>
    <t>Riswan Hadi</t>
  </si>
  <si>
    <t>Banjarmasin, 6 September 1980</t>
  </si>
  <si>
    <t>Jl. Ayani, Gambut, Banjarmasin</t>
  </si>
  <si>
    <t>BCA  8955158764</t>
  </si>
  <si>
    <t>630303060980001</t>
  </si>
  <si>
    <t>148</t>
  </si>
  <si>
    <t>OS1803010</t>
  </si>
  <si>
    <t>Juriyanto</t>
  </si>
  <si>
    <t>Blora, 08 November 1985</t>
  </si>
  <si>
    <t>Bali Nusra</t>
  </si>
  <si>
    <t>Team Leader + Driver</t>
  </si>
  <si>
    <t>Jl. Ketintang 133H1, Wonokromo, Surabaya</t>
  </si>
  <si>
    <t>081262149719</t>
  </si>
  <si>
    <t>BCA : 2581484269</t>
  </si>
  <si>
    <t>3316030811850003</t>
  </si>
  <si>
    <t>17067493555</t>
  </si>
  <si>
    <t>wahyujurianto123@gmail.com</t>
  </si>
  <si>
    <t>149</t>
  </si>
  <si>
    <t>OS1803011</t>
  </si>
  <si>
    <t>Dadang Syahputra</t>
  </si>
  <si>
    <t>Medan, 8 Agustus 1983</t>
  </si>
  <si>
    <t>Jl. Setia Luhur Gg Keluarga No. 173 Kel. Dwikora, Kec. Medan Helvetia – Medan 20123</t>
  </si>
  <si>
    <t>081260619782</t>
  </si>
  <si>
    <t>MANDIRI 1060010500935</t>
  </si>
  <si>
    <t>1271030808830006</t>
  </si>
  <si>
    <t>77.214.171.9-124.000</t>
  </si>
  <si>
    <t>dadang.syp@gmail.com</t>
  </si>
  <si>
    <t>150</t>
  </si>
  <si>
    <t>OS1803012</t>
  </si>
  <si>
    <t>Citra Elisabet</t>
  </si>
  <si>
    <t>Jakarta, 24 Agustus 1994</t>
  </si>
  <si>
    <t>Admin &amp; DCC</t>
  </si>
  <si>
    <t>Jl. Graha Tanjung Anom, Tanjung Anom, Pancur Batu, Deli Serdang, Sumatera Utara</t>
  </si>
  <si>
    <t>082166699494</t>
  </si>
  <si>
    <t>BCA  8990239941</t>
  </si>
  <si>
    <t>1207056401920004</t>
  </si>
  <si>
    <t>81.589.776.4-411.000</t>
  </si>
  <si>
    <t>15057505040</t>
  </si>
  <si>
    <t>0001739541857</t>
  </si>
  <si>
    <t>citraeliisabet@gmail.com</t>
  </si>
  <si>
    <t>151</t>
  </si>
  <si>
    <t>OS1803013</t>
  </si>
  <si>
    <t>Rudi</t>
  </si>
  <si>
    <t>Segedong, 6 September 1985</t>
  </si>
  <si>
    <t>Driver =&gt; Installer &amp; Driver 1/4/18</t>
  </si>
  <si>
    <t>change posisi eff 1 Apr '18 prev CA 200rb transp none</t>
  </si>
  <si>
    <t>Jl. Pembangunan Gg. Sapta Marga 5 RT 05 / RW 24, Sungai Beliung, Pontianak Barat, Kota Pontianak</t>
  </si>
  <si>
    <t>081521856803</t>
  </si>
  <si>
    <t>BNI 0615498112 a/n Nuraini</t>
  </si>
  <si>
    <t>6171030609850010</t>
  </si>
  <si>
    <t>713289908701000</t>
  </si>
  <si>
    <t>152</t>
  </si>
  <si>
    <t>OS1803014</t>
  </si>
  <si>
    <t>Tino Musmulyadi</t>
  </si>
  <si>
    <t>Ketapang, 7 mar 1986</t>
  </si>
  <si>
    <t>Team Leader &amp; QHS (IFM,SA,CAF,SQI)</t>
  </si>
  <si>
    <t>Jl. Padat Karya Komp. Nusa Permai 3 No. B 13 RT 02, Saigon,Pontianak Timur, Kota Pontianak</t>
  </si>
  <si>
    <t>085272621243</t>
  </si>
  <si>
    <t>BCA  0291965163</t>
  </si>
  <si>
    <t>6171010703860016</t>
  </si>
  <si>
    <t>46.710.513.6-701.000</t>
  </si>
  <si>
    <t>0001260216764</t>
  </si>
  <si>
    <t>tinomusmulyadi85@gmail.com</t>
  </si>
  <si>
    <t>153</t>
  </si>
  <si>
    <t>OS1803015</t>
  </si>
  <si>
    <t>Eko Aris Munandar</t>
  </si>
  <si>
    <t>Pontianak, 28 November 1984</t>
  </si>
  <si>
    <t>Jl. Padat Karya, Komp. Star Borneo Residence 7 No. B6</t>
  </si>
  <si>
    <t>081258597222</t>
  </si>
  <si>
    <t>BCA 0292059823</t>
  </si>
  <si>
    <t>6112012811840007</t>
  </si>
  <si>
    <t>Ariez.ajee@gmail.com</t>
  </si>
  <si>
    <t>154</t>
  </si>
  <si>
    <t>OS1803016</t>
  </si>
  <si>
    <t>Bobby Irawan</t>
  </si>
  <si>
    <t>Semarang, 6 Juli 1984</t>
  </si>
  <si>
    <t>Jl. Surtikanti Raya No. 17 RT 06 / RW 01, Kec. Semarang Kota Semarang, Jawa Tengah</t>
  </si>
  <si>
    <t>024-3559516 / 085328718919</t>
  </si>
  <si>
    <t>BCA  869-1088-791</t>
  </si>
  <si>
    <t>3374020607840007</t>
  </si>
  <si>
    <t>155</t>
  </si>
  <si>
    <t>OS1803017</t>
  </si>
  <si>
    <t>Rudiyanto</t>
  </si>
  <si>
    <t>Ketapang 02 Juni 1977</t>
  </si>
  <si>
    <t>Jl. Perdamaian Komp. Palestin Indah Permai IV A.5</t>
  </si>
  <si>
    <t>085245036700</t>
  </si>
  <si>
    <t>MANDIRI  1460011715203</t>
  </si>
  <si>
    <t>6112090206770001</t>
  </si>
  <si>
    <t>481571768721000</t>
  </si>
  <si>
    <t>16057776599</t>
  </si>
  <si>
    <t>uditbox@gmail.com</t>
  </si>
  <si>
    <t>156</t>
  </si>
  <si>
    <t>OS1803018</t>
  </si>
  <si>
    <t>Aby Mifthahhussalam</t>
  </si>
  <si>
    <t>Jakarta, 23 September 1988</t>
  </si>
  <si>
    <t>Jl. Perhubungan No. 19. Ds. III Kenari, Lau Dendang, Percut Seituan, Deli Serdang, Sumut</t>
  </si>
  <si>
    <t>082113801300</t>
  </si>
  <si>
    <t>MANDIRI  900001992677</t>
  </si>
  <si>
    <t>1104032309880002</t>
  </si>
  <si>
    <t>abymifthahhussalam23@gmail.com</t>
  </si>
  <si>
    <t>157</t>
  </si>
  <si>
    <t>OS1803019</t>
  </si>
  <si>
    <t>Andre Febriansyah</t>
  </si>
  <si>
    <t>Sei Alim Ulu, 4 Februari 1992</t>
  </si>
  <si>
    <t>Sei Alim Ulu, Kec. Air Batu Asahan</t>
  </si>
  <si>
    <t>081260088819</t>
  </si>
  <si>
    <t>BCA 8205196371 A/N ISTRI Hermita Silvia Putri</t>
  </si>
  <si>
    <t>1209130402920004</t>
  </si>
  <si>
    <t>70.485.560.0-115.000</t>
  </si>
  <si>
    <t>andrefebriansyah1992@gmail.com</t>
  </si>
  <si>
    <t>158</t>
  </si>
  <si>
    <t>OS1803020</t>
  </si>
  <si>
    <t>Arry Chandra Damanik</t>
  </si>
  <si>
    <t>Medan, 25 Februari 1986</t>
  </si>
  <si>
    <t>Jl. Menteng II no. 28 A Medan – Sumut 20228 / Jl. Medan Tenggara II No. 45 Binjai, Medan Denai 20228</t>
  </si>
  <si>
    <t>081265075225</t>
  </si>
  <si>
    <t>BNI 0354839736</t>
  </si>
  <si>
    <t>1271042502860002</t>
  </si>
  <si>
    <t>159</t>
  </si>
  <si>
    <t>OS1803021</t>
  </si>
  <si>
    <t>Didi Arya</t>
  </si>
  <si>
    <t>Medan, 28 November 1995</t>
  </si>
  <si>
    <t>Jl. Karya Budi, Gg Rukun No. 12</t>
  </si>
  <si>
    <t>085760710928</t>
  </si>
  <si>
    <t>BCA 8430294556 a/n Dessy Kamilitha (Kakak Kandung)</t>
  </si>
  <si>
    <t>1271112811950004</t>
  </si>
  <si>
    <t>160</t>
  </si>
  <si>
    <t>OS1803022</t>
  </si>
  <si>
    <t>Khairil Fitriadi</t>
  </si>
  <si>
    <t>Medan, 13 Mei 1989</t>
  </si>
  <si>
    <t>Engineer =&gt; Engineer &amp; Driver 1/4/2018</t>
  </si>
  <si>
    <t>Jl. Karya Budi Gg. Rukun No 9</t>
  </si>
  <si>
    <t>0853 7267 1616</t>
  </si>
  <si>
    <t>BNI 0502862566</t>
  </si>
  <si>
    <t>1271111305890007</t>
  </si>
  <si>
    <t>15026846707</t>
  </si>
  <si>
    <t>khairil010101@gmail.com</t>
  </si>
  <si>
    <t>161</t>
  </si>
  <si>
    <t>OS1803023</t>
  </si>
  <si>
    <t>M Agus Suryadharma</t>
  </si>
  <si>
    <t>Medan, 25 Agustus 1993</t>
  </si>
  <si>
    <t>Jl. Platina V Ling. Xll TitiPapan</t>
  </si>
  <si>
    <t>082276062488</t>
  </si>
  <si>
    <t>162</t>
  </si>
  <si>
    <t>OS1803024</t>
  </si>
  <si>
    <t>M. Nasrul Indranta Sitepu</t>
  </si>
  <si>
    <t>Medan, 30 September 1989</t>
  </si>
  <si>
    <t>Jl. Jamin Ginting No. 164, Kelurahan Padang Bulan, Kecamatan Medan Baru, Medan, Sumatera Utara</t>
  </si>
  <si>
    <t>081533440089 / 085260118888</t>
  </si>
  <si>
    <t>Mandiri 1050005897198</t>
  </si>
  <si>
    <t>1271173009890002</t>
  </si>
  <si>
    <t>24.778.161.0-121.000</t>
  </si>
  <si>
    <t>0001265918782</t>
  </si>
  <si>
    <t>mhd.nasrul@gmail.com</t>
  </si>
  <si>
    <t>163</t>
  </si>
  <si>
    <t>OS1803025</t>
  </si>
  <si>
    <t>M Ridwan</t>
  </si>
  <si>
    <t>Medan, 14 Mei 1973</t>
  </si>
  <si>
    <t>Jl. Pancing III Gg.Balai Desa No. 4 Medan</t>
  </si>
  <si>
    <t>0822 9897 0494</t>
  </si>
  <si>
    <t>Mandiri 1060012336130</t>
  </si>
  <si>
    <t>1271141405730005</t>
  </si>
  <si>
    <t>71.706.052.9-113.000</t>
  </si>
  <si>
    <t>parisonehansyari@gmail.com</t>
  </si>
  <si>
    <t>164</t>
  </si>
  <si>
    <t>OS1803026</t>
  </si>
  <si>
    <t>M. Yusuf</t>
  </si>
  <si>
    <t>Medan, 4 April 1985</t>
  </si>
  <si>
    <t>Jl. Cinta Karya Budi, Gg. Rukun No. 9</t>
  </si>
  <si>
    <t>082276055962</t>
  </si>
  <si>
    <t>BNI 0458547826</t>
  </si>
  <si>
    <t>1271110404850009</t>
  </si>
  <si>
    <t>165</t>
  </si>
  <si>
    <t>OS1803027</t>
  </si>
  <si>
    <t>Rushariadi</t>
  </si>
  <si>
    <t>Lima Puluh, 03 Agustus 1978</t>
  </si>
  <si>
    <t>Jl. Bajak II H Lingk. IVX Gg.Cengkeh Medan Amplas</t>
  </si>
  <si>
    <t>081265229490</t>
  </si>
  <si>
    <t>BCA 8280278352</t>
  </si>
  <si>
    <t>1271090306780002</t>
  </si>
  <si>
    <t>rusdihariadi1212naya@gmail.com</t>
  </si>
  <si>
    <t>166</t>
  </si>
  <si>
    <t>OS1803060</t>
  </si>
  <si>
    <t>Arikin</t>
  </si>
  <si>
    <t>Simpang Empat, 05 Oktober 1987</t>
  </si>
  <si>
    <t>Jl. Ya'm Sabran Gg. Bakti I no.41, Tanjung Hulu Pontianak Timur</t>
  </si>
  <si>
    <t>089693967898 / 08115676778</t>
  </si>
  <si>
    <t>MANDIRI  1460011058307</t>
  </si>
  <si>
    <t>6171020510870006</t>
  </si>
  <si>
    <t>16.784.546.0-701.000</t>
  </si>
  <si>
    <t>17002910309</t>
  </si>
  <si>
    <t>0001425875207</t>
  </si>
  <si>
    <t>arikin.e3a@gmail.com</t>
  </si>
  <si>
    <t>167</t>
  </si>
  <si>
    <t xml:space="preserve"> OS1803028</t>
  </si>
  <si>
    <t>Imam Wahyudi Siregar</t>
  </si>
  <si>
    <t>Sitopayan, 05 Februari 1994</t>
  </si>
  <si>
    <t>Sitopayan, Kel/Desa: Sitopayan, Kecortibi, Kab: Padang Lawas Utara</t>
  </si>
  <si>
    <t>0822-8381-8296</t>
  </si>
  <si>
    <t>BCA 1510433901 a/n A.Apandri Siregar (kakak)</t>
  </si>
  <si>
    <t>1220060502940002</t>
  </si>
  <si>
    <t>imamregar5@gmail.com</t>
  </si>
  <si>
    <t>168</t>
  </si>
  <si>
    <t>OS1803045</t>
  </si>
  <si>
    <t>Arief Darmawan</t>
  </si>
  <si>
    <t>Pontianak, 03 Agustus 1990</t>
  </si>
  <si>
    <t>Document</t>
  </si>
  <si>
    <t>Jl. SMU 5, Gg Damai 2, No. 4</t>
  </si>
  <si>
    <t>081345620880</t>
  </si>
  <si>
    <t>BCA : 8855015940</t>
  </si>
  <si>
    <t>6171040308900014</t>
  </si>
  <si>
    <t>66.704.699.9-701.000</t>
  </si>
  <si>
    <t>0001899181359</t>
  </si>
  <si>
    <t>siwele2@gmail.com/ ariefkurip@gmail.com</t>
  </si>
  <si>
    <t>169</t>
  </si>
  <si>
    <t>OS1803046</t>
  </si>
  <si>
    <t>Abang Muhammad Zarkasih</t>
  </si>
  <si>
    <t>Pontianak, 18 Mei 1995</t>
  </si>
  <si>
    <t>Jl. Pramuka Komplek PHK Gg. Cendana Blok G. 17</t>
  </si>
  <si>
    <t xml:space="preserve">081350643618  </t>
  </si>
  <si>
    <t>MANDIRI 1460011745762</t>
  </si>
  <si>
    <t>6112091805950004</t>
  </si>
  <si>
    <t>16057776672 000</t>
  </si>
  <si>
    <t>abangzarkasih21@gmail.com</t>
  </si>
  <si>
    <t>170</t>
  </si>
  <si>
    <t>OS1803047</t>
  </si>
  <si>
    <t>Sarjidi Yanto</t>
  </si>
  <si>
    <t>Pontianak, 11 November 1989</t>
  </si>
  <si>
    <t>Jl. Tritura Gang Karya Sepakat, Kel. Tanjung Hilir Kec. Pontianak Timur, Kota Pontianak</t>
  </si>
  <si>
    <t>089694014743 / 085246457567</t>
  </si>
  <si>
    <t>Mandiri : 9000004784402</t>
  </si>
  <si>
    <t>6171020611890006</t>
  </si>
  <si>
    <t>sarjidiyanto@gmail.com</t>
  </si>
  <si>
    <t>171</t>
  </si>
  <si>
    <t>OS1803048</t>
  </si>
  <si>
    <t>Muhammad Syaiful</t>
  </si>
  <si>
    <t>Pontianak, 14 Juni 1992</t>
  </si>
  <si>
    <t>Jl. Tritura Tanjung Hilir Gg. Rintis</t>
  </si>
  <si>
    <t>085849919992</t>
  </si>
  <si>
    <t>BCA 7925292401</t>
  </si>
  <si>
    <t>6171021406920002</t>
  </si>
  <si>
    <t>msyaiful864@gmail.com</t>
  </si>
  <si>
    <t>172</t>
  </si>
  <si>
    <t>OS1803049</t>
  </si>
  <si>
    <t>Yessy Anggrayni</t>
  </si>
  <si>
    <t>Admin</t>
  </si>
  <si>
    <t>Jl. Sungai Raya Dalam, Komp Tanjung Pura Permai No. B-7</t>
  </si>
  <si>
    <t>BCA 7155056011</t>
  </si>
  <si>
    <t>6112015801900011</t>
  </si>
  <si>
    <t>173</t>
  </si>
  <si>
    <t>OS1803050</t>
  </si>
  <si>
    <t>Tovan Ade Putra Tambunan</t>
  </si>
  <si>
    <t>Medan, 14 Januari 1987</t>
  </si>
  <si>
    <t>Palembang</t>
  </si>
  <si>
    <t>Komplek Garuda Putra III Blok J No. 05 RT 25 RW 05, Kel. Sukajaya Kec. Sukarami, Palembang Sumatera</t>
  </si>
  <si>
    <t>081289975760</t>
  </si>
  <si>
    <t>BCA : '0213284140</t>
  </si>
  <si>
    <t>1212071401870002</t>
  </si>
  <si>
    <t>82.247.439.1-307.000</t>
  </si>
  <si>
    <t>0002251120577</t>
  </si>
  <si>
    <t>putratamboen67@gmail.com</t>
  </si>
  <si>
    <t>174</t>
  </si>
  <si>
    <t>OS1803051</t>
  </si>
  <si>
    <t>Joko Prasetyo</t>
  </si>
  <si>
    <t>Medan, 4 Januari 1986</t>
  </si>
  <si>
    <t>Jl. Besar Klumpang Dusun VIII, Wonosari Kec. Hamparan Perak</t>
  </si>
  <si>
    <t>085360678044</t>
  </si>
  <si>
    <t>Mandiri 9000018696998</t>
  </si>
  <si>
    <t>1207240401860008</t>
  </si>
  <si>
    <t>ms.prasetyo04@gmail.com</t>
  </si>
  <si>
    <t>175</t>
  </si>
  <si>
    <t>OS1803052</t>
  </si>
  <si>
    <t>Idrul Nazri</t>
  </si>
  <si>
    <t>13 Maret 1990</t>
  </si>
  <si>
    <t>Jl. Ahmad Ridho, Rantauprapat</t>
  </si>
  <si>
    <t>082272184521</t>
  </si>
  <si>
    <t>BRI 0228010410450500</t>
  </si>
  <si>
    <t>1210021303900003</t>
  </si>
  <si>
    <t>idrul.najri@yahoo.com</t>
  </si>
  <si>
    <t>176</t>
  </si>
  <si>
    <t>OS1803053</t>
  </si>
  <si>
    <t>Joko Lasmana</t>
  </si>
  <si>
    <t>Pontianak, 22 Maret 1993</t>
  </si>
  <si>
    <t>Jl. Tanjung Raya I Gg. Kelontan RT 03 / RW 06, Kel. Dalam Bugis Kec. Pontianak Timur, Kota Pontianak</t>
  </si>
  <si>
    <t xml:space="preserve">089614814626 / 08115781312 </t>
  </si>
  <si>
    <t>BCA 3470080263</t>
  </si>
  <si>
    <t>6171022203930005</t>
  </si>
  <si>
    <t xml:space="preserve">Jokolasmana2@gmail.com </t>
  </si>
  <si>
    <t>177</t>
  </si>
  <si>
    <t>OS1803054</t>
  </si>
  <si>
    <t>Muhammad Amir</t>
  </si>
  <si>
    <t>Pontianak, 25 September 1992</t>
  </si>
  <si>
    <t>Jl. Tritura Tanjung Ilir RT 01 / RW 03, Kel. Tanjung Hilir Kec. Pontianak Timur</t>
  </si>
  <si>
    <t>089633631945</t>
  </si>
  <si>
    <t>BRI 711501013628534</t>
  </si>
  <si>
    <t>6171022509920002</t>
  </si>
  <si>
    <t>178</t>
  </si>
  <si>
    <t>OS1803072</t>
  </si>
  <si>
    <t>Dwipa Buana</t>
  </si>
  <si>
    <t>Klaten, 27 Desember 1979</t>
  </si>
  <si>
    <t>Jawa Tengah &amp; Yogyakarta</t>
  </si>
  <si>
    <t>Srago Cilik RT001/RW006, Gumulan, Klaten Tengah, Klaten 57417</t>
  </si>
  <si>
    <t xml:space="preserve">081291776557 </t>
  </si>
  <si>
    <t>BCA 0306423813</t>
  </si>
  <si>
    <t>3310252712790001</t>
  </si>
  <si>
    <t>44.000.579.1-525.000</t>
  </si>
  <si>
    <t>0002045812184</t>
  </si>
  <si>
    <t>dwipa.buana@gmail.com</t>
  </si>
  <si>
    <t>179</t>
  </si>
  <si>
    <t>OS1803055</t>
  </si>
  <si>
    <t>Ujang Rizal</t>
  </si>
  <si>
    <t>Cianjur, 22 Mei 1996</t>
  </si>
  <si>
    <t>Lombok</t>
  </si>
  <si>
    <t>Kampung Pasir Landak, RT 04 / RW 08, KelSukamulya, Kec Sukaluyu, Kab Cianjur</t>
  </si>
  <si>
    <t>081246793619</t>
  </si>
  <si>
    <t>BCA 2020255083</t>
  </si>
  <si>
    <t>3203092205960001</t>
  </si>
  <si>
    <t>Resign 09/04/2018</t>
  </si>
  <si>
    <t>180</t>
  </si>
  <si>
    <t>OS1803073</t>
  </si>
  <si>
    <t>Zihad Zulkarnain</t>
  </si>
  <si>
    <t>Pancor, 3 Agustus 1992</t>
  </si>
  <si>
    <t>Jln. KH. Ahmad Dahlan, Dayan Masjid II Gang Qauman, Kel. Majidi, Kec. Selong, Lombok Timur NTB 83611</t>
  </si>
  <si>
    <t>BCA 0401776388</t>
  </si>
  <si>
    <t>5203070308950006</t>
  </si>
  <si>
    <t>17000293864</t>
  </si>
  <si>
    <t>zihadzulkarnain@gmail.com</t>
  </si>
  <si>
    <t>181</t>
  </si>
  <si>
    <t>OS1803056</t>
  </si>
  <si>
    <t>M Fadli Zamroni</t>
  </si>
  <si>
    <t>Pancor, 13 Januari 1990</t>
  </si>
  <si>
    <t>Lingkungan Dayan Masjid RT 002 Kel. Majidi</t>
  </si>
  <si>
    <t>085238509070</t>
  </si>
  <si>
    <t>BCA 772564399</t>
  </si>
  <si>
    <t>5203071301900009</t>
  </si>
  <si>
    <t>ronifadly88405@gmail.com</t>
  </si>
  <si>
    <t>182</t>
  </si>
  <si>
    <t>OS1803057</t>
  </si>
  <si>
    <t>Jefri Aditia</t>
  </si>
  <si>
    <t>Sambelia, 2 Agustus 1990</t>
  </si>
  <si>
    <t>Transad, Desa Padakguar, Kec. Sambelia</t>
  </si>
  <si>
    <t xml:space="preserve">085237011486  </t>
  </si>
  <si>
    <t>BNI 0609984674</t>
  </si>
  <si>
    <t xml:space="preserve">5203100306910001   </t>
  </si>
  <si>
    <t>jefri.aditia02@gmail.com</t>
  </si>
  <si>
    <t>183</t>
  </si>
  <si>
    <t>OS1803089</t>
  </si>
  <si>
    <t>Muh. Saltut</t>
  </si>
  <si>
    <t>Pancor, 08 Agustus 1992</t>
  </si>
  <si>
    <t>Jln. KH. Ahmad Dahlan, Dayan Masjid II Gang Seroja, Kel. Majidi, Kec. Selong, Lombok Timur NTB 83611</t>
  </si>
  <si>
    <t>085311929190</t>
  </si>
  <si>
    <t>BCA 6115212528</t>
  </si>
  <si>
    <t>5203070808920005</t>
  </si>
  <si>
    <t>17004146639</t>
  </si>
  <si>
    <t>muh.saltut@gmail.com</t>
  </si>
  <si>
    <t>184</t>
  </si>
  <si>
    <t>OS1803090</t>
  </si>
  <si>
    <t>Zuhalul Anam</t>
  </si>
  <si>
    <t>Pancor, 30 September 1992</t>
  </si>
  <si>
    <t>BCA 7255002198</t>
  </si>
  <si>
    <t>5203073009930002</t>
  </si>
  <si>
    <t>17004146563</t>
  </si>
  <si>
    <t>185</t>
  </si>
  <si>
    <t>OS1803058</t>
  </si>
  <si>
    <t>Safarudin</t>
  </si>
  <si>
    <t>Tanjung Saleh, 1 Juli 1985</t>
  </si>
  <si>
    <t>Dusun Nirwana RT 03 / RW 05, Sungai Kakap, Kubu Raya</t>
  </si>
  <si>
    <t>085650902326</t>
  </si>
  <si>
    <t>MANDIRI 1460011735300</t>
  </si>
  <si>
    <t>6112090107850615</t>
  </si>
  <si>
    <t>187</t>
  </si>
  <si>
    <t>OS1802086</t>
  </si>
  <si>
    <t>Yunita Suciati</t>
  </si>
  <si>
    <t>Palembang, 21 Juni 1982</t>
  </si>
  <si>
    <t>Jl. Kemang Manis no 509 RT 008 RW 003 Bukit Besar Palembang 30144</t>
  </si>
  <si>
    <t>0819681925 / 081297971884</t>
  </si>
  <si>
    <t>MANDIRI 113-00-216216-22</t>
  </si>
  <si>
    <t>1671016106820003</t>
  </si>
  <si>
    <t>592303085307000</t>
  </si>
  <si>
    <t>16053900482</t>
  </si>
  <si>
    <t>0002318329451</t>
  </si>
  <si>
    <t>suciati.yunita21@gmail.com</t>
  </si>
  <si>
    <t>188</t>
  </si>
  <si>
    <t>OS1803069</t>
  </si>
  <si>
    <t>Mulyadi</t>
  </si>
  <si>
    <t>Jakarta, 11 Mei 1980</t>
  </si>
  <si>
    <t>Jl. Arteri Supadio Gg. Nurfadilah RT 02 RW 11</t>
  </si>
  <si>
    <t xml:space="preserve">082247367660  </t>
  </si>
  <si>
    <t>MANDIRI 1460010257116</t>
  </si>
  <si>
    <t xml:space="preserve">3276011105800009   </t>
  </si>
  <si>
    <t xml:space="preserve">muly050805@gmail.com; </t>
  </si>
  <si>
    <t>189</t>
  </si>
  <si>
    <t>OS1803096</t>
  </si>
  <si>
    <t>Ade Apri Setyawan</t>
  </si>
  <si>
    <t>Pontianak, 17 April 1986</t>
  </si>
  <si>
    <t>Jl. Imam Bonjol Gg. Tanjung Harapan</t>
  </si>
  <si>
    <t>081253736359</t>
  </si>
  <si>
    <t>BCA 7925265721</t>
  </si>
  <si>
    <t>6171011704860010</t>
  </si>
  <si>
    <t>16.778.359.6-701.000</t>
  </si>
  <si>
    <t>adeaprisetyawan@gmail.com</t>
  </si>
  <si>
    <t>190</t>
  </si>
  <si>
    <t>OS1803097</t>
  </si>
  <si>
    <t>Muhammad Japri</t>
  </si>
  <si>
    <t>Pontianak, 19 Januari 1996</t>
  </si>
  <si>
    <t>Komp Surya Kencana 1G.19</t>
  </si>
  <si>
    <t>Mandiri 1460006971720</t>
  </si>
  <si>
    <t>6171031901960010</t>
  </si>
  <si>
    <t>191</t>
  </si>
  <si>
    <t>OS1803098</t>
  </si>
  <si>
    <t>Faisal Abbas Ratuloly</t>
  </si>
  <si>
    <t>Surabaya, 11 Oktober 1985</t>
  </si>
  <si>
    <t>Perum Graha Sunan Ampel A/8 Wiyung, Surabaya</t>
  </si>
  <si>
    <t>081554244731 / 082231367887</t>
  </si>
  <si>
    <t>BCA 0870114044</t>
  </si>
  <si>
    <t>3578211110850001</t>
  </si>
  <si>
    <t>663086270618000</t>
  </si>
  <si>
    <t>ratuloly.faisal@gmail.com</t>
  </si>
  <si>
    <t>192</t>
  </si>
  <si>
    <t>OS1803070</t>
  </si>
  <si>
    <t>Herry Ramadi</t>
  </si>
  <si>
    <t>Kupang, 16 Agustus 1977</t>
  </si>
  <si>
    <t>Jl. Gn. Bromo Barat 11/71, Banjar Pancakerta, Desa Tegal Kerta Denpasar Bali</t>
  </si>
  <si>
    <t>082236544718</t>
  </si>
  <si>
    <t>MANDIRI 1450007991876</t>
  </si>
  <si>
    <t>5171011608770004</t>
  </si>
  <si>
    <t>09.825.261.2-901.000</t>
  </si>
  <si>
    <t>08009408637</t>
  </si>
  <si>
    <t>0001637890558</t>
  </si>
  <si>
    <t xml:space="preserve">ramadiherry9@gmail.com; </t>
  </si>
  <si>
    <t>193</t>
  </si>
  <si>
    <t>OS1803071</t>
  </si>
  <si>
    <t>Agus Suprapto</t>
  </si>
  <si>
    <t>Pontianak, 16 Agustus 1990</t>
  </si>
  <si>
    <t>Jl. Panglima A Rani RT 02 / RW 03, Kel. Tambelan Sampit Kec. Pontianak Timur</t>
  </si>
  <si>
    <t>085388970005</t>
  </si>
  <si>
    <t>BCA 3470089716</t>
  </si>
  <si>
    <t>6171021608900002</t>
  </si>
  <si>
    <t>194</t>
  </si>
  <si>
    <t xml:space="preserve"> OS1803099</t>
  </si>
  <si>
    <t>Muhammad Akhda Kusuma</t>
  </si>
  <si>
    <t>Banjarmasin, 8 Maret 1995</t>
  </si>
  <si>
    <t>Jl. Pandu Kel. Kebun Bunga Kec. Banjarmasin Timur, Kalimantan Selatan</t>
  </si>
  <si>
    <t>082250775541</t>
  </si>
  <si>
    <t>BCA  8275284382</t>
  </si>
  <si>
    <t>6371020803950003</t>
  </si>
  <si>
    <t>Akhdakusuma@yahoo.com</t>
  </si>
  <si>
    <t>195</t>
  </si>
  <si>
    <t xml:space="preserve"> OS1804040</t>
  </si>
  <si>
    <t>Danu Yusfiraza</t>
  </si>
  <si>
    <t>Padang, 11 Februari 1991</t>
  </si>
  <si>
    <t>Manggis RT 01/ RW 01, Kel. Manggis Kec. Bathin III</t>
  </si>
  <si>
    <t>081378241614</t>
  </si>
  <si>
    <t>BNI 0696265578</t>
  </si>
  <si>
    <t>1508111102910001</t>
  </si>
  <si>
    <t>danuyusfireza@gmail.com</t>
  </si>
  <si>
    <t>196</t>
  </si>
  <si>
    <t>OS1803074</t>
  </si>
  <si>
    <t>Ariya Pramana Putra</t>
  </si>
  <si>
    <t>Semarang, 14 Mei 1991</t>
  </si>
  <si>
    <t>Jl. Karya Sehati Gg. Sehati No. 10B, Medan</t>
  </si>
  <si>
    <t>0812 6900 9099</t>
  </si>
  <si>
    <t>MANDIRI 1360009970358</t>
  </si>
  <si>
    <t>1271111405910002</t>
  </si>
  <si>
    <t>75.901.805.0-121.000</t>
  </si>
  <si>
    <t>17049183266</t>
  </si>
  <si>
    <t>ariyapramanaputra@gmail.com</t>
  </si>
  <si>
    <t>197</t>
  </si>
  <si>
    <t>OS1804001</t>
  </si>
  <si>
    <t>Syafrizal</t>
  </si>
  <si>
    <t>P. Berandan, 9 Juni 1987</t>
  </si>
  <si>
    <t>Jl. Soekarno-Hatta No. 407 Binjai Medan Sumatera Utara</t>
  </si>
  <si>
    <t>085360124649</t>
  </si>
  <si>
    <t>BCA 3491234821</t>
  </si>
  <si>
    <t>1205140906870003</t>
  </si>
  <si>
    <t>66.114.959.1-119.000</t>
  </si>
  <si>
    <t>KIS 0001445051237</t>
  </si>
  <si>
    <t>syafrizal009@gmail.com</t>
  </si>
  <si>
    <t>198</t>
  </si>
  <si>
    <t>OS1804002</t>
  </si>
  <si>
    <t>Zulfitra Ritonga</t>
  </si>
  <si>
    <t>Rantauprapat, 28 Mei 1987</t>
  </si>
  <si>
    <t>Jl. SM Raja Rantauprapat, Kel. Bakaran Batu Kec. Rantau Selatan, labuhan Batu, Rantauprapat 21415</t>
  </si>
  <si>
    <t>0812642105 / 0819647004</t>
  </si>
  <si>
    <t>BCA 8235036785</t>
  </si>
  <si>
    <t>1210022805870002</t>
  </si>
  <si>
    <t>45.363.228.3-122.000</t>
  </si>
  <si>
    <t>0001256132654</t>
  </si>
  <si>
    <t>fithraritonga@gmail.com</t>
  </si>
  <si>
    <t>199</t>
  </si>
  <si>
    <t>OS1803075</t>
  </si>
  <si>
    <t>Rohim</t>
  </si>
  <si>
    <t>Palembang, 6 April 1993</t>
  </si>
  <si>
    <t>Lampung</t>
  </si>
  <si>
    <t>LRG Manunggal No. 2296 RT 23 / RW 09, Kel. 2 Ilir Kec. Ilir Timur, Kota Palembang</t>
  </si>
  <si>
    <t>082376666806</t>
  </si>
  <si>
    <t>BNI 0630131572</t>
  </si>
  <si>
    <t>167106060493007</t>
  </si>
  <si>
    <t>72.427.796.7-301.000</t>
  </si>
  <si>
    <t>rohembae123@gmail.com</t>
  </si>
  <si>
    <t>200</t>
  </si>
  <si>
    <t>OS1803076</t>
  </si>
  <si>
    <t>Muhamad Rifki Setiawan</t>
  </si>
  <si>
    <t>Garut, 06 Juli 1998</t>
  </si>
  <si>
    <t>Jakarta, Bogor, dan Banten</t>
  </si>
  <si>
    <t>Kp. Pangkurisan RT 03 / RW 09, Kec. Leles, Garut</t>
  </si>
  <si>
    <t>Mandiri 1310010910489 A/N Noershaeni okviani (kakak)</t>
  </si>
  <si>
    <t>3205090607980006</t>
  </si>
  <si>
    <t>201</t>
  </si>
  <si>
    <t>OS1803077</t>
  </si>
  <si>
    <t>Ferdian Ferasi Karo Sekali</t>
  </si>
  <si>
    <t>Teluk Kuantan, 26 November 1998</t>
  </si>
  <si>
    <t>Dsn. I Desa Gunung Rintih, Kec. STM Hilir</t>
  </si>
  <si>
    <t>081269259931</t>
  </si>
  <si>
    <t>BNI 0642733197 a/n Ernawati P</t>
  </si>
  <si>
    <t>1207082611980001</t>
  </si>
  <si>
    <t>202</t>
  </si>
  <si>
    <t>OS1803078</t>
  </si>
  <si>
    <t>Aidil Handrian Damanik</t>
  </si>
  <si>
    <t>Medan, 22 Juli 1982</t>
  </si>
  <si>
    <t>Jl. Kapten Muslim Gg Keluarga 1 No. 265, Kec. Helvetia Medan</t>
  </si>
  <si>
    <t>Mandiri 1060010874637</t>
  </si>
  <si>
    <t>1271032207820002</t>
  </si>
  <si>
    <t>17044899106</t>
  </si>
  <si>
    <t xml:space="preserve">aidilhandriandamanik@gmail.com </t>
  </si>
  <si>
    <t>203</t>
  </si>
  <si>
    <t>OS1803079</t>
  </si>
  <si>
    <t>Bambang Edy Saputra</t>
  </si>
  <si>
    <t>Medan, 16 Juni 1971</t>
  </si>
  <si>
    <t>M6</t>
  </si>
  <si>
    <t>Jl. Dusun II Barat Jl. Tani Gg. H. Abas</t>
  </si>
  <si>
    <t>BCA 6475058864 a/n Deni Syahputra</t>
  </si>
  <si>
    <t>1271181606710001</t>
  </si>
  <si>
    <t>81.900.700.6-125.000</t>
  </si>
  <si>
    <t>204</t>
  </si>
  <si>
    <t>OS1804003</t>
  </si>
  <si>
    <t>Anur Setiawan</t>
  </si>
  <si>
    <t>Cukir, 13 April 1992</t>
  </si>
  <si>
    <t>Tembung, Jl. Beringin Psr 7 Gg Aren No. 11</t>
  </si>
  <si>
    <t>085263850169</t>
  </si>
  <si>
    <t>BCA   1951048726</t>
  </si>
  <si>
    <t>1218121304920001</t>
  </si>
  <si>
    <t>anursetiawan134@gmail.com</t>
  </si>
  <si>
    <t>205</t>
  </si>
  <si>
    <t>OS1803080</t>
  </si>
  <si>
    <t>Imam Supardi</t>
  </si>
  <si>
    <t>Jakarta, 7 Mei 1983</t>
  </si>
  <si>
    <t>Jl. Sawo V RT 03 / RW 07, Kec. Limo No. 101, Kel. Krukut Depok 16512</t>
  </si>
  <si>
    <t>089605307907</t>
  </si>
  <si>
    <t>BCA 2753685251  a/n Sujarman</t>
  </si>
  <si>
    <t>3276040705830003</t>
  </si>
  <si>
    <t>206</t>
  </si>
  <si>
    <t>OS1803081</t>
  </si>
  <si>
    <t>Zulkifli Iskandar</t>
  </si>
  <si>
    <t>Bandung, 3 Agustus 1986</t>
  </si>
  <si>
    <t>Andir Kulon RT 03 / RW 02, Cigending, Kec. Ujung Berung, Bandung</t>
  </si>
  <si>
    <t>081218931667 / 0227801749</t>
  </si>
  <si>
    <t>BNI 0576526800</t>
  </si>
  <si>
    <t>3273260308860002</t>
  </si>
  <si>
    <t>ukarnation420@gmail.com</t>
  </si>
  <si>
    <t>207</t>
  </si>
  <si>
    <t>OS1803082</t>
  </si>
  <si>
    <t>Andre Zulian Taba</t>
  </si>
  <si>
    <t>Sukaraja, 12 Agustus 1998</t>
  </si>
  <si>
    <t>Sukaraja VII RT 03, Kel. Sukaraja Kec. Gedong Tataan, Pesawaran</t>
  </si>
  <si>
    <t>085266910118</t>
  </si>
  <si>
    <t>1809011208980003</t>
  </si>
  <si>
    <t>208</t>
  </si>
  <si>
    <t>OS1803083</t>
  </si>
  <si>
    <t>Zanni</t>
  </si>
  <si>
    <t>Kota Karang, 2 Agustus 1995</t>
  </si>
  <si>
    <t>Kota Karang, Kec. Pesisir Utara, Pesisir Barat</t>
  </si>
  <si>
    <t>085267727395</t>
  </si>
  <si>
    <t>1804030208950001</t>
  </si>
  <si>
    <t>Resign 30/04/2018</t>
  </si>
  <si>
    <t>209</t>
  </si>
  <si>
    <t>OS1804004</t>
  </si>
  <si>
    <t>Januardi</t>
  </si>
  <si>
    <t>2 Januari 1985</t>
  </si>
  <si>
    <t>Dusun Sempadung, Desa Segedong, Kec. Tebas, Kab. Sambas, Kalimantan Barat</t>
  </si>
  <si>
    <t>BRI 816601002219534</t>
  </si>
  <si>
    <t>6101040201850003</t>
  </si>
  <si>
    <t>210</t>
  </si>
  <si>
    <t>OS1804005</t>
  </si>
  <si>
    <t>Eko Afrianto</t>
  </si>
  <si>
    <t>Pontianak, 18 April 1980</t>
  </si>
  <si>
    <t>Jl. Dr. Wahidin Komp. Batara Indah I Blok P. No. 25 Pontianak 78118</t>
  </si>
  <si>
    <t>081345758821</t>
  </si>
  <si>
    <t>MANDIRI 146-00-1050227-1</t>
  </si>
  <si>
    <t>6171051804800014</t>
  </si>
  <si>
    <t>694117904701000</t>
  </si>
  <si>
    <t>eko18afriyanto@gmail.com</t>
  </si>
  <si>
    <t>211</t>
  </si>
  <si>
    <t>OS1803084</t>
  </si>
  <si>
    <t>Iwan Andriyanto</t>
  </si>
  <si>
    <t>Gading Rejo, 11 Juni 1977</t>
  </si>
  <si>
    <t>Gading Rejo RT 01 / RW 06, Pringsewu</t>
  </si>
  <si>
    <t>212</t>
  </si>
  <si>
    <t>OS1803085</t>
  </si>
  <si>
    <t>Rudy Maulana Faisal</t>
  </si>
  <si>
    <t>Jakarta, 21 Februari 1991</t>
  </si>
  <si>
    <t>Jl. Galus Kp. Litan RT 05 / RW 06</t>
  </si>
  <si>
    <t>BCA 2040201281</t>
  </si>
  <si>
    <t>3276042102910002</t>
  </si>
  <si>
    <t>214</t>
  </si>
  <si>
    <t xml:space="preserve">OS1803087 </t>
  </si>
  <si>
    <t>Windran Marbun</t>
  </si>
  <si>
    <t>Bukit Tinggi, 25 Desember 1984</t>
  </si>
  <si>
    <t>Parumnas Panribuan, Kel. Dolok Parmonangan Kec. Dolok Panribuan, Simalungun, Sumatera Utara</t>
  </si>
  <si>
    <t>BCA 8075223541</t>
  </si>
  <si>
    <t>1276012512840001</t>
  </si>
  <si>
    <t>215</t>
  </si>
  <si>
    <t>OS1804006</t>
  </si>
  <si>
    <t>Galang Yuri Putra Pratama</t>
  </si>
  <si>
    <t>Banjarbaru, 26 Desember 1994</t>
  </si>
  <si>
    <t>Jl. Pramuka No. 18 RT 03 / RW 06, Kel. Mentaos Kec. Banjarbaru Utara</t>
  </si>
  <si>
    <t>(0511) 4774785 / 082152466326</t>
  </si>
  <si>
    <t>MANDIRI 0310009813463</t>
  </si>
  <si>
    <t>6372052612940002</t>
  </si>
  <si>
    <t>15004082853</t>
  </si>
  <si>
    <t>0002196677968</t>
  </si>
  <si>
    <t>GALANGYURI@GMAIL.COM</t>
  </si>
  <si>
    <t>216</t>
  </si>
  <si>
    <t>OS1804007</t>
  </si>
  <si>
    <t>Eson Sumitron Purba</t>
  </si>
  <si>
    <t>Balikpapan, 24 November 1989</t>
  </si>
  <si>
    <t>Jl. Marsma R. Iswahyudi RT 07, Kel. Sungai Nangka Kec. Balikpapan Selatan, Kota Balikpapan</t>
  </si>
  <si>
    <t>Mandiri 1490010206540</t>
  </si>
  <si>
    <t>6471052411890003</t>
  </si>
  <si>
    <t>217</t>
  </si>
  <si>
    <t>OS1804008</t>
  </si>
  <si>
    <t>Iwan</t>
  </si>
  <si>
    <t>Balikpapan, 17 Oktober 1988</t>
  </si>
  <si>
    <t>Jl. Marsma R. Iswahyudi No. 27 RT 07, Kel. Sungainangka Kec. Balikpapan Selatan</t>
  </si>
  <si>
    <t>6471051710880008</t>
  </si>
  <si>
    <t>218</t>
  </si>
  <si>
    <t>OS1804009</t>
  </si>
  <si>
    <t>Bustanil Arifin</t>
  </si>
  <si>
    <t>Sungai Besar, 19 Agustus 1985</t>
  </si>
  <si>
    <t>Kp. Babakan Khoer, Desa Bojong Sawah, Kec. Kebon Pedes, Sukabumi, Jawa Barat</t>
  </si>
  <si>
    <t>081932000456</t>
  </si>
  <si>
    <t>BNI 0567280048</t>
  </si>
  <si>
    <t>6372061908850003</t>
  </si>
  <si>
    <t>821120870405000</t>
  </si>
  <si>
    <t>bustanil1985@gmail.com</t>
  </si>
  <si>
    <t>219</t>
  </si>
  <si>
    <t xml:space="preserve"> OS1804025</t>
  </si>
  <si>
    <t>Midian Silalahi</t>
  </si>
  <si>
    <t>Simumbang, 27 Agustus 1992</t>
  </si>
  <si>
    <t>Girsang Lingkungan II Sidasuhut, Simalungun, Sumatera Utara</t>
  </si>
  <si>
    <t>BCA  8200588364</t>
  </si>
  <si>
    <t>1208162708920002</t>
  </si>
  <si>
    <t>17007477171</t>
  </si>
  <si>
    <t>KIS 0002097593583</t>
  </si>
  <si>
    <t>Silalahimidian27@gmail.com</t>
  </si>
  <si>
    <t>220</t>
  </si>
  <si>
    <t>OS1803095</t>
  </si>
  <si>
    <t>Saiful Palulu</t>
  </si>
  <si>
    <t>Manado, 14 September 1979</t>
  </si>
  <si>
    <t>JL. RE Martadinata RT 01, Kel. Teluk Lerong Ilir, Samarinda Ulu, Kota Samarinda</t>
  </si>
  <si>
    <t>081395450979</t>
  </si>
  <si>
    <t>Mandiri 1490007497920</t>
  </si>
  <si>
    <t>6472031409790009</t>
  </si>
  <si>
    <t>syaiful.sajja@gmail.com</t>
  </si>
  <si>
    <t>221</t>
  </si>
  <si>
    <t>OS1803100</t>
  </si>
  <si>
    <t>Syahrul Gunawan</t>
  </si>
  <si>
    <t>Medan, 1 September 1996</t>
  </si>
  <si>
    <t>Jl. Harapan Pasti Gg. Padang Lawas No. 5A</t>
  </si>
  <si>
    <t>CIMB Niaga 11290001162782</t>
  </si>
  <si>
    <t>1271010109960001</t>
  </si>
  <si>
    <t>222</t>
  </si>
  <si>
    <t>OS1804041</t>
  </si>
  <si>
    <t>Harzan Sumarlin Marbun</t>
  </si>
  <si>
    <t>Siantar, 23 April 1993</t>
  </si>
  <si>
    <t>Jl. Turi Gg. Pelajar No. 5 Medan</t>
  </si>
  <si>
    <t>082167101275</t>
  </si>
  <si>
    <t>CIMB Niaga 704051018600</t>
  </si>
  <si>
    <t>1201042304930001</t>
  </si>
  <si>
    <t>0000013323341</t>
  </si>
  <si>
    <t xml:space="preserve">harzansm@gmail.com </t>
  </si>
  <si>
    <t>223</t>
  </si>
  <si>
    <t>OS1804042</t>
  </si>
  <si>
    <t>Dede Suhendra</t>
  </si>
  <si>
    <t>Siantar, 16 Mei 1991</t>
  </si>
  <si>
    <t>Jl. Banten Gg. Buntu No. 18 Desa Tanjung Gusta, Kec. Sunggal, Deli Serdang, Medan</t>
  </si>
  <si>
    <t>BCA 8200550545 a/n Asna (Orang tua)</t>
  </si>
  <si>
    <t>1208041107890001</t>
  </si>
  <si>
    <t>224</t>
  </si>
  <si>
    <t>OS1804043</t>
  </si>
  <si>
    <t>M. Arifin</t>
  </si>
  <si>
    <t>Pontianak, 9 Agustus 1992</t>
  </si>
  <si>
    <t>Gg. Cempaka Putih Dalam RT 07 / RW 06, Kec. Sungai Raya, Kubu Raya</t>
  </si>
  <si>
    <t>Mandiri 1460011715518</t>
  </si>
  <si>
    <t>225</t>
  </si>
  <si>
    <t>OS1804044</t>
  </si>
  <si>
    <t>Andy</t>
  </si>
  <si>
    <t>Tangerang, 27 April 1977</t>
  </si>
  <si>
    <t>Pulau Tidung RT 06 / RW 02, Pulau Tidung, Kep. Seribu Selatan</t>
  </si>
  <si>
    <t>081272703595</t>
  </si>
  <si>
    <t xml:space="preserve"> BCA 0212838291</t>
  </si>
  <si>
    <t>3671062704770003</t>
  </si>
  <si>
    <t>11014518911</t>
  </si>
  <si>
    <t>0002291580022</t>
  </si>
  <si>
    <t>andybimq7x@gmail.com</t>
  </si>
  <si>
    <t>226</t>
  </si>
  <si>
    <t>OS1803101</t>
  </si>
  <si>
    <t>Pras Dianto</t>
  </si>
  <si>
    <t>Tangkit, 22 Desember 1983</t>
  </si>
  <si>
    <t>Gading Rejo, RT 01 / RW 07, Gading Rejo, Pringsewu</t>
  </si>
  <si>
    <t>Mandiri 1140012261288</t>
  </si>
  <si>
    <t>1810022212830005</t>
  </si>
  <si>
    <t>80.744.334.6-325.000</t>
  </si>
  <si>
    <t>cancel join</t>
  </si>
  <si>
    <t>227</t>
  </si>
  <si>
    <t>OS1804045</t>
  </si>
  <si>
    <t>Abrar Nasrul</t>
  </si>
  <si>
    <t>Padang, 3 Agustus 1990</t>
  </si>
  <si>
    <t>Kampung Baru RT 03 / RW 07, Kel. Kampung Baru Kec. Lubuk Kilangan, Kota Padang</t>
  </si>
  <si>
    <t>Mandiri 1110010009286</t>
  </si>
  <si>
    <t>1771060308900002</t>
  </si>
  <si>
    <t>228</t>
  </si>
  <si>
    <t>OS1804062</t>
  </si>
  <si>
    <t>Safari</t>
  </si>
  <si>
    <t>Jakarta, 22 Oktober 1979</t>
  </si>
  <si>
    <t>Jakarta, Bogor, Depok, Tangerang, dan Bekasi</t>
  </si>
  <si>
    <t>Komplek GMG Blok D5 No. 17 RT 06 / RW 12, Desa Telajung Kec. Cikarang Barat, Bekasi</t>
  </si>
  <si>
    <t>0856 93576135</t>
  </si>
  <si>
    <t>BCA 6870597507</t>
  </si>
  <si>
    <t>3216082210790006</t>
  </si>
  <si>
    <t>79.302.633.7-432.000</t>
  </si>
  <si>
    <t>ssafari513@gmail.com</t>
  </si>
  <si>
    <t>229</t>
  </si>
  <si>
    <t>OS1804046</t>
  </si>
  <si>
    <t>Karya</t>
  </si>
  <si>
    <t>Majalengka, 20 Desember 1981</t>
  </si>
  <si>
    <t>Logistic &amp; Ofiice Boy</t>
  </si>
  <si>
    <t>Jl. Topasraya BSA II No. 1 RT 01, Desa Midang, Kel. Gunungsari</t>
  </si>
  <si>
    <t>Mandiri 1610004155789</t>
  </si>
  <si>
    <t>230</t>
  </si>
  <si>
    <t>OS1804047</t>
  </si>
  <si>
    <t>Arif Tantoso Marpaung</t>
  </si>
  <si>
    <t>Binjai Serbangan, 14 Oktober 1989</t>
  </si>
  <si>
    <t>Lingkungan I Kec. Air Joman</t>
  </si>
  <si>
    <t>085362013095</t>
  </si>
  <si>
    <t>Mandiri 9000026428467 a/n Harum Fauziyyah</t>
  </si>
  <si>
    <t>arif.lsm2017@gmail.com</t>
  </si>
  <si>
    <t>231</t>
  </si>
  <si>
    <t>OS1804048</t>
  </si>
  <si>
    <t>Ervin</t>
  </si>
  <si>
    <t>Padang, 11 Januari 1978</t>
  </si>
  <si>
    <t>Installer &amp; Driver</t>
  </si>
  <si>
    <t>Pancoran, Kel. Duren Tiga, Jakarta Selatan</t>
  </si>
  <si>
    <t>085312001088</t>
  </si>
  <si>
    <t>Mandiri Mandiri 9000026428467 a/n Harum Fauziyyah</t>
  </si>
  <si>
    <t>3328031101780003</t>
  </si>
  <si>
    <t>ervinpipin@gmail.com</t>
  </si>
  <si>
    <t>232</t>
  </si>
  <si>
    <t>OS1804049</t>
  </si>
  <si>
    <t>Fadillah BR. Siregar</t>
  </si>
  <si>
    <t>Tanjungbalai, 21 Maret 1990</t>
  </si>
  <si>
    <t>Jl. Pattimura Gg. Pandan LK. III, Kel. Pantai Burung Kec. Tanjung Balai Selatan, Kota Tanjungbalai</t>
  </si>
  <si>
    <t>BCA 8205219168</t>
  </si>
  <si>
    <t>233</t>
  </si>
  <si>
    <t>OS1803102</t>
  </si>
  <si>
    <t>Fatoni Hidayat</t>
  </si>
  <si>
    <t>Mataram, 31 Juli 1992</t>
  </si>
  <si>
    <t>Lingk. Bawak Bagik Selatan RT 01 / RW 206, Kel. Dasan Agung Kec. Selaparang Kota Mataram</t>
  </si>
  <si>
    <t>087865774324 / 082339636568</t>
  </si>
  <si>
    <t>BNI 0380457100</t>
  </si>
  <si>
    <t>5271053107920001</t>
  </si>
  <si>
    <t>749752598911000</t>
  </si>
  <si>
    <t>fatoni46hidayat@gmail.com</t>
  </si>
  <si>
    <t>234</t>
  </si>
  <si>
    <t>OS1804050</t>
  </si>
  <si>
    <t>Almi Bahar</t>
  </si>
  <si>
    <t>Pasir Laweh, 21 Agustus 1988</t>
  </si>
  <si>
    <t>Jl. Yos Sudarso KM 27 Minas</t>
  </si>
  <si>
    <t>081374874459</t>
  </si>
  <si>
    <t>BCA 1940009045</t>
  </si>
  <si>
    <t>140801238880001</t>
  </si>
  <si>
    <t>almiebahar@gmail.com</t>
  </si>
  <si>
    <t>235</t>
  </si>
  <si>
    <t>OS1804051</t>
  </si>
  <si>
    <t>Aditia Ramadhan</t>
  </si>
  <si>
    <t>Balikpapan, 10 Mei 1988</t>
  </si>
  <si>
    <t>Jl. Riko Gg. Murni RT 23, Kel. Baru Tengah Kec. Balikpapan Barat</t>
  </si>
  <si>
    <t>082357418293</t>
  </si>
  <si>
    <t>BCA 6115301245</t>
  </si>
  <si>
    <t>6471021005880001</t>
  </si>
  <si>
    <t>15028931382</t>
  </si>
  <si>
    <t>KIS 0000901574144</t>
  </si>
  <si>
    <t>idanaditia@gmail.com</t>
  </si>
  <si>
    <t>236</t>
  </si>
  <si>
    <t xml:space="preserve"> OS1804052</t>
  </si>
  <si>
    <t>Nia Mulyanti</t>
  </si>
  <si>
    <t>Sumbawa, 17 Januari 1993</t>
  </si>
  <si>
    <t>Admin &amp; GA</t>
  </si>
  <si>
    <t>RT 01 / RW 03, Lab. Alas, Sumbawa</t>
  </si>
  <si>
    <t>BCA 0561493757</t>
  </si>
  <si>
    <t>5204055701930001</t>
  </si>
  <si>
    <t>237</t>
  </si>
  <si>
    <t>OS1804055</t>
  </si>
  <si>
    <t>Choirul Anam</t>
  </si>
  <si>
    <t>Purwokerto, 30 November 1992</t>
  </si>
  <si>
    <t>Jl. Aria Putra RT 10 / RW 19, Kel/Desa Kedang Kec. Pamulang</t>
  </si>
  <si>
    <t>08992591411</t>
  </si>
  <si>
    <t>BCA 0678148361</t>
  </si>
  <si>
    <t>3674063011920008</t>
  </si>
  <si>
    <t>0001457059522</t>
  </si>
  <si>
    <t>choinam1130@gmail.com</t>
  </si>
  <si>
    <t>238</t>
  </si>
  <si>
    <t>OS1804054</t>
  </si>
  <si>
    <t>Durahman</t>
  </si>
  <si>
    <t>Kuningan, 10 Januari 1993</t>
  </si>
  <si>
    <t>Dusun Kliwon RT 13 / RW 07, Desa Kertayasa, Sindangagung, Kuningan</t>
  </si>
  <si>
    <t>'08988251321</t>
  </si>
  <si>
    <t>BRI 428501014599532</t>
  </si>
  <si>
    <t>3208080110930010</t>
  </si>
  <si>
    <t>durahman999@gmail.com</t>
  </si>
  <si>
    <t>239</t>
  </si>
  <si>
    <t>OS1804056</t>
  </si>
  <si>
    <t>Shahid Waluyo</t>
  </si>
  <si>
    <t>Medan, 10 November 1976</t>
  </si>
  <si>
    <t>Jl. Dusun VI Jl. Masjid Pasar IV Kel. Helvetia Kec. Labuhan Deli. Deli Serdang, Medan</t>
  </si>
  <si>
    <t>BRI 539201000312504</t>
  </si>
  <si>
    <t>240</t>
  </si>
  <si>
    <t>OS1804057</t>
  </si>
  <si>
    <t>Aidil</t>
  </si>
  <si>
    <t>Watampone, 1 Desember 1984</t>
  </si>
  <si>
    <t>Jl. Borong Raya Perum Graha Indah Famili Blok D NO. 7, RT 05 / RW 01, Borong, Manggala, Makassar</t>
  </si>
  <si>
    <t>08114113771</t>
  </si>
  <si>
    <t>Mandiri 152-00-1304128-6</t>
  </si>
  <si>
    <t>7371140112840015</t>
  </si>
  <si>
    <t>0001721782192</t>
  </si>
  <si>
    <t>Aidilwaris21@gmail.com</t>
  </si>
  <si>
    <t>241</t>
  </si>
  <si>
    <t xml:space="preserve"> OS1803103</t>
  </si>
  <si>
    <t>Dania Purnama</t>
  </si>
  <si>
    <t>Kota Karang, 5 Desember 1995</t>
  </si>
  <si>
    <t>081272775565</t>
  </si>
  <si>
    <t>1804032612960002</t>
  </si>
  <si>
    <t>242</t>
  </si>
  <si>
    <t xml:space="preserve"> OS1803104</t>
  </si>
  <si>
    <t>Deni Pratama</t>
  </si>
  <si>
    <t>Tanjung Lili, 6 April 1992</t>
  </si>
  <si>
    <t>Tanjung Lili RT 02 / RW 04, Talang Sepuh, Talang Padang, Tanggamus</t>
  </si>
  <si>
    <t>082178281634</t>
  </si>
  <si>
    <t>1806020604000002</t>
  </si>
  <si>
    <t>243</t>
  </si>
  <si>
    <t>OS1805020</t>
  </si>
  <si>
    <t>Sitti Sakinah</t>
  </si>
  <si>
    <t>Ujung Pandang, 28 Januari 1992</t>
  </si>
  <si>
    <t>Drafter</t>
  </si>
  <si>
    <t>BTN Minasa Upa Blok N4 No. 19 RT 05 / RW 16, Minasa Upa Rappocini, Kota Makassar</t>
  </si>
  <si>
    <t>Mandiri 1740001126879</t>
  </si>
  <si>
    <t>7605086801920002</t>
  </si>
  <si>
    <t>kinahbunny@yahoo.co.id</t>
  </si>
  <si>
    <t>masuk 3 hari, resign 20/05/2018</t>
  </si>
  <si>
    <t>244</t>
  </si>
  <si>
    <t>OS1805021</t>
  </si>
  <si>
    <t>Supian Hadi</t>
  </si>
  <si>
    <t>Banjarmasin, 2 Februari 1982</t>
  </si>
  <si>
    <t>Jl. P Karya Komp. Perdana Mandiri, Desa Sungai Andai, Banjarmasin</t>
  </si>
  <si>
    <t>085386608535</t>
  </si>
  <si>
    <t>BRI 323101028587537</t>
  </si>
  <si>
    <t>6371020202820022</t>
  </si>
  <si>
    <t>hadi.supian@gmail.com</t>
  </si>
  <si>
    <t>245</t>
  </si>
  <si>
    <t>OS1805022</t>
  </si>
  <si>
    <t>Achmad Jamalludin</t>
  </si>
  <si>
    <t>Banjarmasin, 21 Mei 1986</t>
  </si>
  <si>
    <t>Jl. Sungai Andai Komp. Herlina Perkasa Blok Batu Virus/14 RT 16 / RW 04</t>
  </si>
  <si>
    <t>081258214234</t>
  </si>
  <si>
    <t>BRI 000301060578504</t>
  </si>
  <si>
    <t>6371052105860003</t>
  </si>
  <si>
    <t>81.599.497.5-731.000</t>
  </si>
  <si>
    <t>246</t>
  </si>
  <si>
    <t>OS1805023</t>
  </si>
  <si>
    <t>Pahriadi</t>
  </si>
  <si>
    <t>Pandan Sari, 27 Mei 1991</t>
  </si>
  <si>
    <t>Anjir Pasar Kota KM 18</t>
  </si>
  <si>
    <t>085349393905</t>
  </si>
  <si>
    <t>BCA 2600032219</t>
  </si>
  <si>
    <t>6304032705910001</t>
  </si>
  <si>
    <t>arie.bhocah@gmail.com</t>
  </si>
  <si>
    <t>247</t>
  </si>
  <si>
    <t>OS1805024</t>
  </si>
  <si>
    <t>Bahran Jamil</t>
  </si>
  <si>
    <t>Banjarmasin, 30 Januari 1994</t>
  </si>
  <si>
    <t>Jl. Pandu GG. I No. 98A</t>
  </si>
  <si>
    <t>085651101410</t>
  </si>
  <si>
    <t>0310006334075</t>
  </si>
  <si>
    <t>6371023001940005</t>
  </si>
  <si>
    <t>bahranjamil66@gmail.com</t>
  </si>
  <si>
    <t>248</t>
  </si>
  <si>
    <t xml:space="preserve"> OS1805025</t>
  </si>
  <si>
    <t>Rian Hidayat</t>
  </si>
  <si>
    <t>Banjarmasin, 9 Maret 1989</t>
  </si>
  <si>
    <t>Jl. Kelayan B Tengah No. 01 RT 03 / RW 01, Kel. Kelayan Tengah Kec. Banjarmasin Selatan</t>
  </si>
  <si>
    <t>08152141210 / 081346504600</t>
  </si>
  <si>
    <t>Mandiri 9000042771965</t>
  </si>
  <si>
    <t>6371010903890006</t>
  </si>
  <si>
    <t>158643460731000</t>
  </si>
  <si>
    <t>17045332339</t>
  </si>
  <si>
    <t>0001328542648</t>
  </si>
  <si>
    <t>rianhidayat931989@gmail.com</t>
  </si>
  <si>
    <t>249</t>
  </si>
  <si>
    <t>OS1805026</t>
  </si>
  <si>
    <t>Agus Saputra Anwar</t>
  </si>
  <si>
    <t>Pekanbaru, 12 Agustus 1993</t>
  </si>
  <si>
    <t>Jl. Berdikari Gg. Lestari No. 19 RT 03/ RW 05, Kel. Umban Sari Kec. Rumbai, Kota Pekanbaru</t>
  </si>
  <si>
    <t>250</t>
  </si>
  <si>
    <t>OS1805027</t>
  </si>
  <si>
    <t>Adi Afrizal</t>
  </si>
  <si>
    <t>Banjarmasin, 29 Maret 1992</t>
  </si>
  <si>
    <t>Jl. Padat Karya RT 12 Ds. Sungai Gampa Asahi Ke. Rantau Badauh</t>
  </si>
  <si>
    <t>BCA 6870597507 a/n Safari</t>
  </si>
  <si>
    <t>251</t>
  </si>
  <si>
    <t>OS1804061</t>
  </si>
  <si>
    <t>Rifani</t>
  </si>
  <si>
    <t>Banjarmasin, 14 Desember 1969</t>
  </si>
  <si>
    <t>Jl. Pekapuran B Laut No. 14 RT 19 / RW 02, Kel. Pekapuran Laut Kec. Banjarmasin Tengah, Kota Banjarmasin</t>
  </si>
  <si>
    <t>6371051412690003</t>
  </si>
  <si>
    <t>252</t>
  </si>
  <si>
    <t xml:space="preserve"> OS1805084</t>
  </si>
  <si>
    <t>Nur Aprilia Namira</t>
  </si>
  <si>
    <t>Tangerang, 1 April 2000</t>
  </si>
  <si>
    <t>Project Doc &amp; Admin</t>
  </si>
  <si>
    <t>Jl. Baru RT 03 / RW 02, Kel. Poris Plawad Utara Kec. Cipondoh, Tangerang</t>
  </si>
  <si>
    <t>BCA 6580614254 a/n Malla</t>
  </si>
  <si>
    <t>253</t>
  </si>
  <si>
    <t>OS1805085</t>
  </si>
  <si>
    <t>Salsyabila Caesary Fenoman</t>
  </si>
  <si>
    <t>Pring Sewu, 10 September 2000</t>
  </si>
  <si>
    <t>Jl. Pd Kelapa X Blok E1/11 RT 10 / RW 11, Kel. Pondok Kelapa Kec. Duren Sawit, Jakarta Timur</t>
  </si>
  <si>
    <t>0895321908483 / 085921495517</t>
  </si>
  <si>
    <t>BRI 052801009586502 a/n Fenny Oktaviani Mubin</t>
  </si>
  <si>
    <t>3175075009001004</t>
  </si>
  <si>
    <t>salsyabilac.f@gmail.com</t>
  </si>
  <si>
    <t>254</t>
  </si>
  <si>
    <t>Sinta Anggraeni</t>
  </si>
  <si>
    <t>Jakarta, 23 Januari 2001</t>
  </si>
  <si>
    <t>Gg. Mesjid III RT 10 / RW 07, Kel. Angke Kec. Tambora, Jakarta Barat</t>
  </si>
  <si>
    <t>255</t>
  </si>
  <si>
    <t>OS1805086</t>
  </si>
  <si>
    <t>Deya Anita Sari</t>
  </si>
  <si>
    <t>Jakarta, 28 September 2000</t>
  </si>
  <si>
    <t>Jl. Kertajaya II RT 13 / RW 14, Penjaringan Jakarta Utara</t>
  </si>
  <si>
    <t>Mandiri 9000036310895 a/n Sismiati</t>
  </si>
  <si>
    <t>256</t>
  </si>
  <si>
    <t>OS1804063</t>
  </si>
  <si>
    <t>Achmad Aydi Akbar</t>
  </si>
  <si>
    <t>Jakarta, 24 Juni 1991</t>
  </si>
  <si>
    <t>Kel. Rambutan RT 06 / RW 01, Kel. Rambutan Kec. Ciracas, Jakarta Timur</t>
  </si>
  <si>
    <t>081293722462</t>
  </si>
  <si>
    <t>BCA 6825118725</t>
  </si>
  <si>
    <t>3175092406910006</t>
  </si>
  <si>
    <t>akbaraydi@gmail.com</t>
  </si>
  <si>
    <t>257</t>
  </si>
  <si>
    <t>OS1805087</t>
  </si>
  <si>
    <t>David Saputra</t>
  </si>
  <si>
    <t>Tulang Bawang, 10 April 1992</t>
  </si>
  <si>
    <t>Kp. Periang RT 04 / RW 14</t>
  </si>
  <si>
    <t>085210578417</t>
  </si>
  <si>
    <t>BCA 2820104598</t>
  </si>
  <si>
    <t>saputra.bungsu557@gmail.com</t>
  </si>
  <si>
    <t>258</t>
  </si>
  <si>
    <t>OS1804064</t>
  </si>
  <si>
    <t>Indra Syahputra</t>
  </si>
  <si>
    <t>Binjai Serbangan, 13 September 1993</t>
  </si>
  <si>
    <t>Lingk. 1 Kec. Air Joman</t>
  </si>
  <si>
    <t>BRI 528301026971533</t>
  </si>
  <si>
    <t>259</t>
  </si>
  <si>
    <t>OS1805088</t>
  </si>
  <si>
    <t>Junaidi</t>
  </si>
  <si>
    <t>Banjarmasin, 14 Juni 1990</t>
  </si>
  <si>
    <t>Jl. Sultan Adam Komp. Hunafa RT 30 No. 57, Banjarmasin, Kalimantan Selatan</t>
  </si>
  <si>
    <t>260</t>
  </si>
  <si>
    <t>OS1805089</t>
  </si>
  <si>
    <t>Rachmad Wahyudi</t>
  </si>
  <si>
    <t>Surabaya, 15 Agustus 1984</t>
  </si>
  <si>
    <t>Jl. MT Haryono No. 3 RT 60, Kel. Damai Kec. Balikpapan Selatan, Kota Balikpapan</t>
  </si>
  <si>
    <t>085551100899 / 081253418499</t>
  </si>
  <si>
    <t>BCA 7825179470</t>
  </si>
  <si>
    <t>6471031508840001</t>
  </si>
  <si>
    <t>langitsadhewa88@gmail.com</t>
  </si>
  <si>
    <t>261</t>
  </si>
  <si>
    <t>OS1804065</t>
  </si>
  <si>
    <t>Irfan Panjaitan</t>
  </si>
  <si>
    <t>Binjai Serbangan, 13 Desember 1996</t>
  </si>
  <si>
    <t>Lingkungan I, Binjai Serbangan, Air Joman, Asahan</t>
  </si>
  <si>
    <t>BRI 528301021648533 a/n Rosmah</t>
  </si>
  <si>
    <t>262</t>
  </si>
  <si>
    <t>OS1801067</t>
  </si>
  <si>
    <t>Ifan Anthus</t>
  </si>
  <si>
    <t>Pontianak, 6 Juni 1993</t>
  </si>
  <si>
    <t>Jl. Tritura Gg. Angket Dalam No. 29 B</t>
  </si>
  <si>
    <t>0811-577-5102</t>
  </si>
  <si>
    <t>BCA  0292235427</t>
  </si>
  <si>
    <t>6171020806930004</t>
  </si>
  <si>
    <t>16011259948</t>
  </si>
  <si>
    <t>cancel resign</t>
  </si>
  <si>
    <t>263</t>
  </si>
  <si>
    <t>Rezki Fahriza</t>
  </si>
  <si>
    <t>Banjarmasin, 3 September 1994</t>
  </si>
  <si>
    <t>Jl. Benua Anyar Komp. Benua Anyar RT 03 / RW 01, Benua Anyar, Banjarmasin</t>
  </si>
  <si>
    <t>085705964233</t>
  </si>
  <si>
    <t>BRI 7153-01-008145.537</t>
  </si>
  <si>
    <t>6371040309940005</t>
  </si>
  <si>
    <t>0001903038761</t>
  </si>
  <si>
    <t>REZKI.FAHRIZA@YAHOO.COM</t>
  </si>
  <si>
    <t>TERMINATED</t>
  </si>
  <si>
    <t>OS1510028</t>
  </si>
  <si>
    <t>Muhammad Firmansyah Kurniawan</t>
  </si>
  <si>
    <t>Bekasi, 12 Mei 1981</t>
  </si>
  <si>
    <t xml:space="preserve">eff 1 jan '17 prev DA 10rb &amp; entitle Other allw </t>
  </si>
  <si>
    <t>Jl. Mangga VII NO.49 Rt/Rw.002/024 Cibodasari, Cibodas, Kota Tangerang</t>
  </si>
  <si>
    <t>0813 10059669</t>
  </si>
  <si>
    <t>BCA : 6930126631</t>
  </si>
  <si>
    <t>3275021205810021</t>
  </si>
  <si>
    <t>25.187.757.7.407.000</t>
  </si>
  <si>
    <t>0001766677037 - ISTRI</t>
  </si>
  <si>
    <t>iwan_el99@yahoo.com</t>
  </si>
  <si>
    <t>resign 10/6/2017</t>
  </si>
  <si>
    <t>Extend until 31-Okt-2017</t>
  </si>
  <si>
    <t>OS1705044</t>
  </si>
  <si>
    <t>Winarto Hariyadi</t>
  </si>
  <si>
    <t>Surabaya, 3 Juli 1978</t>
  </si>
  <si>
    <t>WARNING</t>
  </si>
  <si>
    <t>Dinoyo Alun-alun GG. IV No 10 RT. IV RW. V, Kel. Keputran Kec. Tegalsari, Kotamadya Surabaya</t>
  </si>
  <si>
    <t xml:space="preserve">081515107188  </t>
  </si>
  <si>
    <t>BCA : 6720452373</t>
  </si>
  <si>
    <t>3578050307780002</t>
  </si>
  <si>
    <t>0</t>
  </si>
  <si>
    <t xml:space="preserve"> 0002229607416 </t>
  </si>
  <si>
    <t>ibrasae24.inter@gmail.com</t>
  </si>
  <si>
    <t>resign 31/7/2017</t>
  </si>
  <si>
    <t>OS1705054</t>
  </si>
  <si>
    <t>Arry Junyardi</t>
  </si>
  <si>
    <t>Tenggarong, 5 Juni 1980</t>
  </si>
  <si>
    <t>Kp. Cijengkol Rt/Rw.004/002 Cisalam, Baros, Kab. Serang, Banten</t>
  </si>
  <si>
    <t xml:space="preserve">081262942018   </t>
  </si>
  <si>
    <t xml:space="preserve">: 9000005689436 </t>
  </si>
  <si>
    <t xml:space="preserve">3604220506800001   </t>
  </si>
  <si>
    <t xml:space="preserve">ariedjunyardi@gmail.com       </t>
  </si>
  <si>
    <t>Cancel Join per tgl 12 Juni 2017 e_15/06/2017</t>
  </si>
  <si>
    <t>OS1705061</t>
  </si>
  <si>
    <t>Agus Yulianto</t>
  </si>
  <si>
    <t>DCC Area Sumatera Selatan</t>
  </si>
  <si>
    <t>Mandiri : 1010006412793</t>
  </si>
  <si>
    <t>yuliantoalfaqiih@gmail.com</t>
  </si>
  <si>
    <t>Resign 06/06/17</t>
  </si>
  <si>
    <t>eff 1 jan '17 prev BS 2.560.000 &amp; DA15rb; eff 1 Jan'16 prev BS 2.440.000 &amp; No CA &amp; DA 10.000</t>
  </si>
  <si>
    <t>Resign per 24-Juli-2017</t>
  </si>
  <si>
    <t>NY FCL - Resign per 24-Juli-2017</t>
  </si>
  <si>
    <t>OS1505089</t>
  </si>
  <si>
    <t>Slamet</t>
  </si>
  <si>
    <t>Bogor, 27 aug 1985</t>
  </si>
  <si>
    <t>Installer =&gt; Document (per 1 Mar 16) =&gt; Doc Team</t>
  </si>
  <si>
    <t>eff 1 jan '17 prev DA 10rb; eff 1 Mar 16 prev BS 2,44 &amp; No Call Allow</t>
  </si>
  <si>
    <t>Bendungan Rt/Rw.005/001 Cilodong, Kota Depok</t>
  </si>
  <si>
    <t>0858 13162645</t>
  </si>
  <si>
    <t>Mandiri : 1570000898099</t>
  </si>
  <si>
    <t>3276052708860001 / 3276051411070239 / PKM Cilodong</t>
  </si>
  <si>
    <t>87.018.235.9.412.000</t>
  </si>
  <si>
    <t>0001652149563 OK</t>
  </si>
  <si>
    <t>mametaje83@yahoo.com</t>
  </si>
  <si>
    <t>Resign per 9-Juli-2017</t>
  </si>
  <si>
    <t>FCL Done - Resign per 9-Juli-2017</t>
  </si>
  <si>
    <t>OS1506068</t>
  </si>
  <si>
    <t>Miswandi</t>
  </si>
  <si>
    <t>Rejomulyo, 8 Oktober 1987</t>
  </si>
  <si>
    <t>Teknisi =&gt; Team Leader</t>
  </si>
  <si>
    <t>eff 1 jan '17 prev DA 10rb; change posisi 21/9/2015 prev BS 2.440.000 CA none</t>
  </si>
  <si>
    <t>Rejomulyo Rt/Rw.012/008 Kec. Jati Agung, Lampung Selatan</t>
  </si>
  <si>
    <t>0852 69715091</t>
  </si>
  <si>
    <t>BCA 2940571866</t>
  </si>
  <si>
    <t>1801130810870008</t>
  </si>
  <si>
    <t xml:space="preserve"> PBI (APBD)</t>
  </si>
  <si>
    <t>wandy.rully@gmail.com</t>
  </si>
  <si>
    <t>Resign per 7-Juli-2017</t>
  </si>
  <si>
    <t>FCL Done - Resign per 7-Juli-2017</t>
  </si>
  <si>
    <t>OS1512026</t>
  </si>
  <si>
    <t>Ropiq</t>
  </si>
  <si>
    <t>Tasikmalaya, 3 Juli 1978</t>
  </si>
  <si>
    <t>eff 1 jan '17 prev BS 2.560.000 &amp; DA 15rb; eff Mar'16 No PA, eff 1 Jan'16 prev BS 2.440.000 &amp; No CA &amp; DA 10.000, eff 1 Feb'16 entitle pro allow prev none</t>
  </si>
  <si>
    <t>Pesing Poglar Rt/Rw.02/02 Kedaung Kaliangke, Cengkareng, Jakarta Barat</t>
  </si>
  <si>
    <t>0852 80056008</t>
  </si>
  <si>
    <t>BCA : 2533144209</t>
  </si>
  <si>
    <t>3173010307780031</t>
  </si>
  <si>
    <t>PBI (APBD)</t>
  </si>
  <si>
    <t>junjunahmad0@gmail.com</t>
  </si>
  <si>
    <t>Resign per 21-Juli-2017</t>
  </si>
  <si>
    <t>FCL Done - Resign per 21-Juli-2017</t>
  </si>
  <si>
    <t>OS1603021</t>
  </si>
  <si>
    <t>Ande Jatnika</t>
  </si>
  <si>
    <t>BANDUNG, 23 JULI 1986</t>
  </si>
  <si>
    <t>eff 1 jan '17 prev CA 200rb &amp; DA 15rb &amp; entitle other allw</t>
  </si>
  <si>
    <t>KP Pasir Peundeuy RT 02/09 Desa Mekar Jaya Kec.Cihampelas</t>
  </si>
  <si>
    <t>085346061037</t>
  </si>
  <si>
    <t xml:space="preserve">  </t>
  </si>
  <si>
    <t>3217102307860010</t>
  </si>
  <si>
    <t>66.459.537.8-421-000</t>
  </si>
  <si>
    <t>0001469665901 OK</t>
  </si>
  <si>
    <t>andejatnika@ymail.com</t>
  </si>
  <si>
    <t>Resign per 3-Juli-2017 - (plan) prorate sampai 2-juli-2017</t>
  </si>
  <si>
    <t>NY FCL - Resign per 3-Juli-2017 - (plan) prorate sampai 2-juli-2017</t>
  </si>
  <si>
    <t>OS1605032</t>
  </si>
  <si>
    <t>Diki Darmansyah</t>
  </si>
  <si>
    <t>25 September 1988</t>
  </si>
  <si>
    <t>eff 1 jan '17 prev BS 2.765.000 &amp; DA 15rb</t>
  </si>
  <si>
    <t>Jl. Kampung Dua RT 06 / RW 02, Kel. Sakasampurna Kec. Bekasi Barat</t>
  </si>
  <si>
    <t>085710974088 / 085200113691</t>
  </si>
  <si>
    <t>BCA : 5770655287</t>
  </si>
  <si>
    <t>3275022509880009</t>
  </si>
  <si>
    <t>0001769545945 OK</t>
  </si>
  <si>
    <t>dikifirasatburuk@gmail.com</t>
  </si>
  <si>
    <t>Resign per 4-Juli-2017</t>
  </si>
  <si>
    <t>FCL Done - Resign per 4-Juli-2017 karena  ayahnya sakit</t>
  </si>
  <si>
    <t>OS1612036</t>
  </si>
  <si>
    <t>Riska Akino</t>
  </si>
  <si>
    <t>Padang, 27 Nopember 1986</t>
  </si>
  <si>
    <t>OTHER ALLOW NONE EFF 1 MAR'17 PREV 800 RB ; entitle OA per 13 Dec '16</t>
  </si>
  <si>
    <t>Jl. Alai Kampung Kalawi No. 66 Ampang Kuranji, Kota Padang Sumatera Barat 
/ Pasar Baru, Jorong Sianok Pasar Baru Nagari Sinurik, Kec.Talamau Kab. Pasaman Barat Padang</t>
  </si>
  <si>
    <t>085766209008</t>
  </si>
  <si>
    <t>BCA : 0342452491</t>
  </si>
  <si>
    <t>1371092711860008</t>
  </si>
  <si>
    <t>15.972.501.9-201.000</t>
  </si>
  <si>
    <t>riska.akino@gmail.com</t>
  </si>
  <si>
    <t>Resign 13-Juli-2017</t>
  </si>
  <si>
    <t>FCL Done per 13-Juli-2017 resign</t>
  </si>
  <si>
    <t>OS1705007</t>
  </si>
  <si>
    <t>Ade Prayogo</t>
  </si>
  <si>
    <t>Palembang, 17 Juli 1995</t>
  </si>
  <si>
    <t>LF Pesantren No.465 Rt/Rw.003/002 Kemas Rindo, Kertapati, Kota Palembang</t>
  </si>
  <si>
    <t>81355848936</t>
  </si>
  <si>
    <t>BRI : 574001015042533</t>
  </si>
  <si>
    <t>1671131707950004</t>
  </si>
  <si>
    <t>terminated 31/7/2017</t>
  </si>
  <si>
    <t>not extend PKWT - tolong dikirim kan pemberitahuan via email dari HRD dan di hubungi ke karyawan ybs (barangkali tidak baca email)</t>
  </si>
  <si>
    <t>OS1705008</t>
  </si>
  <si>
    <t>Alfiansyah</t>
  </si>
  <si>
    <t>Palembang, 19 April 1982</t>
  </si>
  <si>
    <t>Jl. Gersik Lr Singkil No 1564 A Rt/Rw.021/009 Ilir, Palembang</t>
  </si>
  <si>
    <t>82376827273</t>
  </si>
  <si>
    <t>SIM</t>
  </si>
  <si>
    <t>OS1705009</t>
  </si>
  <si>
    <t>Hasbullah</t>
  </si>
  <si>
    <t>Palembang, 13 November 1994</t>
  </si>
  <si>
    <t>Lrg Sungai Tawar IV No.597 Rt/Rw.017/007, 29 Ilir, Ilir Barat II, Kota Palembang</t>
  </si>
  <si>
    <t>85279669818</t>
  </si>
  <si>
    <t>1671011311940003</t>
  </si>
  <si>
    <t>OS1705011</t>
  </si>
  <si>
    <t>Mahpuz</t>
  </si>
  <si>
    <t>Palembang, 18 November 1983</t>
  </si>
  <si>
    <t>Sekip Lr Sawah Besar No 2543 Rt/Rw.037/010, 20 Ilir Timur I, Kota Palembang</t>
  </si>
  <si>
    <t>81368880109</t>
  </si>
  <si>
    <t>CIMB Niaga : 9610101133118</t>
  </si>
  <si>
    <t>1671051811830002</t>
  </si>
  <si>
    <t>26.363.814.2.301.000</t>
  </si>
  <si>
    <t>0001461251665</t>
  </si>
  <si>
    <t>mahfuz.sidiq@gmail.com</t>
  </si>
  <si>
    <t>OS1705012</t>
  </si>
  <si>
    <t>Supriadi</t>
  </si>
  <si>
    <t>Palembang, 21 September 1984</t>
  </si>
  <si>
    <t>Jl. Ki Merogan Lr GMC no 201 rt/rw.005/001 kel. organ baru, kec. Keretapati, Kota Palembang 30258</t>
  </si>
  <si>
    <t>82373173365</t>
  </si>
  <si>
    <t>1671132109840005</t>
  </si>
  <si>
    <t>OS1705047</t>
  </si>
  <si>
    <t>Mochammad Sobru Maulana</t>
  </si>
  <si>
    <t>Mojokerto, 28 Juli 1992</t>
  </si>
  <si>
    <t>Desa Barmanik RT. 002/001 Jantiganggo, Perak, Mojokerto</t>
  </si>
  <si>
    <t>082242466121 / 085782221281</t>
  </si>
  <si>
    <t>sobrumaulana.jombang28@gmail.com</t>
  </si>
  <si>
    <t>OS1705042</t>
  </si>
  <si>
    <t>Abdulloh Ivan Joko Waris</t>
  </si>
  <si>
    <t>Jombang, 13 April 1981</t>
  </si>
  <si>
    <t>Dsn Mlaten Rt/Rw.003/001 Gadingmangu, Perak, Kab. Jombang, Jawa Timur</t>
  </si>
  <si>
    <t xml:space="preserve">Mandiri : 9000016822174   </t>
  </si>
  <si>
    <t>3517011304810003</t>
  </si>
  <si>
    <t xml:space="preserve">452102874602000   </t>
  </si>
  <si>
    <t>ivankonyeng@gmail.com, abdullohposthink313@gmail.com</t>
  </si>
  <si>
    <t>OS1705043</t>
  </si>
  <si>
    <t>R.A. Ellya Soraya</t>
  </si>
  <si>
    <t>Palembang, 26 November 1982</t>
  </si>
  <si>
    <t>Jl. Ariodillah 1 No.4316 RT.33 RW.12, Palembang 30129</t>
  </si>
  <si>
    <t>(0711) 362718 / 0899 4445404</t>
  </si>
  <si>
    <t>Mandiri : 1130007252012</t>
  </si>
  <si>
    <t>1671056611820006</t>
  </si>
  <si>
    <t>25.826.309.4.301.000</t>
  </si>
  <si>
    <t>09013318515</t>
  </si>
  <si>
    <t>ellya_26 @yahoo.com, ellya.soraya@gmail.com</t>
  </si>
  <si>
    <t>Resign 31/7/2017, refuse extend</t>
  </si>
  <si>
    <t>tidak mau perpanjang kontrak PKWT</t>
  </si>
  <si>
    <t>OS1706008</t>
  </si>
  <si>
    <t>Dicky Krisnandi</t>
  </si>
  <si>
    <t>Cirebon, 12 September 1975</t>
  </si>
  <si>
    <t>DCC  Team - Area Sumatra Selatan</t>
  </si>
  <si>
    <t>Jati Rahayu RT 03/08 Pondok Melati, PondokGede Bekasi</t>
  </si>
  <si>
    <t>081380722055</t>
  </si>
  <si>
    <t>BCA : 6281099455 a.n jainudin</t>
  </si>
  <si>
    <t>750912202887</t>
  </si>
  <si>
    <t xml:space="preserve"> 0000327070945 </t>
  </si>
  <si>
    <t>dickykrisnandi28@gmail.com</t>
  </si>
  <si>
    <t>OS1612019</t>
  </si>
  <si>
    <t>Jl. Sawo Kp. Utan RT 03 / RW 07 No. 101, Krukut, Limo, Kota Depok</t>
  </si>
  <si>
    <t>BCA 2753685251 
A/N Sujarman</t>
  </si>
  <si>
    <t>imamsupardi.03@gmail.com</t>
  </si>
  <si>
    <t>resign 29/7/2017</t>
  </si>
  <si>
    <t>OS1702188</t>
  </si>
  <si>
    <t>Triyanto</t>
  </si>
  <si>
    <t>Karanganyar, 24 Maret 1988</t>
  </si>
  <si>
    <t>Jl. Tanah Kusir II Rt.003/004 Kebayoran Lama, Jakarta Selatan</t>
  </si>
  <si>
    <t>085781811910</t>
  </si>
  <si>
    <t>Mandiri 1210005976919</t>
  </si>
  <si>
    <t>3313162403880001</t>
  </si>
  <si>
    <t>98.482.886.3-528.000</t>
  </si>
  <si>
    <t>13010688680</t>
  </si>
  <si>
    <t>tribardoel@gmail.com</t>
  </si>
  <si>
    <t>MENINGGAL 1/8/2017</t>
  </si>
  <si>
    <t xml:space="preserve">NY FCL - Resign per 3-Juli-2017 karena ybs sakit - (plan) prorate sampai 2-juli-2017 </t>
  </si>
  <si>
    <t>OS1705062</t>
  </si>
  <si>
    <t>Mas'ud</t>
  </si>
  <si>
    <t>Surabaya, 21 Juli 1974</t>
  </si>
  <si>
    <t>Bringin Jaya Gg 1 No.29 Rt/Rw.001/001 Bringin, Sambi Kerep, Kota Surabaya, Jawa Timur</t>
  </si>
  <si>
    <t xml:space="preserve">0315943052   / 089690489911 / 08121670139  </t>
  </si>
  <si>
    <t>6170035753 BCA a/n Masud</t>
  </si>
  <si>
    <t xml:space="preserve">3578312107740002   </t>
  </si>
  <si>
    <t xml:space="preserve">0002044751387   </t>
  </si>
  <si>
    <t xml:space="preserve">masud.arek@gmail.com       </t>
  </si>
  <si>
    <t>RESIGN 2/8/2017</t>
  </si>
  <si>
    <t>extend 31 Desember 2017</t>
  </si>
  <si>
    <t>OS1705063</t>
  </si>
  <si>
    <t>Nur Chandra</t>
  </si>
  <si>
    <t>Palopo, 11 Februari 1983</t>
  </si>
  <si>
    <t>Jl. H. Andi Kasim No.5A Kel. Sarutanga, Kota Palopo, Sulawesi Selatan</t>
  </si>
  <si>
    <t>1880344214 BCA a/n: Kartini</t>
  </si>
  <si>
    <t>OS1705064</t>
  </si>
  <si>
    <t>Herry Sancoko</t>
  </si>
  <si>
    <t>Jombang, 23 April 1980</t>
  </si>
  <si>
    <t>Dusun Kayangan Gg.1 Rt/Rw.002/002 Kayangan, Diwek, Kab. Jombang, Jawa Timur</t>
  </si>
  <si>
    <t xml:space="preserve">085749996755   </t>
  </si>
  <si>
    <t>0394901380 BNI a/n: m. hazel Fathan Abigail</t>
  </si>
  <si>
    <t xml:space="preserve">3517082304800001   </t>
  </si>
  <si>
    <t xml:space="preserve">herry.1853@gmail.com       </t>
  </si>
  <si>
    <t>OS1505018</t>
  </si>
  <si>
    <t>Treska Yudha</t>
  </si>
  <si>
    <t>Bogor, 20 Januari 1976</t>
  </si>
  <si>
    <t>Project Coordinator =&gt; Zone Manager</t>
  </si>
  <si>
    <t>Asuransi fam 400 &amp; BPJS Kes</t>
  </si>
  <si>
    <t>change position eff per 1 oct '16 (BS prev. 4.5jt, comm. Allw. Prev 400rb, prev entitle daily/trans allw 20rb/day) ; entitle posisi 1 Nov 2015 prev none ; change 1 Jun'15 laptop not entitle prev 500 rb</t>
  </si>
  <si>
    <t>Kp. Buahdua Rt/Rw.02/33 Ds. Rancaekek Wetan Kec. Rancaekek, Bandung</t>
  </si>
  <si>
    <t>082119455533 / 081573166323</t>
  </si>
  <si>
    <t>bca :  0860366983</t>
  </si>
  <si>
    <t>0001640200522 ok</t>
  </si>
  <si>
    <t>treska.yudha@yahoo.com</t>
  </si>
  <si>
    <t>resign 8/8/2017, FCL ?</t>
  </si>
  <si>
    <t>OS1503018</t>
  </si>
  <si>
    <t>Toni Kusno Poniman</t>
  </si>
  <si>
    <t>Bandung, 25 Januari 1982</t>
  </si>
  <si>
    <t>Project Coordinator =&gt; Coordinator</t>
  </si>
  <si>
    <t>eff 1 jan '17 entitle OA &amp; prev DA 20rb</t>
  </si>
  <si>
    <t>Komp Damar Mas Regency CPB IV Rt.003 Rw.014 Desa Tarajusari Kec. Banjaran, Bandung</t>
  </si>
  <si>
    <t>085624897977 / 08116600500 / 081268939394</t>
  </si>
  <si>
    <t>Mandiri : 105 00 1066420 3</t>
  </si>
  <si>
    <t>3201432501820002</t>
  </si>
  <si>
    <t>35.431.781.0-445.000</t>
  </si>
  <si>
    <t>0001738832207 OK</t>
  </si>
  <si>
    <t>kusno2501@gmail.com, toni.1.kusno@gmail.com</t>
  </si>
  <si>
    <t>RESIGN 20/8/2017</t>
  </si>
  <si>
    <t>OS1510050 </t>
  </si>
  <si>
    <t>Ahmad Bari</t>
  </si>
  <si>
    <t>Jakarta, 1 Januari 1982</t>
  </si>
  <si>
    <t>Jl. Menjangan III RT 05 / RW 15, Kec. Pondok Ranji, Ciputat Timur, Tangerang, Jakarta Selatan</t>
  </si>
  <si>
    <t>083184474574</t>
  </si>
  <si>
    <t>BCA : 4740242631</t>
  </si>
  <si>
    <t>3074050101820011</t>
  </si>
  <si>
    <t>resign 29/7/2017, blm fcl</t>
  </si>
  <si>
    <t>OS1702185</t>
  </si>
  <si>
    <t>Nahrudin</t>
  </si>
  <si>
    <t>Bogor, 10 April 1988</t>
  </si>
  <si>
    <t>P' Johny</t>
  </si>
  <si>
    <t>Office Boy</t>
  </si>
  <si>
    <t>20 jam</t>
  </si>
  <si>
    <t>Kp. Ciherang Rt/Rw.002/004 Kec. Rumpin, Bogor</t>
  </si>
  <si>
    <t>3201181004880002</t>
  </si>
  <si>
    <t>nahrudin.nahrudin98@gmail.com</t>
  </si>
  <si>
    <t>terminated 31/8/2017</t>
  </si>
  <si>
    <t>OS1705058</t>
  </si>
  <si>
    <t>Abu Salim</t>
  </si>
  <si>
    <t>Selatpanjang, 30 aug 1994</t>
  </si>
  <si>
    <t>Makassar</t>
  </si>
  <si>
    <t>Gg. Sulawesi Rt/Rw.003/002 Kel. Selatpanjang Kota</t>
  </si>
  <si>
    <t xml:space="preserve">0895803746208  </t>
  </si>
  <si>
    <t xml:space="preserve">CIMB Niaga : 1640101365164 </t>
  </si>
  <si>
    <t xml:space="preserve">1403053008940001   </t>
  </si>
  <si>
    <t xml:space="preserve">Abhusalim@gmail.com       </t>
  </si>
  <si>
    <t>extend 31 aug 2017</t>
  </si>
  <si>
    <t>OS1705060</t>
  </si>
  <si>
    <t>Tirta Rajamir</t>
  </si>
  <si>
    <t>Palembang, 4 Mei 1983</t>
  </si>
  <si>
    <t>Jl. H Klilin No. 83 Rt.004/005 Desa Batujaya Kec. Batu Ceper kota Tangerang</t>
  </si>
  <si>
    <t>081310208747</t>
  </si>
  <si>
    <t>7150807616 BCA an Rohiman (Kakak)</t>
  </si>
  <si>
    <t>1671060405830008</t>
  </si>
  <si>
    <t>tirtarajamir@gmail.com</t>
  </si>
  <si>
    <t>OS1504026</t>
  </si>
  <si>
    <t>Andi Tristiadi</t>
  </si>
  <si>
    <t>Bandung, 11 Februari 1974</t>
  </si>
  <si>
    <t>installer =&gt; Team Leader (per 1 Mar 16)</t>
  </si>
  <si>
    <t>eff 1 jan '17 prev. DA 10rb; eff 1 Mr 16 prev BS 2,44 &amp; No Call Allow</t>
  </si>
  <si>
    <t>Jl. Rancameong Rt/Rw.04/04 Kel. Babakan Penghulu Kec. Cinambo, Kota Bandung 40294</t>
  </si>
  <si>
    <t>081258361216</t>
  </si>
  <si>
    <t>BCA : 2830891890</t>
  </si>
  <si>
    <t>3273291102740002</t>
  </si>
  <si>
    <t>64.367.685.1-429.000</t>
  </si>
  <si>
    <t>0001738832444 -KELUARGA</t>
  </si>
  <si>
    <t>andi.tristiadi@gmail.com</t>
  </si>
  <si>
    <t>RESIGN 19/9/2017</t>
  </si>
  <si>
    <t>OS1504029</t>
  </si>
  <si>
    <t>Yudi</t>
  </si>
  <si>
    <t>Ciamis, 6 jun 1974</t>
  </si>
  <si>
    <t>eff 1 Mar'17 change posisi &amp; BS prev 2.780 rb &amp;CA prev 150 rb ; eff 1 jan '17 prev BS 2.560.000 &amp; DA 15rb; eff 1 Jan'16 prev BS 2.440.000 &amp; No CA &amp; DA 10.000</t>
  </si>
  <si>
    <t>081222270037</t>
  </si>
  <si>
    <t>Mandiri : 9000026428525</t>
  </si>
  <si>
    <t>3273290606740006</t>
  </si>
  <si>
    <t>yudi.yudi@gmail.com</t>
  </si>
  <si>
    <t>OS1505072</t>
  </si>
  <si>
    <t>Herry Kristanto</t>
  </si>
  <si>
    <t>Magelang, 6 November 1972</t>
  </si>
  <si>
    <t>Dsn. Ciawi Rt/Rw.003/005 Cikeruh, Jatinangor, Sumedang</t>
  </si>
  <si>
    <t>0852 94020777</t>
  </si>
  <si>
    <t>Mandiri : 1320011815348</t>
  </si>
  <si>
    <t>3211150611720001</t>
  </si>
  <si>
    <t>0001658555548 OK</t>
  </si>
  <si>
    <t>RESIGN 19/9/2017 ; Cuti Tidak di bayar dari tgl 11 Jul 2017 sd 22 Juli 2017</t>
  </si>
  <si>
    <t>OS1610024</t>
  </si>
  <si>
    <t>Project Engineer =&gt; Coordinator</t>
  </si>
  <si>
    <t>adj BS prev 4.2jt, CA prev 200rb eff per 1 jan '17</t>
  </si>
  <si>
    <t>Kp.Rancakendal RT 01 / RW 14, Ds.Cipedes Kec.Paseh, Kab.Bandung</t>
  </si>
  <si>
    <t>resign 21/8/2017 e_26/9/2017</t>
  </si>
  <si>
    <t>OS1610035</t>
  </si>
  <si>
    <t>Dadang Darmawan</t>
  </si>
  <si>
    <t>Bandung, 20 April 1979</t>
  </si>
  <si>
    <t>eff 1 jan '17 prev BS 2.560.000 &amp; DA 15rb; entitle driver allw eff per 10 Oct '16</t>
  </si>
  <si>
    <t>Kp. Radio Palasari RT 03/ RW 12 No. 75, Ds. Citeureup Kec. Dayeuhkolot, Bandung</t>
  </si>
  <si>
    <t>081394095342</t>
  </si>
  <si>
    <t>BRI : 076601002290508</t>
  </si>
  <si>
    <t>3204122004790001</t>
  </si>
  <si>
    <t>resign 7/8/2017 e_26/9/2017 ; Cuti Tidak di bayar dari tgl 06 Jul 2017 sd 31 Juli 2017</t>
  </si>
  <si>
    <t>OS1705010</t>
  </si>
  <si>
    <t>Luthfil Sadad Afif</t>
  </si>
  <si>
    <t>Palembang, 02 November 1984</t>
  </si>
  <si>
    <t>Jl. Jaka Baring Rt.21 rw.05 no 102 Silaberanti, Seberang Ulu I, Kota Palembang 30252</t>
  </si>
  <si>
    <t>82371754422</t>
  </si>
  <si>
    <t>1671020211840008</t>
  </si>
  <si>
    <t>resign 1/10/2017 tidak bersedia dipindah tugaskan ke Jakarta</t>
  </si>
  <si>
    <t>OS1701052</t>
  </si>
  <si>
    <t>Agung Sandi Mulyana</t>
  </si>
  <si>
    <t>Depok, 16 Januari 1983</t>
  </si>
  <si>
    <t>Jl. Kenarok Kp. Plered Ujung Rt.006/002 Pabuaran Bojong Gede</t>
  </si>
  <si>
    <t>0895347544461 / 085711292264</t>
  </si>
  <si>
    <t>BCA : 1640544984 firli prayogo</t>
  </si>
  <si>
    <t>3275041601830009</t>
  </si>
  <si>
    <t>sandiagung_m@yahoo.com</t>
  </si>
  <si>
    <t>Resign 27/9/2017 , Cuti tidak dibayar Tgl 7 sd 17 Juli 2017</t>
  </si>
  <si>
    <t>OS1705045</t>
  </si>
  <si>
    <t>Sasongko Wiroatmodjo</t>
  </si>
  <si>
    <t xml:space="preserve">	Grobogan, 2 Mei 1980</t>
  </si>
  <si>
    <t>Kalimantan</t>
  </si>
  <si>
    <t>Perum. Riscon Green A-15 RT 03 RW 05 Kelurahan Tegalrejo Kecamatan Argomulyo Kota Salatiga Jawa Tengah</t>
  </si>
  <si>
    <t xml:space="preserve">085311403353  </t>
  </si>
  <si>
    <t xml:space="preserve">BCA : 2220252607 KCP Ungaran   </t>
  </si>
  <si>
    <t xml:space="preserve">3276062505800005   </t>
  </si>
  <si>
    <t xml:space="preserve">59.549.691.0-412.000   </t>
  </si>
  <si>
    <t>03JP0021757</t>
  </si>
  <si>
    <t>0001374472462 Tegal Rejo</t>
  </si>
  <si>
    <t xml:space="preserve">sas_metzelder80@yahoo.co.id       </t>
  </si>
  <si>
    <t>resign 15/10/2017</t>
  </si>
  <si>
    <t>OS1504016</t>
  </si>
  <si>
    <t>Miptah Pariz</t>
  </si>
  <si>
    <t>Bandung, 27 Nopember 1992</t>
  </si>
  <si>
    <t>Team Leader =&gt; Junior Engineer (per 1 Mar 16) =&gt; Engineer (1 jan '17)</t>
  </si>
  <si>
    <t>driver allow per 27 apr'17 prev none ; eff 1 jan '17 prev CA 200rb &amp; DA 15rb; eff 1  Mar 16 prev BS 3,2 DA 10.000 &amp; No Laptop</t>
  </si>
  <si>
    <t>Rancamenong Rt/Rw.005/004 Babakan Penghulu, Cinambo, Bandung</t>
  </si>
  <si>
    <t>081351251118 / 085724888991</t>
  </si>
  <si>
    <t>Mandiri : 9000015772560</t>
  </si>
  <si>
    <t>3273292711920001</t>
  </si>
  <si>
    <t>54.004.960.8-429.000</t>
  </si>
  <si>
    <t>0001399323598 M0</t>
  </si>
  <si>
    <t>miptah.pariz@gmail.com</t>
  </si>
  <si>
    <t>RESIGN 31/10/2017</t>
  </si>
  <si>
    <t>OS1508023</t>
  </si>
  <si>
    <t>ATEP MULYANA</t>
  </si>
  <si>
    <t>Bandung, 30 Maret 1984</t>
  </si>
  <si>
    <t>DRIVER =&gt;Installer</t>
  </si>
  <si>
    <t>eff 1 jan '17 prev BS 2.580.000 &amp; DA 20rb &amp; entitle CA &amp; entitle post allw</t>
  </si>
  <si>
    <t>Jl. Buah Dua Rt/Rw.002/012 Rancaekek Wetan, Rancaekek, Kab. Bandung</t>
  </si>
  <si>
    <t>08122 0000969</t>
  </si>
  <si>
    <t>Mandiri : 131-00-1338037-5</t>
  </si>
  <si>
    <t>3204283003840001</t>
  </si>
  <si>
    <t>0001514883003 OK</t>
  </si>
  <si>
    <t>resign 9/10/2017</t>
  </si>
  <si>
    <t>OS1702191</t>
  </si>
  <si>
    <t>Joni</t>
  </si>
  <si>
    <t>Kuningan, 13 Juli 1990</t>
  </si>
  <si>
    <t>Dsn. Langensari Rt.11/003 Ds. Gunungsari Kec. Cimahi Kab Kuningan Jawa Barat</t>
  </si>
  <si>
    <t>MANDIRI : 1240007938880</t>
  </si>
  <si>
    <t>jhoni.njoon@yahoo.com;johnijon051@gmail.com</t>
  </si>
  <si>
    <t>Resign 7 November 2017</t>
  </si>
  <si>
    <t>OS1704041</t>
  </si>
  <si>
    <t>Tomi Yuda</t>
  </si>
  <si>
    <t>Sumedang, 4 Mei 1980</t>
  </si>
  <si>
    <t>Jl. Jatihandap No.23 Blk Rt/Rw.010/009 Pasirlayung, Cibeunying Kidul, Kota Bandung</t>
  </si>
  <si>
    <t>085729500443</t>
  </si>
  <si>
    <t xml:space="preserve">BCA : 4371256444
</t>
  </si>
  <si>
    <t>3273140405800004</t>
  </si>
  <si>
    <t>59.231.903.2-446.000</t>
  </si>
  <si>
    <t xml:space="preserve">tommy_yudha@yahoo.co.id
</t>
  </si>
  <si>
    <t>Resign 21 Oktober 2017</t>
  </si>
  <si>
    <t>Andi Rohman</t>
  </si>
  <si>
    <t>Bogor, 27 Februari 1976</t>
  </si>
  <si>
    <t>Jl. Raya Tajur, Bogor No. 26 RT 01 / RW 02</t>
  </si>
  <si>
    <t>Cancel Join 6 November 2017</t>
  </si>
  <si>
    <t>OS1505017</t>
  </si>
  <si>
    <t>Enjang Cece Sunarya</t>
  </si>
  <si>
    <t>Sumedang, 19 September 1973</t>
  </si>
  <si>
    <t>eff 1 jan '17 prev DA 10rb; entitle driver allw eff per 21 dec '16; no drive allw eff per 2 Peb '16 prev. 20rb/day; entile driving allow per 18 Mei 2015</t>
  </si>
  <si>
    <t>Dsn. Ciawi Rt/Rw.02/05 Desa Cikeruh Kec. Jatinangor Kab. Sumedang</t>
  </si>
  <si>
    <t>082117696222</t>
  </si>
  <si>
    <t>Mandiri : 1320007227920</t>
  </si>
  <si>
    <t>3211151909740004</t>
  </si>
  <si>
    <t>0001658555493 M3</t>
  </si>
  <si>
    <t>terminated 4/12/2017</t>
  </si>
  <si>
    <t>fcl</t>
  </si>
  <si>
    <t>OS1505069</t>
  </si>
  <si>
    <t>Hendri Jansa</t>
  </si>
  <si>
    <t>Jakarta, 17 November 1982</t>
  </si>
  <si>
    <t>TI =&gt; NPO</t>
  </si>
  <si>
    <t>move project eff 25 Okt'17 ; eff 1 Mar'17 change posisi &amp; BS prev 2.780 rb &amp;CA prev 150 rb ; eff 1 jan '17 prev BS 2.560.000 &amp; DA 15rb; eff 1 Jan'16 prev BS 2.440.000 &amp; No CA &amp; DA 10.000</t>
  </si>
  <si>
    <t>Kp. Bintaro Rt/Rw.012/001 Pesanggrahan, Jakarta Selatan</t>
  </si>
  <si>
    <t>0896 25824834</t>
  </si>
  <si>
    <t>Mandiri : 9000026428483</t>
  </si>
  <si>
    <t>3174101711820010</t>
  </si>
  <si>
    <t>0001658555177 OK</t>
  </si>
  <si>
    <t>terminated 31/12/2017</t>
  </si>
  <si>
    <t>eff 1 jan '17 prev DA 10rb; entitle driver allw eff per 21 dec '16; change position eff 5 Sep '16 (prev BS 2.560.000, comm allw 150rb, daily allw 15rb/day) ; eff 1 jan'16 prev BS 2.440.000 &amp; No CA &amp; DA 10.000, not entitle driving allow eff 28 Des '15 prev 20 rb ; entitle driving allow eff 3 Agus '15</t>
  </si>
  <si>
    <t>terminated 31/12/2017, kabur hold gaji</t>
  </si>
  <si>
    <t>fcl kabur</t>
  </si>
  <si>
    <t>OS1507019</t>
  </si>
  <si>
    <t>Erwin Supriyanto</t>
  </si>
  <si>
    <t>Indramayu, 8 Juni 1978</t>
  </si>
  <si>
    <t>Jl. Teuku Umar Gg. Dipo / Seruling No.15 Tanjung Karang, Bandar Lampung</t>
  </si>
  <si>
    <t>0823 80931115</t>
  </si>
  <si>
    <t>Danamon : 75861179</t>
  </si>
  <si>
    <t>1871050806780009</t>
  </si>
  <si>
    <t>0001658555032 OK</t>
  </si>
  <si>
    <t>erwin.supriyanto@yahoo.com</t>
  </si>
  <si>
    <t>terminated 31/12/2017 / Cuti Off tidak di bayar 08 July 2017 sd sekarang</t>
  </si>
  <si>
    <t>not extend</t>
  </si>
  <si>
    <t>OS1510054</t>
  </si>
  <si>
    <t>Aden Endang Nurmawan</t>
  </si>
  <si>
    <t>Bogor, 10 Oktober 1995</t>
  </si>
  <si>
    <t>eff 1 jan '17 prev BS 2.560.000 &amp; DA 15rb; eff Mar'16 No PA, eff 1 Jan'16 prev BS 2.440.000 &amp; No CA &amp; DA 10.000, eff 4 Jan'16 entitle pro allow prev none</t>
  </si>
  <si>
    <t>Kp. Cibeber Jalan Rt/Rw.01/02 Cibeber I, Leuwilang, Bogor 16640</t>
  </si>
  <si>
    <t>0857 18386463</t>
  </si>
  <si>
    <t>BRI : 033001042093505</t>
  </si>
  <si>
    <t>3201141010950009</t>
  </si>
  <si>
    <t>0001738832196</t>
  </si>
  <si>
    <t>terminated 4/12/2017 / CUTI TIDAK DIBAYAR 22/9/2017 - 14/10/2017 &amp; 19-20/10/2017</t>
  </si>
  <si>
    <t>driver allow per 8 mei'17 prev none ; eff 1 Jan '17 entitle OA &amp; prev BB 200rb; eff 22 Des'15 entitle pro allow &amp; BB prev none</t>
  </si>
  <si>
    <t>OS1701039</t>
  </si>
  <si>
    <t>Bandung, 03 September 1999</t>
  </si>
  <si>
    <t>OS1701041</t>
  </si>
  <si>
    <t>Rudi Saleh</t>
  </si>
  <si>
    <t>Tegal, 05 Januari 1987</t>
  </si>
  <si>
    <t>driver allow per 2 mei'17 prev none</t>
  </si>
  <si>
    <t>Jl. A. Mamad Rt.005/009 Bintarojaya Kel. Bintaro Jaya, Kec Bekasi Barat</t>
  </si>
  <si>
    <t>081258026667</t>
  </si>
  <si>
    <t>3775020501870018</t>
  </si>
  <si>
    <t>71.017.151.3-407.000</t>
  </si>
  <si>
    <t>rudi.saleh31@gmail.com</t>
  </si>
  <si>
    <t>OS1701046</t>
  </si>
  <si>
    <t>Robi Amsal</t>
  </si>
  <si>
    <t>Jakarta, 28 Mei 1985</t>
  </si>
  <si>
    <t>Kp. Pulo RT 02 / RW 03, Kel. Rangkapan Jaya Kec. Pancoran Mas, Kota Depok</t>
  </si>
  <si>
    <t>3276012805850005</t>
  </si>
  <si>
    <t>75.477.202.8-448.000</t>
  </si>
  <si>
    <t>breamsal@gmail.com</t>
  </si>
  <si>
    <t>terminated 14/12/2017</t>
  </si>
  <si>
    <t>OS1701047</t>
  </si>
  <si>
    <t>Pekanbaru, 12 aug 1993</t>
  </si>
  <si>
    <t>driver allow per 4 mei'17 prev none</t>
  </si>
  <si>
    <t>Jl. Berdikari Gg. Lestari No.19 Rt/Rw.003/005 Kel. Umban Sari Kec. Rumbai Kota Pekanbaru, Riau</t>
  </si>
  <si>
    <t>Mandiri 9000036698190 an Amelia Anwar (adik)</t>
  </si>
  <si>
    <t>1471061208930001</t>
  </si>
  <si>
    <t>agussaputra342@gmail.com</t>
  </si>
  <si>
    <t>OS1606013</t>
  </si>
  <si>
    <t>Matius Benrinson Raja M Nainggolan</t>
  </si>
  <si>
    <t>Surabaya, 11 Januari 1989</t>
  </si>
  <si>
    <t>NMS =&gt; TIS</t>
  </si>
  <si>
    <t>Project Admin =&gt; Document Control</t>
  </si>
  <si>
    <t>change position eff 1 Nop '16 prev BS 3.4jt &amp; entitle OT</t>
  </si>
  <si>
    <t>Jl. Bali Raya No. 7 RT 11 RW 14, Cipinang Melayu, Jakarta Timur</t>
  </si>
  <si>
    <t>081291897698</t>
  </si>
  <si>
    <t>BCA : 4650409791</t>
  </si>
  <si>
    <t>3515141101890005</t>
  </si>
  <si>
    <t>PESERTA MANDIRI TUNGGAKAN</t>
  </si>
  <si>
    <t>Raja11_nainggolan@yahoo.com</t>
  </si>
  <si>
    <t>OS1505092</t>
  </si>
  <si>
    <t>Dewy Muliyana Nullah</t>
  </si>
  <si>
    <t>Ujung Pandang, 17 Februari 1986</t>
  </si>
  <si>
    <t>Sulawesi Selatan</t>
  </si>
  <si>
    <t>Document &amp; Progress Control</t>
  </si>
  <si>
    <t>Jl. Abd Rasyid Dg. Lurang No.76, Kasomberamg Gowa</t>
  </si>
  <si>
    <t>081342670274</t>
  </si>
  <si>
    <t>BCA : 7890744031</t>
  </si>
  <si>
    <t>7306085702860002</t>
  </si>
  <si>
    <t>58.024.8821.1-807.000</t>
  </si>
  <si>
    <t>15037583752</t>
  </si>
  <si>
    <t>0001452944878</t>
  </si>
  <si>
    <t>dewy.nullah@gmail.com</t>
  </si>
  <si>
    <t>OS1711051</t>
  </si>
  <si>
    <t>Hendro Dwisaputro</t>
  </si>
  <si>
    <t>Surabaya, 30 Juni 1987</t>
  </si>
  <si>
    <t>Jl. Wonocolo Pabrik Kulit 124 - A RT/RW 04/05 Kel. Jemurwonosari Kec. Wonocolo Kota Surabaya</t>
  </si>
  <si>
    <t>0895631384774</t>
  </si>
  <si>
    <t>BCA : 5600196644</t>
  </si>
  <si>
    <t>3578023006870004</t>
  </si>
  <si>
    <t>802121657609000</t>
  </si>
  <si>
    <t>hendro.saputro87@gmail.com</t>
  </si>
  <si>
    <t>cancel join 20/11/2017, kelebihan gaji</t>
  </si>
  <si>
    <t>OS1602081</t>
  </si>
  <si>
    <t>Agus Tri Adiyanto</t>
  </si>
  <si>
    <t>Jakarta, 01 aug 1986</t>
  </si>
  <si>
    <t>Document Control =&gt; Doc Leader</t>
  </si>
  <si>
    <t>eff 1 jan '17 prev DA 10rb &amp; entitle Other Allw; entitle LA eff per 28 Nop '16</t>
  </si>
  <si>
    <t xml:space="preserve">Poncol Jaya Rt.010/005 Kuningan Barat, Mampang Prapatan, Jakarta Selatan </t>
  </si>
  <si>
    <t>081333201323</t>
  </si>
  <si>
    <t>BCA :2101280634</t>
  </si>
  <si>
    <t>3174030108860004</t>
  </si>
  <si>
    <t>66.165.600.9-014-000</t>
  </si>
  <si>
    <t>0001744977778 OK</t>
  </si>
  <si>
    <t>agus.adiyanto@corphr-nokia.com</t>
  </si>
  <si>
    <t>Resign 31/12/2017</t>
  </si>
  <si>
    <t>OS1704040</t>
  </si>
  <si>
    <t>Rian Ramdani</t>
  </si>
  <si>
    <t>Bandung, 21 Juni 1984</t>
  </si>
  <si>
    <t>Surabaya</t>
  </si>
  <si>
    <t>Engineer =&gt; Coordinator ALU</t>
  </si>
  <si>
    <t>change posisi 2 Juni'17 BS prev 4 jt CA prev 250 rb posisi allow prev none</t>
  </si>
  <si>
    <t>Kp. Gamprit Rt/Rw.001/002 Sukakarya, Kab. Bekasi, Jawa Barat</t>
  </si>
  <si>
    <t>081546569100</t>
  </si>
  <si>
    <t>Mandiri : 1300009019269</t>
  </si>
  <si>
    <t>3216142106840002</t>
  </si>
  <si>
    <t>78.417.451.8-443.000</t>
  </si>
  <si>
    <t>riramdani84@gmail.com</t>
  </si>
  <si>
    <t>OS1711046</t>
  </si>
  <si>
    <t>Muhammad Khoirul</t>
  </si>
  <si>
    <t>Surabaya, 19 Maret 1990</t>
  </si>
  <si>
    <t>Banyu Urip Wetan RT 06 / RW 07, Surabaya 6035</t>
  </si>
  <si>
    <t xml:space="preserve">081372032008 </t>
  </si>
  <si>
    <t>BCA : 7855026490</t>
  </si>
  <si>
    <t>khoirul67954@gmail.com</t>
  </si>
  <si>
    <t>OS1711045</t>
  </si>
  <si>
    <t>Erwin Evadia Marbun</t>
  </si>
  <si>
    <t>Pakkat, 22 Mei 1990</t>
  </si>
  <si>
    <t>Teknisi</t>
  </si>
  <si>
    <t>Jalan Babakan Sari No 7 D</t>
  </si>
  <si>
    <t>081263149878</t>
  </si>
  <si>
    <t>BNI : 0552759173</t>
  </si>
  <si>
    <t>1216092205900003</t>
  </si>
  <si>
    <t>erwinevodia22marbun@gmail.com</t>
  </si>
  <si>
    <t>OS1711044</t>
  </si>
  <si>
    <t>Tony Simamora</t>
  </si>
  <si>
    <t>Pakkat, 29 Mei 1991</t>
  </si>
  <si>
    <t>Perum Galaxy Blk E2 No. 26 RT 02/ RW 14, Tanjung Riau, Sekupang, Kota Batam</t>
  </si>
  <si>
    <t>MANDIRI : 145-00-1162551-0</t>
  </si>
  <si>
    <t>3173012905911001</t>
  </si>
  <si>
    <t>72.770.458.7-034.000</t>
  </si>
  <si>
    <t>tonysimamora8@gmail.com</t>
  </si>
  <si>
    <t>OS1711064</t>
  </si>
  <si>
    <t>Rudi Hartono</t>
  </si>
  <si>
    <t>Banyuwangi, 10 Juni 1988</t>
  </si>
  <si>
    <t>Dusun Kertosono, Desa Parijatahkulon RT 04 / RW 01, Kc. Srono Kab. Banyuwangi</t>
  </si>
  <si>
    <t>085231671489</t>
  </si>
  <si>
    <t>MANDIRI : 141-00-162-6492-1</t>
  </si>
  <si>
    <t>351008100688000</t>
  </si>
  <si>
    <t>5439-3123-2627-000</t>
  </si>
  <si>
    <t>Ruddyevander@gmail.com</t>
  </si>
  <si>
    <t>OS1711074</t>
  </si>
  <si>
    <t>Muhammad Arief Hidayat</t>
  </si>
  <si>
    <t>Surabaya, 23 Maret 1988</t>
  </si>
  <si>
    <t>Kembang Kuning Gg. 3 No. 11</t>
  </si>
  <si>
    <t>OS1711075</t>
  </si>
  <si>
    <t>Ahmad Hidayatur Rahman</t>
  </si>
  <si>
    <t>Situbondo, 13 November 1977</t>
  </si>
  <si>
    <t>Mangaran RT 02 / RW 03 Desa Mangaran Kab Situbondo Jatim</t>
  </si>
  <si>
    <t>127</t>
  </si>
  <si>
    <t>OS1712008</t>
  </si>
  <si>
    <t>Abdul Aziz</t>
  </si>
  <si>
    <t>Pontianak, 05 Mei 1995</t>
  </si>
  <si>
    <t>Jl. Parit Ampera RT 03 / RW 05 Kel. Sui Ambawang, Pontianak (Kalimantan Barat)</t>
  </si>
  <si>
    <t>085652403737</t>
  </si>
  <si>
    <t>BNI : 0473747431</t>
  </si>
  <si>
    <t>6112030505950007</t>
  </si>
  <si>
    <t>mas.azis95@gmail.com</t>
  </si>
  <si>
    <t xml:space="preserve">OS1710076 </t>
  </si>
  <si>
    <t>Kasrani</t>
  </si>
  <si>
    <t>Balikpapan, 03 Maret 1983</t>
  </si>
  <si>
    <t>Installer TI Project</t>
  </si>
  <si>
    <t>Jl Mulawrman RT 16 No 47, Kel. lamaru Balikpapan Timur, Kalimantan Timur</t>
  </si>
  <si>
    <t>085321169447</t>
  </si>
  <si>
    <t>BRI : 3602-01-028186-53-2 an Karsani</t>
  </si>
  <si>
    <t>6471010303830002</t>
  </si>
  <si>
    <t>akasajjah42@gmail.com</t>
  </si>
  <si>
    <t>resign 31/12/2017</t>
  </si>
  <si>
    <t>mataram</t>
  </si>
  <si>
    <t xml:space="preserve"> OS1710086</t>
  </si>
  <si>
    <t>Junaidi Salad</t>
  </si>
  <si>
    <t>Balikpapan, 05 Maret 1985</t>
  </si>
  <si>
    <t>Jalan mulawarman RT02 No 27 Kelurahan Lamaru balikpapan timur</t>
  </si>
  <si>
    <t>081254132955</t>
  </si>
  <si>
    <t>BCA : 1911641254 an Junaidi</t>
  </si>
  <si>
    <t>6471010503850002</t>
  </si>
  <si>
    <t>junaidisalad2@gmail.com</t>
  </si>
  <si>
    <t xml:space="preserve"> OS1710087</t>
  </si>
  <si>
    <t>Suwanto</t>
  </si>
  <si>
    <t>Balikpapan, 12 Juli 1980</t>
  </si>
  <si>
    <t>Jalan mulawarman RT 22 ,Kelurahan lamaru Balikpapan Kaltim</t>
  </si>
  <si>
    <t>081251387187</t>
  </si>
  <si>
    <t>BRI : 3602-01-028264-53-4 an Suwanto</t>
  </si>
  <si>
    <t>6471011207800003</t>
  </si>
  <si>
    <t xml:space="preserve"> OS1710088</t>
  </si>
  <si>
    <t>Anton Wibowo</t>
  </si>
  <si>
    <t>Bojonegoro, 4 Maret 1995</t>
  </si>
  <si>
    <t>Kp. Sugihwaras RT 23 / RW 04, Bojonegoro</t>
  </si>
  <si>
    <t>081331002012</t>
  </si>
  <si>
    <t>MANDIRI : 142-00-1391483-2 an Anton Wibowo</t>
  </si>
  <si>
    <t>3522090403950001</t>
  </si>
  <si>
    <t>astrowibowo69@gmail.com</t>
  </si>
  <si>
    <t xml:space="preserve"> OS1710089</t>
  </si>
  <si>
    <t>Darus Maulana</t>
  </si>
  <si>
    <t>Surabaya, 14 Mei 1991</t>
  </si>
  <si>
    <t>Dusun Bagusan RT 04 / RW 02, Kel. Paringan Kec. Jenangan, Ponorogo</t>
  </si>
  <si>
    <t>081249542260</t>
  </si>
  <si>
    <t>BCA : 2890792581 an Darus Maulana</t>
  </si>
  <si>
    <t>3524051308820001</t>
  </si>
  <si>
    <t xml:space="preserve"> OS1710090</t>
  </si>
  <si>
    <t>Mochamad Koko Pramono</t>
  </si>
  <si>
    <t>17 Maret 1989</t>
  </si>
  <si>
    <t>Jl. Mulawarman RT 03 Kel. Lamaru No. 23, Balikpapan Timur</t>
  </si>
  <si>
    <t>081254571337</t>
  </si>
  <si>
    <t>DANAMON : 003606296212 an Mochamad Koko Pramono</t>
  </si>
  <si>
    <t>6471011703890002</t>
  </si>
  <si>
    <t>koko17389@yahoo.com</t>
  </si>
  <si>
    <t xml:space="preserve"> OS1710091</t>
  </si>
  <si>
    <t>Sutami</t>
  </si>
  <si>
    <t>Banjarmasin, 14 Maret 1978</t>
  </si>
  <si>
    <t>Jl. Mulawarman Gg. Tiga Berlian No. 37 RT 16, Kel. Lamaru, Kota Balikpapan</t>
  </si>
  <si>
    <t>082252833476</t>
  </si>
  <si>
    <t>BCA : 0511618583 an Sutami</t>
  </si>
  <si>
    <t>6471011403780002</t>
  </si>
  <si>
    <t>ssutami1438@gmail.com</t>
  </si>
  <si>
    <t>OS1710094</t>
  </si>
  <si>
    <t>Andi Kurniawan Faluchata Mandrofa</t>
  </si>
  <si>
    <t>Bandung, 4 Desember 1983</t>
  </si>
  <si>
    <t>Jl. Jend Sudirman NO. 507, RT. 18 Balikpapan</t>
  </si>
  <si>
    <t>081253174747</t>
  </si>
  <si>
    <t>BCA : 2800612708</t>
  </si>
  <si>
    <t>3273120412830004</t>
  </si>
  <si>
    <t>0001426663743</t>
  </si>
  <si>
    <t>andi.mendrofa@gmail.com</t>
  </si>
  <si>
    <t>87</t>
  </si>
  <si>
    <t xml:space="preserve"> OS1702170</t>
  </si>
  <si>
    <t>I Putu Arya Sarjana</t>
  </si>
  <si>
    <t>Surabaya, 29 Desember 1983</t>
  </si>
  <si>
    <t>Jl. Puspa 57A, Utan Kayu Selatan, Jakarta</t>
  </si>
  <si>
    <t>082140474917 / 089638922078</t>
  </si>
  <si>
    <t>BCA : 0330064030</t>
  </si>
  <si>
    <t xml:space="preserve"> 3571012912830010</t>
  </si>
  <si>
    <t>25.819.614.6.622.000</t>
  </si>
  <si>
    <t>14038558525</t>
  </si>
  <si>
    <t>0001658555921 OK</t>
  </si>
  <si>
    <t>i.putu.arya.sarjana@gmail.com, putu.arya@corphr-nokia.com, putu.arya@corphr-nokia.com</t>
  </si>
  <si>
    <t>OS1711048</t>
  </si>
  <si>
    <t>Sugiyanto</t>
  </si>
  <si>
    <t>Banyuwangi, 11 Desember 1982</t>
  </si>
  <si>
    <t>Dusun Plaosan , RT 04 / RW 01, Desa Gendoh, Kec. Sempu, Kabupaten Banyuwangi</t>
  </si>
  <si>
    <t>085249926459</t>
  </si>
  <si>
    <t>BCA : 7680405501</t>
  </si>
  <si>
    <t>3510201112820007</t>
  </si>
  <si>
    <t>massugiyanto59@gmail.com</t>
  </si>
  <si>
    <t>resign 31/12/2017 info harum v wa</t>
  </si>
  <si>
    <t>OS1711047</t>
  </si>
  <si>
    <t>Blora,  08 November 1985</t>
  </si>
  <si>
    <t>0318287610 / 081262149719</t>
  </si>
  <si>
    <t>wahyujurianto123@gmail. Com</t>
  </si>
  <si>
    <t>OS1504017</t>
  </si>
  <si>
    <t>Mochamad Januar</t>
  </si>
  <si>
    <t>Garut, 1 Januari 1991</t>
  </si>
  <si>
    <t>Team Leader =&gt; Admin =&gt; progress Controller 1/10/2017</t>
  </si>
  <si>
    <t>change prosisi entitle other allow eff 1 Okt'17 prev none ; eff 1 jan '17 prev. DA 10rb; entitle laptop 15/10/2015</t>
  </si>
  <si>
    <t>Jl. Raya Wanaraja No.127 Rt/Rw.001/005 Kel. Wanaraja Kec. Wanaraja, Garut 44183</t>
  </si>
  <si>
    <t>082214308686</t>
  </si>
  <si>
    <t>Mandiri : 1310012643930</t>
  </si>
  <si>
    <t>3205090101910022</t>
  </si>
  <si>
    <t>75.709.156.6-443.000</t>
  </si>
  <si>
    <t>0001640200555 OK</t>
  </si>
  <si>
    <t>mochamadjanuar49@yahoo.com, mochamad.januar@corphr-nokia.com</t>
  </si>
  <si>
    <t>terminated 31/1/2018</t>
  </si>
  <si>
    <t>OS1509041</t>
  </si>
  <si>
    <t>Dwi Rojali</t>
  </si>
  <si>
    <t>Tangerang, 26 Januari 1986</t>
  </si>
  <si>
    <t>Jl. Aria Putra Rt/Rw.10/09 Kedaung, Pamulang, Tangerang</t>
  </si>
  <si>
    <t>08777 1236783 / 0857 04970821</t>
  </si>
  <si>
    <t>Bca : 4970966256</t>
  </si>
  <si>
    <t>3674062601860001</t>
  </si>
  <si>
    <t>660529751411000</t>
  </si>
  <si>
    <t>0001743302891 OK</t>
  </si>
  <si>
    <t>jalijali909@gmail.com</t>
  </si>
  <si>
    <t>Resign 4/1/2018</t>
  </si>
  <si>
    <t>OS1605012</t>
  </si>
  <si>
    <t>Syahrul Tobri</t>
  </si>
  <si>
    <t>Jakarta, 24 Oktober 1989</t>
  </si>
  <si>
    <t>entitle driver 17 Okt '17 prev none</t>
  </si>
  <si>
    <t>Jl. Cipinang Muara III RT 004/04 No. 20, Jakarta Timur</t>
  </si>
  <si>
    <t>085280592070</t>
  </si>
  <si>
    <t xml:space="preserve">Mandiri : 9000032121536   </t>
  </si>
  <si>
    <t xml:space="preserve">3175032410890004   </t>
  </si>
  <si>
    <t xml:space="preserve">751291691002000   </t>
  </si>
  <si>
    <t>PBI APBN</t>
  </si>
  <si>
    <t>syahrultobri32@gmail.com</t>
  </si>
  <si>
    <t>resign 15/1/2018</t>
  </si>
  <si>
    <t>OS1708038</t>
  </si>
  <si>
    <t>John Henry N Tondang</t>
  </si>
  <si>
    <t>Tanjung Morawa, 29 Juni 1974</t>
  </si>
  <si>
    <t>Kaltimtara</t>
  </si>
  <si>
    <t>Perum BDS 2 Blok L No. 15 Balikpapan - Kaltim</t>
  </si>
  <si>
    <t>Mandiri : 149.000.5033.206</t>
  </si>
  <si>
    <t>6471 0529 0674 0001</t>
  </si>
  <si>
    <t>14.320.286.9-721.000</t>
  </si>
  <si>
    <t>15056512872</t>
  </si>
  <si>
    <t>000.1264.710.159</t>
  </si>
  <si>
    <t>johnhenry.tondang@yahoo.co.id</t>
  </si>
  <si>
    <t>OS1711023</t>
  </si>
  <si>
    <t>Ifa Farida</t>
  </si>
  <si>
    <t>Denpasar, 29 Januari 1990</t>
  </si>
  <si>
    <t>Jl. GN Indrakila I No. 11 Bhuana Asri, Kel. Tegal Kerta, Kota Denpasar</t>
  </si>
  <si>
    <t>082247870018</t>
  </si>
  <si>
    <t>BCA : 6110830171</t>
  </si>
  <si>
    <t>5171016901900002</t>
  </si>
  <si>
    <t>76.253.761.1-901.000</t>
  </si>
  <si>
    <t>Ikut peserta Mandiri</t>
  </si>
  <si>
    <t>Ifaalazeta2901@gmail.com</t>
  </si>
  <si>
    <t>Resign 31/1/2018 refuse extend</t>
  </si>
  <si>
    <t>project admin</t>
  </si>
  <si>
    <t>OS1711024</t>
  </si>
  <si>
    <t>Ahmad Wahyudi</t>
  </si>
  <si>
    <t>Jakarta, 09 November 1990</t>
  </si>
  <si>
    <t>Rigger + Driver</t>
  </si>
  <si>
    <t>Jl. Juraganan 1 RT 07 / RW 12 No. 09 Jakarta Selatan, Kel. Grogol Utara Kec. Kebayoran Lama</t>
  </si>
  <si>
    <t>082123935801</t>
  </si>
  <si>
    <t>BCA : 7890253819</t>
  </si>
  <si>
    <t>3174050911900005</t>
  </si>
  <si>
    <t>waiuahmad70@gmail.com</t>
  </si>
  <si>
    <t>OS1712012</t>
  </si>
  <si>
    <t>Bhakti Ramadhan</t>
  </si>
  <si>
    <t>Jakarta, 7 Juli 1981</t>
  </si>
  <si>
    <t>Jl. Bima I RT 05 / RW 07, Kel. Cijantung Kec. Pasar Rebo, Jakarta</t>
  </si>
  <si>
    <t>081291635266</t>
  </si>
  <si>
    <t>BCA : 7150795456</t>
  </si>
  <si>
    <t>3276010707810008</t>
  </si>
  <si>
    <t>bhaktiramadhan944@gmail.com; bhaktiramadhan.ccsindonesia@gmail.com</t>
  </si>
  <si>
    <t>Resign 28/2/2018</t>
  </si>
  <si>
    <t>Resign efektif per tgl 28 Feb 18</t>
  </si>
  <si>
    <t>OS1701048</t>
  </si>
  <si>
    <t>Herry Budiman</t>
  </si>
  <si>
    <t>Jakarta, 25 Pebruari 1996</t>
  </si>
  <si>
    <t>Jl. Kampung Rawa Sawah II RT 03 / RW 02 No. 21, Jakarta Pusat</t>
  </si>
  <si>
    <t>021-42886786 / 085959341441</t>
  </si>
  <si>
    <t>BCA 3981450629 Ratna Juwita</t>
  </si>
  <si>
    <t xml:space="preserve">3171082502960001
</t>
  </si>
  <si>
    <t>herry_budiman@gmail.com</t>
  </si>
  <si>
    <t>Resign 05/02/18</t>
  </si>
  <si>
    <t>Resign efektif per tgl 05 Feb 18</t>
  </si>
  <si>
    <t>OS1612039</t>
  </si>
  <si>
    <t>Ade Kris Seftian</t>
  </si>
  <si>
    <t>entitle OA per 13 Dec '16</t>
  </si>
  <si>
    <t>Jl. Harapan Mulya VI Rt.008/005 No. 14 Jakarta Pusat 10640 / Jl. Gardu Asem No. 1</t>
  </si>
  <si>
    <t>085245168987</t>
  </si>
  <si>
    <t>BCA : 3911354576</t>
  </si>
  <si>
    <t>3171030309860010</t>
  </si>
  <si>
    <t>adekriss7@gmail.com</t>
  </si>
  <si>
    <t>resign 31/01/18</t>
  </si>
  <si>
    <t>Resign efektif per tgl 31 Jan 18</t>
  </si>
  <si>
    <t xml:space="preserve"> OS1710092</t>
  </si>
  <si>
    <t>Nurodin</t>
  </si>
  <si>
    <t>Garut, 12 Desember 1995</t>
  </si>
  <si>
    <t>H3I SGI</t>
  </si>
  <si>
    <t>Kp. Ciarileu RT 02 / RW 01, Kel. Mekarjaya Kec. Cikajang, Garut</t>
  </si>
  <si>
    <t>085320186256</t>
  </si>
  <si>
    <t>Mandiri : 9000043556860</t>
  </si>
  <si>
    <t>3205221212950006</t>
  </si>
  <si>
    <t>Resign 25/1/2018</t>
  </si>
  <si>
    <t>Resign efektif per tgl 25 Jan 18</t>
  </si>
  <si>
    <t>116</t>
  </si>
  <si>
    <t>OS1802023</t>
  </si>
  <si>
    <t>Dede Abdussalam</t>
  </si>
  <si>
    <t>Sb. Kuala, 20 April 1990</t>
  </si>
  <si>
    <t>Desa Sb Kuala Kec. Jawai Kab. Sambas, Prov. Kalimantan Barat</t>
  </si>
  <si>
    <t>OS1802040</t>
  </si>
  <si>
    <t>Misriadi</t>
  </si>
  <si>
    <t>Baru, 6 Juni 1990</t>
  </si>
  <si>
    <t>Desa Baru RT 01 / RW 01, Kel. Baru Kec. Danau Panggang, Hulu Sungai Utara</t>
  </si>
  <si>
    <t>OS1802045</t>
  </si>
  <si>
    <t>Ika Yusni Afriani Girsang, SE</t>
  </si>
  <si>
    <t>Pematangsiantar, 7 April 1984</t>
  </si>
  <si>
    <t>Jl. Bunga Mawar 21 Perum. Graha Citra Bulan No. A-21 Pasar V Padang Bulan Medan Sumatera Utara</t>
  </si>
  <si>
    <t>081262008373</t>
  </si>
  <si>
    <t>BCA  8410164494</t>
  </si>
  <si>
    <t>1272014704840005</t>
  </si>
  <si>
    <t>873815963407000</t>
  </si>
  <si>
    <t>ikha.girsang@gmail.com</t>
  </si>
  <si>
    <t>Resign 3/3/2018</t>
  </si>
  <si>
    <t>Resign efektif per tgl 3 Mar 18</t>
  </si>
  <si>
    <t>OS1802067</t>
  </si>
  <si>
    <t>Didin</t>
  </si>
  <si>
    <t>Garut, 17 Agustus 1984</t>
  </si>
  <si>
    <t>Kp. Kebon Jeruk RT 01 / RW 09, Kel. Putrajawa Kec. Selaawi, Garut</t>
  </si>
  <si>
    <t>082226740468</t>
  </si>
  <si>
    <t>Mandiri  1770005406589</t>
  </si>
  <si>
    <t>3205391708840006</t>
  </si>
  <si>
    <t>706964491443000</t>
  </si>
  <si>
    <t>didinmahmudin99@yahoo.com</t>
  </si>
  <si>
    <t>Resign 1/3/2018</t>
  </si>
  <si>
    <t>Resign efektif per tgl 1 Mar 18</t>
  </si>
  <si>
    <t xml:space="preserve"> OS1710093</t>
  </si>
  <si>
    <t>Enjang Wandiansah</t>
  </si>
  <si>
    <t>Garut, 15 Februari 1994</t>
  </si>
  <si>
    <t>Team Leader + Driver =&gt; Engineer + Driver 21/12/2017</t>
  </si>
  <si>
    <t>adj 21 Des '17 BS prev 3 jt CA prev 200 rb daily prev 20 rb</t>
  </si>
  <si>
    <t>085320530598 / 082236589484</t>
  </si>
  <si>
    <t>MANDIRI : 9000040675556</t>
  </si>
  <si>
    <t>3205221602940001</t>
  </si>
  <si>
    <t>wandi.mkj@gmail.com</t>
  </si>
  <si>
    <t>Resign 01/03/18</t>
  </si>
  <si>
    <t>OS1802038</t>
  </si>
  <si>
    <t>Dian Sandiana Putra</t>
  </si>
  <si>
    <t>Cianjur, 06 November 1987</t>
  </si>
  <si>
    <t>Dusun Krajan, RT 002/RW 004, Desa Tanggul Kulon . Kec Tanggul Jember. Jawa Timur</t>
  </si>
  <si>
    <t>081398114960</t>
  </si>
  <si>
    <t>Mandiri  1020004382914</t>
  </si>
  <si>
    <t>3509060611870004</t>
  </si>
  <si>
    <t>89.215.662.1-406.000</t>
  </si>
  <si>
    <t>0002276948114</t>
  </si>
  <si>
    <t>dian.sandiana87@gmail.com</t>
  </si>
  <si>
    <t>resign 12/3/2018</t>
  </si>
  <si>
    <t>OS1802064</t>
  </si>
  <si>
    <t>Fionaldo Roymunza Agustinus</t>
  </si>
  <si>
    <t>Magelang, 30 Agustus 1995</t>
  </si>
  <si>
    <t>Gunungsari 001/004 Bangorejo, Banyuwangi</t>
  </si>
  <si>
    <t>082332672379 / 089526917375</t>
  </si>
  <si>
    <t>BCA  2630583996 A.N Olga Claudia Agatha</t>
  </si>
  <si>
    <t>3510023008950001</t>
  </si>
  <si>
    <t>defio7823@gmail.com</t>
  </si>
  <si>
    <t>Resign 01/03/ 18</t>
  </si>
  <si>
    <t>OS1803061</t>
  </si>
  <si>
    <t>Benny Syahputra Sinulingga</t>
  </si>
  <si>
    <t>Tebing Tinggi Deli, 17 feb 1994</t>
  </si>
  <si>
    <t>Jl. KF. Tandean LK. V RT 05, Kel. Bandar Sakti Kec. Bajenis, Kota Tebing</t>
  </si>
  <si>
    <t>08126586017</t>
  </si>
  <si>
    <t>1276041702940001</t>
  </si>
  <si>
    <t>bennysyahputra246@gmail.com</t>
  </si>
  <si>
    <t>Resign 05/03/ 18</t>
  </si>
  <si>
    <t>OS1802077</t>
  </si>
  <si>
    <t>Rusdiansyah</t>
  </si>
  <si>
    <t>Banjar, 9 mar 1975</t>
  </si>
  <si>
    <t>Jl. Irigasi, Gambut, Banjarmasin</t>
  </si>
  <si>
    <t>BNI  '0559261853</t>
  </si>
  <si>
    <t>159694967732000</t>
  </si>
  <si>
    <t>0001065411505</t>
  </si>
  <si>
    <t>Cancel Join</t>
  </si>
  <si>
    <t>Isworo</t>
  </si>
  <si>
    <t>Medan, 25 Maret 1976</t>
  </si>
  <si>
    <t>Jl. Sawit 6 No. 23 LK. VIII, P. Simalingkar - Medan, Kel. Mangga Kec. Medan Tuntungan</t>
  </si>
  <si>
    <t>OS1712009</t>
  </si>
  <si>
    <t>Muhamad Ihsan</t>
  </si>
  <si>
    <t>Jl. Pulau Moyo, Gg. Sandat Sari No. 9, Denpasar – Bali</t>
  </si>
  <si>
    <t>081381586609</t>
  </si>
  <si>
    <t>BCA : 6395092786</t>
  </si>
  <si>
    <t>3174052104990001</t>
  </si>
  <si>
    <t>ihsan.muhammad21@yahoo.com</t>
  </si>
  <si>
    <t>Resign per tgl 01/04/2018</t>
  </si>
  <si>
    <t>OS1802029</t>
  </si>
  <si>
    <t>Sukma Arya Yutanto</t>
  </si>
  <si>
    <t>Medan, 20 April 1984</t>
  </si>
  <si>
    <t>Jl. Binjai Gg. Radio LK VIII No. 7</t>
  </si>
  <si>
    <t>BCA  7865008783</t>
  </si>
  <si>
    <t>1271032004840006</t>
  </si>
  <si>
    <t>74.854.374.1-124.000</t>
  </si>
  <si>
    <t>sukma_arie@ymail.com</t>
  </si>
  <si>
    <t>Resign per tgl 01/05/2018</t>
  </si>
  <si>
    <t>OS1802043</t>
  </si>
  <si>
    <t>Ahmad Rizno</t>
  </si>
  <si>
    <t>Bandung, 23 Mei 1993</t>
  </si>
  <si>
    <t>Jl. Tanjung Raya I Komp. Sederhana No. C 7 RT 07 / RW 15, Kel. Dalam Bugis, Kec. Pontianak Timur, Kota Pontianak</t>
  </si>
  <si>
    <t>085705348274</t>
  </si>
  <si>
    <t>618392361</t>
  </si>
  <si>
    <t>6171022305930003</t>
  </si>
  <si>
    <t>rizno.ahmad@gmail.com</t>
  </si>
  <si>
    <t>186</t>
  </si>
  <si>
    <t>OS1803059</t>
  </si>
  <si>
    <t>Wahyu Saputra</t>
  </si>
  <si>
    <t>Pontianak, 21 Oktober 1998</t>
  </si>
  <si>
    <t>Jl. Sejarah Gg. Gunung Puting 2  RT 03 / RW 08, Sungai Jawi</t>
  </si>
  <si>
    <t>085751338987</t>
  </si>
  <si>
    <t>MEGA 20900020085433 a/n Andi Saputra</t>
  </si>
  <si>
    <t>6171052110980003</t>
  </si>
  <si>
    <t>hanya 5 hari, resign 22/03/2018</t>
  </si>
  <si>
    <t>213</t>
  </si>
  <si>
    <t>OS1803086</t>
  </si>
  <si>
    <t>Acep Sujana, ST</t>
  </si>
  <si>
    <t>Banjarmasin, 24 Agustus 1981</t>
  </si>
  <si>
    <t>Komp. Vila Damai Blok C1 No. 17 RT 33</t>
  </si>
  <si>
    <t>6471052408810003</t>
  </si>
  <si>
    <t>SP3, menjual material, resign 18/04/2018</t>
  </si>
  <si>
    <t>No. KTP</t>
  </si>
  <si>
    <t>NO TELP</t>
  </si>
  <si>
    <t>Alamat Email</t>
  </si>
  <si>
    <t>Basic Salary / Mounth</t>
  </si>
  <si>
    <t>Communication Allowance / Mounth</t>
  </si>
  <si>
    <t>Daily Allowance / Day (26 Day)</t>
  </si>
  <si>
    <t>Laptop Allow Per Month</t>
  </si>
  <si>
    <t>Tunj. Posisi – Per Month</t>
  </si>
  <si>
    <t>Estimation Total Salary (Gross)</t>
  </si>
  <si>
    <t>Actual Start On Board</t>
  </si>
  <si>
    <t>Contract Duration</t>
  </si>
  <si>
    <t>ok</t>
  </si>
  <si>
    <t>abayazali@gmail.com</t>
  </si>
  <si>
    <r>
      <rPr>
        <sz val="8"/>
        <color rgb="FF000000"/>
        <rFont val="Calibri"/>
        <charset val="134"/>
      </rPr>
      <t>3.700.</t>
    </r>
    <r>
      <rPr>
        <sz val="8"/>
        <rFont val="Calibri"/>
        <charset val="134"/>
      </rPr>
      <t>000</t>
    </r>
    <r>
      <rPr>
        <sz val="8"/>
        <color rgb="FF000000"/>
        <rFont val="Calibri"/>
        <charset val="134"/>
      </rPr>
      <t>,-</t>
    </r>
  </si>
  <si>
    <r>
      <rPr>
        <sz val="8"/>
        <color rgb="FF000000"/>
        <rFont val="Calibri"/>
        <charset val="134"/>
      </rPr>
      <t>250.</t>
    </r>
    <r>
      <rPr>
        <sz val="8"/>
        <rFont val="Calibri"/>
        <charset val="134"/>
      </rPr>
      <t>000</t>
    </r>
    <r>
      <rPr>
        <sz val="8"/>
        <color rgb="FF000000"/>
        <rFont val="Calibri"/>
        <charset val="134"/>
      </rPr>
      <t>,-</t>
    </r>
  </si>
  <si>
    <t xml:space="preserve">    20.000,- </t>
  </si>
  <si>
    <t>-</t>
  </si>
  <si>
    <t>200.000,-</t>
  </si>
  <si>
    <t>3 Month</t>
  </si>
  <si>
    <t>South Sumatera</t>
  </si>
  <si>
    <r>
      <rPr>
        <sz val="8"/>
        <color rgb="FF000000"/>
        <rFont val="Calibri"/>
        <charset val="134"/>
      </rPr>
      <t>3.100.</t>
    </r>
    <r>
      <rPr>
        <sz val="8"/>
        <rFont val="Calibri"/>
        <charset val="134"/>
      </rPr>
      <t>000</t>
    </r>
    <r>
      <rPr>
        <sz val="8"/>
        <color rgb="FF000000"/>
        <rFont val="Calibri"/>
        <charset val="134"/>
      </rPr>
      <t>,-</t>
    </r>
  </si>
  <si>
    <r>
      <rPr>
        <sz val="8"/>
        <color rgb="FF000000"/>
        <rFont val="Calibri"/>
        <charset val="134"/>
      </rPr>
      <t>100.</t>
    </r>
    <r>
      <rPr>
        <sz val="8"/>
        <rFont val="Calibri"/>
        <charset val="134"/>
      </rPr>
      <t>000</t>
    </r>
    <r>
      <rPr>
        <sz val="8"/>
        <color rgb="FF000000"/>
        <rFont val="Calibri"/>
        <charset val="134"/>
      </rPr>
      <t>,-</t>
    </r>
  </si>
  <si>
    <t xml:space="preserve">    17.000,- </t>
  </si>
  <si>
    <t>400.000,-</t>
  </si>
  <si>
    <t xml:space="preserve">Nama </t>
  </si>
  <si>
    <t>Title</t>
  </si>
  <si>
    <t>Mobile Phone</t>
  </si>
  <si>
    <t>Status</t>
  </si>
  <si>
    <t>Masa Kerja</t>
  </si>
  <si>
    <t>Insentif Driver</t>
  </si>
  <si>
    <t>Adry hubeth parinussa</t>
  </si>
  <si>
    <t>Installer + Driver</t>
  </si>
  <si>
    <t xml:space="preserve">1 Feb 18  - 28 Feb 18 </t>
  </si>
  <si>
    <t xml:space="preserve">                          750.000 </t>
  </si>
  <si>
    <t>THP (Nett)</t>
  </si>
  <si>
    <t>Transp Allw</t>
  </si>
  <si>
    <t>Vehicle &amp; Gasoline All</t>
  </si>
  <si>
    <t>Position All.</t>
  </si>
  <si>
    <t>BROAD BAND</t>
  </si>
  <si>
    <t>Laptop</t>
  </si>
  <si>
    <t>daily Allw</t>
  </si>
  <si>
    <t>Benefit</t>
  </si>
  <si>
    <t>Info P Andreas</t>
  </si>
  <si>
    <t>OS1701028</t>
  </si>
  <si>
    <t>Topik Heryadi</t>
  </si>
  <si>
    <t>Garut, 23 aug 1989</t>
  </si>
  <si>
    <t>NPO</t>
  </si>
  <si>
    <t>Drive Test Engineer =&gt; PLO L1 =&gt; Drive Test Engineer 1/2/2018 =&gt;PLO Engineer 1/4/2018</t>
  </si>
  <si>
    <t>amand change posisi</t>
  </si>
  <si>
    <t>employee only 13/11/2017</t>
  </si>
  <si>
    <t>change posisi 1 April '18 prev CA 150rb, posisi alw none, BB 200rb, laptop 500rb, OA 650rb ;change posisi 1 Feb'18 Ca prev 1 jt posisi allow prev 1 jt BB prev 1 jt laptop prev 500 rb other prev none ; change posisi eff 13 Nov '17 CA prev 150 rb BB prev 200 rb Laptop prev 500 rb other prev 650 rb</t>
  </si>
  <si>
    <t>Kp. Cilimus RT/RW 003/002 Sukarame Bayongbong Garut</t>
  </si>
  <si>
    <t>085221223239</t>
  </si>
  <si>
    <t>Mandiri : 131-00-1137741-5</t>
  </si>
  <si>
    <t>3205172308890003</t>
  </si>
  <si>
    <t>59.959.417.3-443.000</t>
  </si>
  <si>
    <t>nemanja.ovick@gmail.com</t>
  </si>
  <si>
    <t>OS1705024</t>
  </si>
  <si>
    <t>Hendrik Dwi Priyanto</t>
  </si>
  <si>
    <t>Klaten, 20 Januari 1990</t>
  </si>
  <si>
    <t>Jakarta</t>
  </si>
  <si>
    <t>PLO Engineer</t>
  </si>
  <si>
    <t>Yes =&gt; employee only 16/11/2017</t>
  </si>
  <si>
    <t>eff 16 Nov'17 Transp all prev 1 jt BB prev 350 rb laptop prev 1 jt position all prev none</t>
  </si>
  <si>
    <t>Jl Asem No 68, Meruya Selatan, Jakarta Barat</t>
  </si>
  <si>
    <t>Mandiri : 138-00-0634401-9</t>
  </si>
  <si>
    <t>3310142000190001</t>
  </si>
  <si>
    <t>554185975525000</t>
  </si>
  <si>
    <t>0001643877099</t>
  </si>
  <si>
    <t>hendrik.dwi.p@gmail.com</t>
  </si>
  <si>
    <t>OS1708033</t>
  </si>
  <si>
    <t>Nugraha Lastua Siallagan</t>
  </si>
  <si>
    <t>Medan, 6 Juli 1988</t>
  </si>
  <si>
    <t>Drive Test Engineer =&gt; RF Engineer 1/2/2018</t>
  </si>
  <si>
    <t>Jl. Selamat No. 7 Medan, Kel. Sitirejo Kec. Medan Amplas, Kota Medan</t>
  </si>
  <si>
    <t>082166996654</t>
  </si>
  <si>
    <t>BCA : 5345162795</t>
  </si>
  <si>
    <t>1271090607880004</t>
  </si>
  <si>
    <t>74.101.859.2-122.000</t>
  </si>
  <si>
    <t>15054601941</t>
  </si>
  <si>
    <t>0001811373851</t>
  </si>
  <si>
    <t>nugrahals88@gmail.com</t>
  </si>
  <si>
    <t>OS1707042</t>
  </si>
  <si>
    <t>Umbaran Fathilah Kencana</t>
  </si>
  <si>
    <t>Jakarta, 17 Desember 1982</t>
  </si>
  <si>
    <t>Drive Test Coordinator</t>
  </si>
  <si>
    <t>Griya Sawangan Asri Blok A3/20 RT 04 / RW 06, Pasirputih Depok, Jawa Barat</t>
  </si>
  <si>
    <t>Mandiri : 9000017176182</t>
  </si>
  <si>
    <t>3175071712820015</t>
  </si>
  <si>
    <t>35.165.772.1.008.000</t>
  </si>
  <si>
    <t>13019009987</t>
  </si>
  <si>
    <t>dopiobara@gmail.com</t>
  </si>
  <si>
    <t>OS1709050</t>
  </si>
  <si>
    <t>Ramayanti Rahman</t>
  </si>
  <si>
    <t>Ujung Pandang, 02 juli 1981</t>
  </si>
  <si>
    <t>PLO L2</t>
  </si>
  <si>
    <t>Jl. Kumbang raya rt.05 rw.01 kel.pegadungan kec. Kalideres jakarta barat</t>
  </si>
  <si>
    <t>MANDIRI : 152.00.0241588.9</t>
  </si>
  <si>
    <t>3173064207810006</t>
  </si>
  <si>
    <t>58.477.797.3-805.000</t>
  </si>
  <si>
    <t>0001644785987</t>
  </si>
  <si>
    <t>ramayanti.borahima@gmail.com</t>
  </si>
  <si>
    <t>OS1709051</t>
  </si>
  <si>
    <t>Chairu Ferdiansyah</t>
  </si>
  <si>
    <t>Tanjung Pinang, 18 Feb 1981</t>
  </si>
  <si>
    <t>PLO L3</t>
  </si>
  <si>
    <t>Kavling Serpong RT.01/ RW.04 No.26B</t>
  </si>
  <si>
    <t>MANDIRI : 1280004879349</t>
  </si>
  <si>
    <t>3674011802810011</t>
  </si>
  <si>
    <t>24.879.557.7-411.000</t>
  </si>
  <si>
    <t>chairu.ferdiansyah@gmail.com</t>
  </si>
  <si>
    <t>OS1709053</t>
  </si>
  <si>
    <t>Ghani Akbar Habibie</t>
  </si>
  <si>
    <t>Sleman, 25 April 1990</t>
  </si>
  <si>
    <t>Sentul RT 03/ RW 03 Sidoagung, Godean, Sleman, Yogyakarta, 55564</t>
  </si>
  <si>
    <t>MANDIRI : '1370005943218</t>
  </si>
  <si>
    <t>3404022504900002</t>
  </si>
  <si>
    <t>66.677.984.8-542.000</t>
  </si>
  <si>
    <t>0001643877369</t>
  </si>
  <si>
    <t>ghani.habibie@gmail.com</t>
  </si>
  <si>
    <t>OS1710056</t>
  </si>
  <si>
    <t>Wahyu Eko Prasetyo</t>
  </si>
  <si>
    <t>Jakarta, 13 Mei 1987</t>
  </si>
  <si>
    <t>Jabodetabek =&gt; Kalimantan 1/3/2018</t>
  </si>
  <si>
    <t>Drive Test Engineer =&gt; RF Engineer &amp; DT Coordinator 1/3/2018</t>
  </si>
  <si>
    <t>adj eff 1 Mar'18 BS prev 5 jt entitle posisi allow prev none</t>
  </si>
  <si>
    <t>Desa Torout Jaga V No. 5 Kel. Torout Kec. Tompaso Kab. Minahasa Selatan Provinsi Minahasa Selatan, Sulawesi Utara</t>
  </si>
  <si>
    <t>Mandiri : 1240007988406</t>
  </si>
  <si>
    <t>3175061305870027</t>
  </si>
  <si>
    <t>09.453.851.9-004.000</t>
  </si>
  <si>
    <t>Wahyuekoprasetyo87@gmail.com, wahyueko.rf@gmail.com</t>
  </si>
  <si>
    <t>info umbaran habis kontrak 31/5/2018</t>
  </si>
  <si>
    <t>OS1710057</t>
  </si>
  <si>
    <t>Digit Aulia</t>
  </si>
  <si>
    <t>Banyumas, 18 Maret 1991</t>
  </si>
  <si>
    <t>Drive Test Engineer</t>
  </si>
  <si>
    <t>Ps. Kebarongan RT01 RW11 Kec. Kemranjen Kab. Banyumas Prov. Jawa</t>
  </si>
  <si>
    <t>MANDIRI : 1240007148274</t>
  </si>
  <si>
    <t>3302061803910001</t>
  </si>
  <si>
    <t>0001867469062</t>
  </si>
  <si>
    <t>digitaulia@gmail.com</t>
  </si>
  <si>
    <t>OS1710058</t>
  </si>
  <si>
    <t>Tri Aji Laksono</t>
  </si>
  <si>
    <t>Rejomulyo, 20 September 1990</t>
  </si>
  <si>
    <t>Rejomulyo, RT/RW : 002/002 Jati Agung Lampung Selatan</t>
  </si>
  <si>
    <t>BCA : 0213218023</t>
  </si>
  <si>
    <t>1801132009900007</t>
  </si>
  <si>
    <t>adjiethree25@gmail.com</t>
  </si>
  <si>
    <t>OS1710059</t>
  </si>
  <si>
    <t>Aidil Akbar</t>
  </si>
  <si>
    <t>Medan, 24 Maret 1992</t>
  </si>
  <si>
    <t>Jl. Sunggal Gg. Musohlla No. 16A, Kel. Sei Sikambing Kec. Medan Sunggal, Kota Medan</t>
  </si>
  <si>
    <t>Mandiri : 9000042123803</t>
  </si>
  <si>
    <t>1271022403920004</t>
  </si>
  <si>
    <t>750765554124000</t>
  </si>
  <si>
    <t>aidilakbar614@gmail.com</t>
  </si>
  <si>
    <t>OS1710075</t>
  </si>
  <si>
    <t>Yuliasih Sirait</t>
  </si>
  <si>
    <t>Belitung, 28 Juli 1990</t>
  </si>
  <si>
    <t>OSS Engineer</t>
  </si>
  <si>
    <t>Jl. Batas dukuh sari gg. betet no 32 A, Sesetan - Denpasar Selatan</t>
  </si>
  <si>
    <t>: 900-00-3646969-1</t>
  </si>
  <si>
    <t>3276016807900003</t>
  </si>
  <si>
    <t>55.371.426.2-412.000</t>
  </si>
  <si>
    <t>13035053290</t>
  </si>
  <si>
    <t>0001382163827</t>
  </si>
  <si>
    <t>karlinadameris@gmail.com</t>
  </si>
  <si>
    <t>OS1710081</t>
  </si>
  <si>
    <t>Ni Putu Iin Bunga Surya Dewi</t>
  </si>
  <si>
    <t>Denpasar, 16 Agustus 1984</t>
  </si>
  <si>
    <t>TNP Engineer</t>
  </si>
  <si>
    <t>Jl. Teratai Gang I No. 1, Lingkungan Pekandelan, Kelurahan Semarapura Kelod, Kecamatan Klungkung,  Kabupaten Klungkung, Bali, 80714</t>
  </si>
  <si>
    <t>+62 813 3831 2216</t>
  </si>
  <si>
    <t>MANDIRI : 1450002217301</t>
  </si>
  <si>
    <t>5171035608840017</t>
  </si>
  <si>
    <t>24.812.888.6-901.000</t>
  </si>
  <si>
    <t>0001739392154</t>
  </si>
  <si>
    <t>iinbungaheyiinbunga@gmail.com</t>
  </si>
  <si>
    <t>OS1710084</t>
  </si>
  <si>
    <t>Mouriverd Laurent</t>
  </si>
  <si>
    <t>Makassar, 31 Agustus 1986</t>
  </si>
  <si>
    <t>RNP Leader</t>
  </si>
  <si>
    <t>Jl. Robusta III, blok S8/no.10, Rt/Rw 06/06, Kel. Pondok Kopi, Kec. Duren Sawit, Jakarta Timur</t>
  </si>
  <si>
    <t xml:space="preserve">0812-75307321 </t>
  </si>
  <si>
    <t>BCA : '8410132339</t>
  </si>
  <si>
    <t>3175073108860011</t>
  </si>
  <si>
    <t>89.175.847.6-008.000</t>
  </si>
  <si>
    <t>08021852341</t>
  </si>
  <si>
    <t>0002219887675</t>
  </si>
  <si>
    <t>mauri310809@gmail.com</t>
  </si>
  <si>
    <t>OS1710083</t>
  </si>
  <si>
    <t>Lailiya Yuliatin</t>
  </si>
  <si>
    <t>Banyuwangi, 17 Juli 1982</t>
  </si>
  <si>
    <t>RNP Engineer</t>
  </si>
  <si>
    <t>Jl. letda Reta No. 69 Denpasar</t>
  </si>
  <si>
    <t>MANDIRI : 1450007233402</t>
  </si>
  <si>
    <t>3510075707820005</t>
  </si>
  <si>
    <t>58.546.279.9-627.000</t>
  </si>
  <si>
    <t>0001655144662</t>
  </si>
  <si>
    <t>lailiya.y@gmail.com</t>
  </si>
  <si>
    <t>OS1710095</t>
  </si>
  <si>
    <t>JENRY HASIHOLAN NABABAN</t>
  </si>
  <si>
    <t>Bengkulu, 23 DESEMBER 1989</t>
  </si>
  <si>
    <t>JABODETABEK</t>
  </si>
  <si>
    <t>DRIVE TEST ENGINEER =&gt; RF Engineer 1/5/2018</t>
  </si>
  <si>
    <t>change posisi</t>
  </si>
  <si>
    <t>change posisi eff 1 May '18 prev BS 5.5jt; entitle laptop eff 1 Mar '18</t>
  </si>
  <si>
    <t>Jl.Terusan Karang Sari gg.Bumi sari III No.67 RT/RW. '05/09 Melong, Cimahi Selatan, Cimahi</t>
  </si>
  <si>
    <t>087825281147</t>
  </si>
  <si>
    <t>BCA : 0080914067</t>
  </si>
  <si>
    <t>3277012312890014</t>
  </si>
  <si>
    <t>66.712.670.0-421.000</t>
  </si>
  <si>
    <t>jenry.holland@gmail.com</t>
  </si>
  <si>
    <t>OS1710096</t>
  </si>
  <si>
    <t>Tatang Supriatna</t>
  </si>
  <si>
    <t>Subang, 17 Juli 1983</t>
  </si>
  <si>
    <t>npo</t>
  </si>
  <si>
    <t>Kp. Sangkali RT 03 RW 01 Desa Cigadog Kecamatan Cisalak Kabupaten Subang - Jawa Barat</t>
  </si>
  <si>
    <t>BCA : 1912244801</t>
  </si>
  <si>
    <t>3213021707830004</t>
  </si>
  <si>
    <t>tatang.supriatna368@gmail.com</t>
  </si>
  <si>
    <t>OS1710111</t>
  </si>
  <si>
    <t>Taufik Andrian</t>
  </si>
  <si>
    <t>Surabaya, 28 April 1984</t>
  </si>
  <si>
    <t>Taman Sidorejo F1 No. 15 RT 42 / RW 09, Kel. Sidorejo Kec. Krian</t>
  </si>
  <si>
    <t>MANDIRI : 9000011792695</t>
  </si>
  <si>
    <t>3515112804840001</t>
  </si>
  <si>
    <t>07005478115</t>
  </si>
  <si>
    <t>taufik.andrian0484@gmail.com</t>
  </si>
  <si>
    <t>OS1711052</t>
  </si>
  <si>
    <t>Rusmawansyah</t>
  </si>
  <si>
    <t>Boyolali, 26 Desember 1993</t>
  </si>
  <si>
    <t>Jabodetabek =&gt; Kalimantan 16/2/2018</t>
  </si>
  <si>
    <t xml:space="preserve"> Logerit RT 01 / RW 01, Des. Butuh, Kec. Mojosongo, Kab. Boyolali</t>
  </si>
  <si>
    <t>+6281281389215</t>
  </si>
  <si>
    <t>MANDIRI : 9000008378961</t>
  </si>
  <si>
    <t>3309062612939001</t>
  </si>
  <si>
    <t>rusmawansyah707@gmail.com</t>
  </si>
  <si>
    <t>OS1801041</t>
  </si>
  <si>
    <t>Ngurah Putu Sumantrika</t>
  </si>
  <si>
    <t>Bondalem, 15 Agustus 1981</t>
  </si>
  <si>
    <t>PLO Lead 2G/3G/4G</t>
  </si>
  <si>
    <t>Jln. Padang Udayana Gg. VIII No.11 Denpasar</t>
  </si>
  <si>
    <t>+62361423428 / '+6285337350888</t>
  </si>
  <si>
    <t>MANDIRI 1450007207448</t>
  </si>
  <si>
    <t>5171031508810008</t>
  </si>
  <si>
    <t>247013907902000</t>
  </si>
  <si>
    <t>Ngurah2000@yahoo.com</t>
  </si>
  <si>
    <t>OS1801073</t>
  </si>
  <si>
    <t>Ahmad Yani</t>
  </si>
  <si>
    <t>Banga, 31 Desember 1993</t>
  </si>
  <si>
    <t>Balikpapan</t>
  </si>
  <si>
    <t>Jl. Manunggal, Balikpapan Selatan, Kota Balikpapan, Kalimantan Timur 76114</t>
  </si>
  <si>
    <t>085392186845</t>
  </si>
  <si>
    <t>BNI  0457817750</t>
  </si>
  <si>
    <t>6471053112930030</t>
  </si>
  <si>
    <t>76.699.865.2-721.000</t>
  </si>
  <si>
    <t>16039391665</t>
  </si>
  <si>
    <t>ahmadyani3469@gmail.com</t>
  </si>
  <si>
    <t>OS1802052</t>
  </si>
  <si>
    <t>Oktavianus Rande</t>
  </si>
  <si>
    <t>Balikpapan, 08 Oktober 1988</t>
  </si>
  <si>
    <t>Pontianak =&gt; Balikpapan</t>
  </si>
  <si>
    <t>OSS Engineer &amp; Alarm Cleareance Monitoring</t>
  </si>
  <si>
    <t>adj eff 1 Apr '18 prev BS 3jt, Post 1jt</t>
  </si>
  <si>
    <t>Jl. Abadi RT 11 No 58, Gn Sari Ilir Balikpapan KOTA, Kalimantan Timur</t>
  </si>
  <si>
    <t>082357185630</t>
  </si>
  <si>
    <t>BNI  0604924937</t>
  </si>
  <si>
    <t>6471040810880001</t>
  </si>
  <si>
    <t>666147434721000</t>
  </si>
  <si>
    <t>15056755695</t>
  </si>
  <si>
    <t>0001633501214</t>
  </si>
  <si>
    <t>oktavianusrande@ymail.com, oktavianusrande@gmail.com</t>
  </si>
  <si>
    <t>OS1802053</t>
  </si>
  <si>
    <t>Syafrudin</t>
  </si>
  <si>
    <t>Cirebon, 09 Mei 1979</t>
  </si>
  <si>
    <t>PLO Lead/2G/3G/4G</t>
  </si>
  <si>
    <t>Blok Kragilan, Ds. Marikangen RT.002/RW001, Kec. Plumbon, Kab. Cirebon, Jabar 45155</t>
  </si>
  <si>
    <t>081573027229</t>
  </si>
  <si>
    <t>BCA  0370889074</t>
  </si>
  <si>
    <t>3209180905790011</t>
  </si>
  <si>
    <t>59.060.048.2-426.000</t>
  </si>
  <si>
    <t>17000294755</t>
  </si>
  <si>
    <t>syafrudin@gmail.com</t>
  </si>
  <si>
    <t>OS1802055</t>
  </si>
  <si>
    <t>Pontianak, 15 Juni 1990</t>
  </si>
  <si>
    <t>Rigger Engineer =&gt; DT Engineer 5/4/2018</t>
  </si>
  <si>
    <t>change posisi eff 5 Apr '18 prev BS 3.250.000 BB none daily 17rb</t>
  </si>
  <si>
    <t>Jl. H.M Suwignyo Gg. Sudiharjo IV RT 01 / RW 18, Sungai Jawi, Pontianak Kota</t>
  </si>
  <si>
    <t>082154488879 / 081317394764</t>
  </si>
  <si>
    <t>BCA  0292025490</t>
  </si>
  <si>
    <t>6171051506900008</t>
  </si>
  <si>
    <t>663231991701000</t>
  </si>
  <si>
    <t>ijunjunaidi65@gmail.com</t>
  </si>
  <si>
    <t>OS1802032</t>
  </si>
  <si>
    <t>Bonari</t>
  </si>
  <si>
    <t>Ponorogo, 10 Maret 1982</t>
  </si>
  <si>
    <t>Rigger &amp; Driver =&gt; Rigger 1/4/18</t>
  </si>
  <si>
    <t>no entitle driver allw eff 1/4/8</t>
  </si>
  <si>
    <t>Dukuh Bandungan RT 02/RW 001 Kel. Slahung, Kec. Slahung Ponorogo, Jawa Timur</t>
  </si>
  <si>
    <t>082231055539</t>
  </si>
  <si>
    <t>BCA  7915196764</t>
  </si>
  <si>
    <t>bonabonabonari@gmail.com</t>
  </si>
  <si>
    <t>OS1803031</t>
  </si>
  <si>
    <t>Jein Evania Tangdiombo</t>
  </si>
  <si>
    <t>Palu, 11 Januari 1985</t>
  </si>
  <si>
    <t>SSV Engineer</t>
  </si>
  <si>
    <t>Jl. Marthadinata No. 32 RT. 52, Kel. Telaga Sari, Kec. Balikpapan Tengah, Kota Balikpapan</t>
  </si>
  <si>
    <t>0817198585</t>
  </si>
  <si>
    <t>BCA  1911657363</t>
  </si>
  <si>
    <t>7371025101850002</t>
  </si>
  <si>
    <t>72.296.214.9-804.000</t>
  </si>
  <si>
    <t>0002284815306</t>
  </si>
  <si>
    <t>jeinevania54@gmail.com</t>
  </si>
  <si>
    <t>OS1803032</t>
  </si>
  <si>
    <t>Egi Andi Jasadi</t>
  </si>
  <si>
    <t>Singkawang, 9 Juli 1993</t>
  </si>
  <si>
    <t>Rigger</t>
  </si>
  <si>
    <t>Jl. Gunung Sari No. 75C RT 30 / RW 12, Kel. Pasiran Kec. Singkaang Barat</t>
  </si>
  <si>
    <t>082155552348</t>
  </si>
  <si>
    <t>BCA 8170936630</t>
  </si>
  <si>
    <t>6172020907930002</t>
  </si>
  <si>
    <t>17004146688</t>
  </si>
  <si>
    <t>KIS 0001287645333</t>
  </si>
  <si>
    <t>egiandi48@gmail.com</t>
  </si>
  <si>
    <t>OS1803033</t>
  </si>
  <si>
    <t>Sumastyatmo, ST</t>
  </si>
  <si>
    <t>Surakarta, 11 Februari 1975</t>
  </si>
  <si>
    <t>TNP Lead</t>
  </si>
  <si>
    <t>Jl. Sebret No. 1D/1 RT001/02 Jatipadang Pasar Minggu, Jakarta Selatan</t>
  </si>
  <si>
    <t>021-7803549 / 0812-1933.9932</t>
  </si>
  <si>
    <t>BNI  0017828312</t>
  </si>
  <si>
    <t>3173061102750005</t>
  </si>
  <si>
    <t>59.060.055.7-085.000</t>
  </si>
  <si>
    <t>0001639970998</t>
  </si>
  <si>
    <t>sumastyatmo@gmail.com</t>
  </si>
  <si>
    <t>OS1803034</t>
  </si>
  <si>
    <t>Maulana Yusuf</t>
  </si>
  <si>
    <t>Jakarta, 21 Januari 1989</t>
  </si>
  <si>
    <t>Kordang Damai RT 05 / RW 12, Kel. Korong Kec. Kuranji</t>
  </si>
  <si>
    <t xml:space="preserve">082186193335 </t>
  </si>
  <si>
    <t>MANDIRI  1110010379408</t>
  </si>
  <si>
    <t>1302102101890009</t>
  </si>
  <si>
    <t>0002285158869</t>
  </si>
  <si>
    <t xml:space="preserve">Lanadoank46@gmail.com </t>
  </si>
  <si>
    <t>OS1804026</t>
  </si>
  <si>
    <t>Yan Alit Leo Rosadi</t>
  </si>
  <si>
    <t>Denpasar, 4 Agustus 1987</t>
  </si>
  <si>
    <t>Jl. Intan LC II Gang 2 No. 21 80239 Denpasar</t>
  </si>
  <si>
    <t>0361 414384 / 085333560760</t>
  </si>
  <si>
    <t>BNI 0286377639</t>
  </si>
  <si>
    <t>5171040408870001</t>
  </si>
  <si>
    <t>66.657.132.8-901.000</t>
  </si>
  <si>
    <t>11033462919</t>
  </si>
  <si>
    <t>'0001473344638</t>
  </si>
  <si>
    <t>leorosadi@gmail.com/alit.leo.rosadi@gmail.com</t>
  </si>
  <si>
    <t>info umbaran habis kontrak ??? Msh ada</t>
  </si>
  <si>
    <t xml:space="preserve"> OS1803091</t>
  </si>
  <si>
    <t>Novi Safari</t>
  </si>
  <si>
    <t>Tasikmalaya, 03 November 1984</t>
  </si>
  <si>
    <t>DT Engineer</t>
  </si>
  <si>
    <t>Jl. Lombok No. 4 Rembiga, Mataram Lombok - NTB</t>
  </si>
  <si>
    <t>081236207215 / 081997821570</t>
  </si>
  <si>
    <t>MANDIRI 1610000930482</t>
  </si>
  <si>
    <t>3278080311840000</t>
  </si>
  <si>
    <t>81.064.587.9-911.000</t>
  </si>
  <si>
    <t>nopisafari0@gmail.com</t>
  </si>
  <si>
    <t>OS1803092</t>
  </si>
  <si>
    <t>Gatot Subroto</t>
  </si>
  <si>
    <t>Jakarta, 19 Maret 1989</t>
  </si>
  <si>
    <t>Sumatera (Pekanbaru)</t>
  </si>
  <si>
    <t>Jl. Muslimin V, Sidomulyo Timur, Marpoyan Damai, Kota Pekanbaru</t>
  </si>
  <si>
    <t>082274287774</t>
  </si>
  <si>
    <t xml:space="preserve"> BCA 0183262685</t>
  </si>
  <si>
    <t>1751051903890002</t>
  </si>
  <si>
    <t>dito.gatot2007@gmail.com</t>
  </si>
  <si>
    <t>OS1803093</t>
  </si>
  <si>
    <t>Muhammad Bayu Pranata</t>
  </si>
  <si>
    <t>Medan, 29 April 1991</t>
  </si>
  <si>
    <t>Sumatera (Batam)</t>
  </si>
  <si>
    <t>Jl. H. Abbas Gg. Suharjo Dusun II Barat No. 12, Kec. Sunggal</t>
  </si>
  <si>
    <t>081362830643</t>
  </si>
  <si>
    <t>BCA 8205181161</t>
  </si>
  <si>
    <t>1271162904940001</t>
  </si>
  <si>
    <t>pranatabayu102@gmail.com</t>
  </si>
  <si>
    <t>OS1711058</t>
  </si>
  <si>
    <t>Roberto Pangihutan Situmeang</t>
  </si>
  <si>
    <t>Medan, 28 November 1991</t>
  </si>
  <si>
    <t>Sumatera (Palembang)</t>
  </si>
  <si>
    <t>Jl. Tubagus Ismail Dalam No. 2, Kec. Coblong Kel. Sekeloa, Kota Bandung</t>
  </si>
  <si>
    <t>085333588279 / 081260771766</t>
  </si>
  <si>
    <t>Mandiri  1240009707358</t>
  </si>
  <si>
    <t>3273132611910002</t>
  </si>
  <si>
    <t>81.044.045.3-424.000</t>
  </si>
  <si>
    <t>17067493506</t>
  </si>
  <si>
    <t>0000010282149</t>
  </si>
  <si>
    <t>pasitumeangroberto@gmail.com</t>
  </si>
  <si>
    <t>OS1711056</t>
  </si>
  <si>
    <t>Dimas Triaji</t>
  </si>
  <si>
    <t>Palembang, 13 Juni 1991</t>
  </si>
  <si>
    <t>Jl. Kebon Sirih Dalam No. 05 RT 02 / 01, Kel. Bukit Sanggal Kec. Kalidoni, Kota Palembang</t>
  </si>
  <si>
    <t>082375356745</t>
  </si>
  <si>
    <t>DANAMON : 003530422389</t>
  </si>
  <si>
    <t>1671101306910005</t>
  </si>
  <si>
    <t>dimastriaji57@yahoo.com</t>
  </si>
  <si>
    <t>OS1710062</t>
  </si>
  <si>
    <t>Yoga Sanjaya</t>
  </si>
  <si>
    <t>Majalengka, 09 Desember 1984</t>
  </si>
  <si>
    <t>Jembar Agung Majasem RT 03 RW 14 Kel. Karyamulya Kec. Kesambi Kota Cirebon</t>
  </si>
  <si>
    <t>085224940814</t>
  </si>
  <si>
    <t>BCA 5385016244</t>
  </si>
  <si>
    <t>3274030912840003</t>
  </si>
  <si>
    <t>357945229426000</t>
  </si>
  <si>
    <t>0001452933696</t>
  </si>
  <si>
    <t>mr.yoga.sanjaya@gmail.com</t>
  </si>
  <si>
    <t>OS1804027</t>
  </si>
  <si>
    <t>Toni Efendi Lubis</t>
  </si>
  <si>
    <t>Sibolga, 10 Februari 1992</t>
  </si>
  <si>
    <t>Batam</t>
  </si>
  <si>
    <t>Bt. Aji Puskopkar Blk B27 No. 15 Batam</t>
  </si>
  <si>
    <t>081268305603</t>
  </si>
  <si>
    <t>BCA 8210443941</t>
  </si>
  <si>
    <t>2171071002929006</t>
  </si>
  <si>
    <t>54.019.945.2-126.000</t>
  </si>
  <si>
    <t>tonilubis1992@gmail.com</t>
  </si>
  <si>
    <t>OS1804028</t>
  </si>
  <si>
    <t>Ruben Panjaitan</t>
  </si>
  <si>
    <t>Medan, 24 September 1982</t>
  </si>
  <si>
    <t>Jl. Karya Gg. Adil No. 43 Medan, Kel. Karang Berombak Kec. Medan Barat, Kota Medan</t>
  </si>
  <si>
    <t>082160605777</t>
  </si>
  <si>
    <t>Mandiri 1050011691106</t>
  </si>
  <si>
    <t>1271052409820001</t>
  </si>
  <si>
    <t>ruben_jait@yahoo.com</t>
  </si>
  <si>
    <t>OS1804029</t>
  </si>
  <si>
    <t>Dahrul Ilmi</t>
  </si>
  <si>
    <t>Medan, 30 Desember 1998</t>
  </si>
  <si>
    <t>Pekanbaru</t>
  </si>
  <si>
    <t>Pekanbaru, Panam, Jl. Cipta Karya Ujung, Perumahan Bintungan</t>
  </si>
  <si>
    <t>0822 68747949</t>
  </si>
  <si>
    <t>BCA 3120662341</t>
  </si>
  <si>
    <t>1271043012980004</t>
  </si>
  <si>
    <t>dahrulilmi30@gmail.com</t>
  </si>
  <si>
    <t>OS1804030</t>
  </si>
  <si>
    <t>Muhamad Aryn Nurarifin</t>
  </si>
  <si>
    <t>Rangkasbitung, 30 Juli 1992</t>
  </si>
  <si>
    <t>Kavling Pesona Lebak Blok F No. 5 RT 05 / RW 02, Desa Aweh Kec. Kalanganyar, Rangkasbitung, Lebak Banten</t>
  </si>
  <si>
    <t>082210556626</t>
  </si>
  <si>
    <t>BCA 5420462419</t>
  </si>
  <si>
    <t>3602273007920001</t>
  </si>
  <si>
    <t>740153267419000</t>
  </si>
  <si>
    <t>0000046793575</t>
  </si>
  <si>
    <t>aryn.arifin@gmail.com</t>
  </si>
  <si>
    <t>OS1804031</t>
  </si>
  <si>
    <t>Daniel Gazali</t>
  </si>
  <si>
    <t>Palembang, 4 Juni 1981</t>
  </si>
  <si>
    <t>Jl. Pasundan No. 30 RT 37 / RW 07, Kel. Kalidoni Palembang</t>
  </si>
  <si>
    <t>081363133878 / 089693952375</t>
  </si>
  <si>
    <t>MANDIRI 9000027165522</t>
  </si>
  <si>
    <t>1671100406810004</t>
  </si>
  <si>
    <t>543303340301000</t>
  </si>
  <si>
    <t>0001428013361</t>
  </si>
  <si>
    <t>danielgazali2016@gmail.com</t>
  </si>
  <si>
    <t>OS1804032</t>
  </si>
  <si>
    <t>Muhamad Yasin</t>
  </si>
  <si>
    <t>Garut, 6 Juli 1993</t>
  </si>
  <si>
    <t>Kp. Tegalpanjang RT 03 / RW 04, Des. Tegalpanjang Kec. Sucinaraja, Kab. Garut</t>
  </si>
  <si>
    <t>081394755400</t>
  </si>
  <si>
    <t>BCA 1480487580</t>
  </si>
  <si>
    <t>3205420607930003</t>
  </si>
  <si>
    <t>468291158443000</t>
  </si>
  <si>
    <t>muhamadyasin607@gmail.com kangsscumbag@gmail.com</t>
  </si>
  <si>
    <t>OS1804033</t>
  </si>
  <si>
    <t>Aziz Pujo Pambudi</t>
  </si>
  <si>
    <t>Kuala Dua, 17 Juli 1996</t>
  </si>
  <si>
    <t>Rigger Engineer</t>
  </si>
  <si>
    <t>Gg. Bumi Barito Dusun Keramat II RT 07 / RW 02, Kel. Kuala Dua Kec. Sungai Raya, Kubu Raya</t>
  </si>
  <si>
    <t>089688121271</t>
  </si>
  <si>
    <t xml:space="preserve"> BCA 0292232479</t>
  </si>
  <si>
    <t>6112011707960007</t>
  </si>
  <si>
    <t>azizpujo17@gmail.com</t>
  </si>
  <si>
    <t>OS1804034</t>
  </si>
  <si>
    <t>Rudi Pangihutan HSB</t>
  </si>
  <si>
    <t>Jakarta, 15 Juni 1970</t>
  </si>
  <si>
    <t>Jl. Jati Pakis No. 11 RT 06 / RW 04, Pulogadung, Jakarta Timur</t>
  </si>
  <si>
    <t>021-82442125 / 081381215851</t>
  </si>
  <si>
    <t>Mandiri 0060010214876</t>
  </si>
  <si>
    <t>3175021506700010</t>
  </si>
  <si>
    <t>24.790.966.6-003.000</t>
  </si>
  <si>
    <t>14029227643</t>
  </si>
  <si>
    <t>KIS 0001736225469</t>
  </si>
  <si>
    <t>rudy.pangihutan@gmail.com</t>
  </si>
  <si>
    <t>OS1804035</t>
  </si>
  <si>
    <t>Muhammad Parwin</t>
  </si>
  <si>
    <t>Pontianak, 3 Agustus 1993</t>
  </si>
  <si>
    <t>Jl. Panglima A. Rani No. 29</t>
  </si>
  <si>
    <t>0895702013624</t>
  </si>
  <si>
    <t>BCA 7925224421 a/n Ruri Nurizki</t>
  </si>
  <si>
    <t>6071020308930010</t>
  </si>
  <si>
    <t>muhammadparwin00@gmail.com</t>
  </si>
  <si>
    <t>OS1803094</t>
  </si>
  <si>
    <t>Dedi Muhamanto</t>
  </si>
  <si>
    <t>Palembang, 5 Desember 1993</t>
  </si>
  <si>
    <t>Lr. Suka Bangun Tegal Binangun Rt.008 Rw.003 Kecamatan Plaju Kelurahan Plaju Darat Kota Palembang</t>
  </si>
  <si>
    <t>082282194600</t>
  </si>
  <si>
    <t>Mandiri 9000028262153</t>
  </si>
  <si>
    <t>1671140512930006</t>
  </si>
  <si>
    <t>74.148.802.7-306.000</t>
  </si>
  <si>
    <t>dedimantoo@gmail.com</t>
  </si>
  <si>
    <t>OS1804036</t>
  </si>
  <si>
    <t>Sujana</t>
  </si>
  <si>
    <t>Jakarta, 15 September 1986</t>
  </si>
  <si>
    <t>Bali &amp; Nusa Tenggara</t>
  </si>
  <si>
    <t>Jl. Pinang Kalijati I 8 No. 68 RT 08 / RW 09, Pondok Labu, Cilandak, Jakarta Selatan 12450</t>
  </si>
  <si>
    <t>085921466425</t>
  </si>
  <si>
    <t>Mandiri 9000015070809</t>
  </si>
  <si>
    <t>317406150986.0009</t>
  </si>
  <si>
    <t>jana15verticalteam@gmail.com</t>
  </si>
  <si>
    <t>OS1805028</t>
  </si>
  <si>
    <t>Rino Ricardo</t>
  </si>
  <si>
    <t>Solok, 26 Juli 1984</t>
  </si>
  <si>
    <t>RF Engineer</t>
  </si>
  <si>
    <t>Jl. Cipinang Jaya I Blok MM No. 4A, Jakarta Timur</t>
  </si>
  <si>
    <t>082216633384</t>
  </si>
  <si>
    <t>BCA 0080897031</t>
  </si>
  <si>
    <t>1372012607840001</t>
  </si>
  <si>
    <t>qnoyvatif@gmail.com / rinoricardo2@gmail.com</t>
  </si>
  <si>
    <t>OS1805029</t>
  </si>
  <si>
    <t>Rahma Yudi</t>
  </si>
  <si>
    <t>Pariaman, 9 April 1992</t>
  </si>
  <si>
    <t>Padang</t>
  </si>
  <si>
    <t>Jl. Pinggir Pantai, Kel. Pauh Barat Kec. Pariaman Tengah, Kota Pariaman</t>
  </si>
  <si>
    <t>Mandiri Syariah 7107313731</t>
  </si>
  <si>
    <t>1377010904920002</t>
  </si>
  <si>
    <t>13044575895</t>
  </si>
  <si>
    <t>anakpantai772@gmail.com</t>
  </si>
  <si>
    <t>OS1805030</t>
  </si>
  <si>
    <t>Aulia Fernandes</t>
  </si>
  <si>
    <t>Solok, 13 Desember 1980</t>
  </si>
  <si>
    <t>Jl. H. Jamal No. 244 RT 01 / RW 02, Kel. Nan Balimo Kec. Tanjung Harapan, Kota Solok</t>
  </si>
  <si>
    <t>085263032021 / 087856657043</t>
  </si>
  <si>
    <t>1670001276269</t>
  </si>
  <si>
    <t>13720221312800021</t>
  </si>
  <si>
    <t>0001467057958</t>
  </si>
  <si>
    <t>Auliafernandes1980@gmail.com/aulia.fernandes@corphr-nokia.com</t>
  </si>
  <si>
    <t>OS1805031</t>
  </si>
  <si>
    <t>Fachrul Rozi</t>
  </si>
  <si>
    <t>Aceh, 28 Juni 1982</t>
  </si>
  <si>
    <t>Perumahan Citra Raya, Cluster Graha Pesona Blok W30/52, Cikupa, Tangerang</t>
  </si>
  <si>
    <t>085217736868</t>
  </si>
  <si>
    <t>CIMB NIAGA 703573041900</t>
  </si>
  <si>
    <t>3173062806820014</t>
  </si>
  <si>
    <t>49.776.000.9-034.000</t>
  </si>
  <si>
    <t>14037516482</t>
  </si>
  <si>
    <t>ahmad.fachrulrozi@gmail.com</t>
  </si>
  <si>
    <t>OS1805032</t>
  </si>
  <si>
    <t>Rio Prahara</t>
  </si>
  <si>
    <t>Kisaran, 21 Juni 1985</t>
  </si>
  <si>
    <t>Jl. Dagang No. 47 RT 04 / Rw 03, Kel. Kampung Tengah Kec. Sukajadi, Kota Pekanbaru</t>
  </si>
  <si>
    <t>085278889980</t>
  </si>
  <si>
    <t>BNI 0275018378</t>
  </si>
  <si>
    <t>1471102405850001</t>
  </si>
  <si>
    <t>54.866.490.3-211.000</t>
  </si>
  <si>
    <t>13036936626</t>
  </si>
  <si>
    <t>0002061258423</t>
  </si>
  <si>
    <t>rioprahara85@gmail.com</t>
  </si>
  <si>
    <t>OS1805033</t>
  </si>
  <si>
    <t>Iqrak Alfath Satria Syam</t>
  </si>
  <si>
    <t>Padang, 6 November 1995</t>
  </si>
  <si>
    <t>Bandes Tapi Air Simp. Kalumbuk RT 01 / RW 05, Kel. Kalumbuk Kec. Kuranji, Kota Padang</t>
  </si>
  <si>
    <t>085274402329</t>
  </si>
  <si>
    <t>Mandiri 1110010600837</t>
  </si>
  <si>
    <t>137109061950006</t>
  </si>
  <si>
    <t>satria0611@gmail.com</t>
  </si>
  <si>
    <t>OS1805034</t>
  </si>
  <si>
    <t>Adi Putra</t>
  </si>
  <si>
    <t>Kuang Anyar, 2 Juli 1987</t>
  </si>
  <si>
    <t>Jl. Soekarno Hatta Gg. Lestari No. 25 Arengka Atas RT 01 / RW 08, Kel. Sidomulyo Kec. Tampan, Kota Pekanbaru</t>
  </si>
  <si>
    <t>Mandiri 1080012292711</t>
  </si>
  <si>
    <t>1471080207870081</t>
  </si>
  <si>
    <t>16.675.654.4-216.000</t>
  </si>
  <si>
    <t>OS1612034</t>
  </si>
  <si>
    <t>Mondang Fernando Turnip</t>
  </si>
  <si>
    <t>Lumban Buntu, 27 September 1981</t>
  </si>
  <si>
    <t>Technical Lead NPO</t>
  </si>
  <si>
    <t>Cipedak Raya Dalam Street No.61 Block.D4, Residential Park Cipedak (Taman Cipedak),South Jakarta 12640</t>
  </si>
  <si>
    <t>'08388002003</t>
  </si>
  <si>
    <t>BCA : 0060259356</t>
  </si>
  <si>
    <t>3174082709810012</t>
  </si>
  <si>
    <t>59.097.004.2-061.000</t>
  </si>
  <si>
    <t>mondangft.ptsi@gmail.com</t>
  </si>
  <si>
    <t>resign 15/9/2017</t>
  </si>
  <si>
    <t>extend to 31 Dec 2017</t>
  </si>
  <si>
    <t>OS1701027</t>
  </si>
  <si>
    <t>Agus Trianto</t>
  </si>
  <si>
    <t>Bandung, 28 Mei 1982</t>
  </si>
  <si>
    <t>Jl. Perum PINDAD Selatan, KPAD Pindad Selatan blok B 13, Kel. Sukapura Kec. Kiaracondong, Kota Bandung 40285</t>
  </si>
  <si>
    <t>081210659250</t>
  </si>
  <si>
    <t>Mandiri : 130-00-1383797-9</t>
  </si>
  <si>
    <t>3273162805820003</t>
  </si>
  <si>
    <t>64.270.362.3-424.000</t>
  </si>
  <si>
    <t>Agustrianto2910@gmail.com</t>
  </si>
  <si>
    <t>resign 1/9/2017</t>
  </si>
  <si>
    <t>OS1703046</t>
  </si>
  <si>
    <t>Suyani</t>
  </si>
  <si>
    <t>Lubuklinggau, 08 aug 1994</t>
  </si>
  <si>
    <t>Junior RF Engineer</t>
  </si>
  <si>
    <t>Desa Kalikotes, Kecamatan. Pituruh, kabupaten Purworejo, Jawa Tengah</t>
  </si>
  <si>
    <t>Mandiri : 900-00-3468576-9</t>
  </si>
  <si>
    <t>16.0521.480894.0001</t>
  </si>
  <si>
    <t>suyani0894@gmail.com</t>
  </si>
  <si>
    <t>terminated 12/9/2017</t>
  </si>
  <si>
    <t>OS1703061</t>
  </si>
  <si>
    <t>Angga Saputra</t>
  </si>
  <si>
    <t>Bandar Lampung, 19 April 1989</t>
  </si>
  <si>
    <t>Jl. Teluk Ambon Gg. Garuda Lk.II Rt.004 Pidada, Panjang, Kota Bandar Lampung, Lampung 35241</t>
  </si>
  <si>
    <t>&amp;6282304300130</t>
  </si>
  <si>
    <t>Mandiri : 1260006545304</t>
  </si>
  <si>
    <t>1871041904890002</t>
  </si>
  <si>
    <t>anggasyahputra91@gmail.com</t>
  </si>
  <si>
    <t>terminated 13/8/2017</t>
  </si>
  <si>
    <t>OS1708042</t>
  </si>
  <si>
    <t>Mahdi Ansory Harahap</t>
  </si>
  <si>
    <t>Rantau Prapat, 17 Januari 1991</t>
  </si>
  <si>
    <t>L2 PLO</t>
  </si>
  <si>
    <t>Jl. Mawar No. 36, Rantauprapat</t>
  </si>
  <si>
    <t>8470119544</t>
  </si>
  <si>
    <t>1210011701910001</t>
  </si>
  <si>
    <t>13019604928</t>
  </si>
  <si>
    <t>ansory_mahdi@yahoo.com</t>
  </si>
  <si>
    <t>terminated 16/8/2017</t>
  </si>
  <si>
    <t>OS1704042</t>
  </si>
  <si>
    <t>Sebastian Rakhman</t>
  </si>
  <si>
    <t>Bandung, 6 Oktober 1989</t>
  </si>
  <si>
    <t>Driver NPO</t>
  </si>
  <si>
    <t>Link. Kahuripan Rt/Rw.01/01 Karundang, Cipocok Jaya, Kota Serang, Banten</t>
  </si>
  <si>
    <t>Mandiri : 1630002224726</t>
  </si>
  <si>
    <t>3673050610890001</t>
  </si>
  <si>
    <t>namianbeo@gmail.com</t>
  </si>
  <si>
    <t>TERMINATED 30/9/2017</t>
  </si>
  <si>
    <t>extend to 8 July 2017</t>
  </si>
  <si>
    <t>OS1708030</t>
  </si>
  <si>
    <t>Taufik Iskandar</t>
  </si>
  <si>
    <t>Bandung, 11 aug 1977</t>
  </si>
  <si>
    <t>Jl. Cihanjuang Ds. Karangsari No. 115</t>
  </si>
  <si>
    <t>MANDIRI : 900-00-0954407-4</t>
  </si>
  <si>
    <t>3217021108770007</t>
  </si>
  <si>
    <t>79.252.682.4-421.000</t>
  </si>
  <si>
    <t>16036899595</t>
  </si>
  <si>
    <t>taufikiskandar710@gmail.com</t>
  </si>
  <si>
    <t>terminated 2/10/2017</t>
  </si>
  <si>
    <t>OS1708031</t>
  </si>
  <si>
    <t>Alit Tresna Putra</t>
  </si>
  <si>
    <t>Jakarta, 25 Januari 1991</t>
  </si>
  <si>
    <t>Jl. Mirah IV Sawah Baru, Komplek Cilla Mutiara, Kec. Ciputat, Tangerang Selatan</t>
  </si>
  <si>
    <t xml:space="preserve">0877 8068 4537  </t>
  </si>
  <si>
    <t>BCA : 0671838431</t>
  </si>
  <si>
    <t>3674042501910002</t>
  </si>
  <si>
    <t>81.560.036.6.453.000</t>
  </si>
  <si>
    <t>2069723428 OK</t>
  </si>
  <si>
    <t>ariy.tair@gmail.com</t>
  </si>
  <si>
    <t>terminated 2/10/2017, ADA EKSES KLAIM</t>
  </si>
  <si>
    <t>OS1708041</t>
  </si>
  <si>
    <t>Buana Mei Deka Pangaribuan</t>
  </si>
  <si>
    <t>Pekanbaru, 10 Mei 1984</t>
  </si>
  <si>
    <t>Jl. Rajawali Kav. 1690 - 1691 RT 03 / RW 17, Kel. Serua Kec. Ciputat, Kota Tangerang</t>
  </si>
  <si>
    <t>021-74630284</t>
  </si>
  <si>
    <t>MANDIRI : 164-00-0216184-4</t>
  </si>
  <si>
    <t>3674041005840002</t>
  </si>
  <si>
    <t>78.310.161.1-411.000</t>
  </si>
  <si>
    <t>11039736373</t>
  </si>
  <si>
    <t>0001959046007</t>
  </si>
  <si>
    <t>buanamdp11@gmail.com</t>
  </si>
  <si>
    <t>OS1708043</t>
  </si>
  <si>
    <t>Galang Oktafiana</t>
  </si>
  <si>
    <t>Bandung, 18 Oktober 1997</t>
  </si>
  <si>
    <t>Jl. Kebon Gedang Timur No. 201/126E RT 04/ RT 09, Kel. Maleer Kec. Batununggal, Kota Bandung</t>
  </si>
  <si>
    <t>BCA : 2801420771</t>
  </si>
  <si>
    <t>3273161810970006</t>
  </si>
  <si>
    <t>galangokta1927@gmail.com</t>
  </si>
  <si>
    <t>OS1708044</t>
  </si>
  <si>
    <t>Edy Rahman Iskandar</t>
  </si>
  <si>
    <t>Garut, 8 April 1988</t>
  </si>
  <si>
    <t>Kp. Kaum Kidul Rt.03 Rw. 02 Desa Bayongbong Kec. Bayongbong, Garut</t>
  </si>
  <si>
    <t>BCA : 2550034118</t>
  </si>
  <si>
    <t>3205170804880001</t>
  </si>
  <si>
    <t xml:space="preserve">81.494.445.0-443.000 </t>
  </si>
  <si>
    <t>edyrahman988@gmail.com</t>
  </si>
  <si>
    <t>Nanang Suprayetno</t>
  </si>
  <si>
    <t>Tulungagung, 07 November 1982</t>
  </si>
  <si>
    <t>Dsn. Pelem, Ds. Serut, kec. Boyolangu, kab. Tulungagung Jawa Timur</t>
  </si>
  <si>
    <t>CANCEL JOIN</t>
  </si>
  <si>
    <t>OS1612030</t>
  </si>
  <si>
    <t>Yudhi Ariyatama</t>
  </si>
  <si>
    <t>Jakarta, 3 Juli 1989</t>
  </si>
  <si>
    <t>Drive Test Analyst / RF Engineer</t>
  </si>
  <si>
    <t>JL. Nangka Rt 002 / 002 Kel. Cipayung Kec. Cipayung Jakarta Timur</t>
  </si>
  <si>
    <t>0812 5410 6564</t>
  </si>
  <si>
    <t>Mandiri : 121-00-0644971-8</t>
  </si>
  <si>
    <t>3175100307880008</t>
  </si>
  <si>
    <t>55.407.231.4-009.000</t>
  </si>
  <si>
    <t>12039953125</t>
  </si>
  <si>
    <t>yudhi.ariya@gmail.com</t>
  </si>
  <si>
    <t>resign 4/10/2017</t>
  </si>
  <si>
    <t>OS1708040</t>
  </si>
  <si>
    <t>Ahmad Muzakir</t>
  </si>
  <si>
    <t>Bandung, 8 April 1978</t>
  </si>
  <si>
    <t>Jl. Gatot Subroto No. 106 RT 02 / RW 08, Kel. Lingkar Selatan Kec. Lengkong, Kota Bandung</t>
  </si>
  <si>
    <t>MANDIRI : 124-00-0599576-7</t>
  </si>
  <si>
    <t>3273130804780015</t>
  </si>
  <si>
    <t>muzakirkasep@gmail.com</t>
  </si>
  <si>
    <t>resign 21/10/2017</t>
  </si>
  <si>
    <t>Ernawaty Sitorus</t>
  </si>
  <si>
    <t>Bandung, 11 Maret 1991</t>
  </si>
  <si>
    <t>Jl. Cipadung Vijaya Kusuma Permai B 11 No. 14, Bandung 40614</t>
  </si>
  <si>
    <t>OS1710060</t>
  </si>
  <si>
    <t>Hendra Lukmanul Hakim</t>
  </si>
  <si>
    <t>Banjarmasin, 17 March 1989</t>
  </si>
  <si>
    <t>Perum Sukarelawan Permai 1 Blok E No 4 Loktabat Banjarbaru Kalimantan Selatan</t>
  </si>
  <si>
    <t>MANDIRI : 0310005578128</t>
  </si>
  <si>
    <t>6372051703890001</t>
  </si>
  <si>
    <t>76.464.224.5-732.000</t>
  </si>
  <si>
    <t>15059344422</t>
  </si>
  <si>
    <t>0002269405056</t>
  </si>
  <si>
    <t>hendra.hakim@gmail.com</t>
  </si>
  <si>
    <t>resign 16/10/2017 HOLD GAJI</t>
  </si>
  <si>
    <t>OS1702174</t>
  </si>
  <si>
    <t>Imam Jakwan</t>
  </si>
  <si>
    <t>Pati, 20 Oktober 1977</t>
  </si>
  <si>
    <t>PLO Lead 3G 4G</t>
  </si>
  <si>
    <t>DK. Rames RT 02 / RW 05, Kel. Sukoharjo Kec. Wedarijaksa, Pati</t>
  </si>
  <si>
    <t>Mandiri : 0700006015528</t>
  </si>
  <si>
    <t>3318152010770003</t>
  </si>
  <si>
    <t>247311376507000</t>
  </si>
  <si>
    <t>17011977166</t>
  </si>
  <si>
    <t>0001644783625</t>
  </si>
  <si>
    <t>djakwan@gmail.com</t>
  </si>
  <si>
    <t>RESIGN 30/11/2017</t>
  </si>
  <si>
    <t>OS1708034</t>
  </si>
  <si>
    <t>Urip Subagja Firman</t>
  </si>
  <si>
    <t>Bandung, 30 Desember 1981</t>
  </si>
  <si>
    <t>Kp. Ciputat RT 02 / RW 13 Desa Andir, Kec. Bale Endah Kab. Bandung</t>
  </si>
  <si>
    <t>MANDIRI : 9000025296444</t>
  </si>
  <si>
    <t>3204323012810012</t>
  </si>
  <si>
    <t>54.628.931.5-445.000</t>
  </si>
  <si>
    <t>0001457207572</t>
  </si>
  <si>
    <t>urip1102@gmail.com</t>
  </si>
  <si>
    <t>resign end of dec, wait fcl</t>
  </si>
  <si>
    <t>OS1709044</t>
  </si>
  <si>
    <t>A Indra Qomara</t>
  </si>
  <si>
    <t>Jakarta, 29 April 1976</t>
  </si>
  <si>
    <t>TNP Team Leader</t>
  </si>
  <si>
    <t>Jl. H. Raisan RT 03 / RW 03 No. 53, Kel. Kelapa Dua Kec. Kebon Jeruk, Jakarta Barat 11550</t>
  </si>
  <si>
    <t>BCA : 2551145133</t>
  </si>
  <si>
    <t>3173052904760013</t>
  </si>
  <si>
    <t>585462625035000</t>
  </si>
  <si>
    <t>0001643876954</t>
  </si>
  <si>
    <t>indraqomara@gmail.com</t>
  </si>
  <si>
    <t xml:space="preserve">not extend </t>
  </si>
  <si>
    <t>OS1709052</t>
  </si>
  <si>
    <t>Arya Maulana Nugroho</t>
  </si>
  <si>
    <t>Tangerang, 18 Juni 1991</t>
  </si>
  <si>
    <t>Perum Binong Permai E5 No 8 Curug Tangerang</t>
  </si>
  <si>
    <t>MANDIRI : 1760000493948</t>
  </si>
  <si>
    <t>3603171806910003</t>
  </si>
  <si>
    <t>540646833451000</t>
  </si>
  <si>
    <t>babangarya@gmail.com</t>
  </si>
  <si>
    <t>OS1709054</t>
  </si>
  <si>
    <t>Panji Ryan Widhi</t>
  </si>
  <si>
    <t>Jakarta, 4 Desember 1984</t>
  </si>
  <si>
    <t>Jl Ibrahim No.30 RT01/05 Rawa Belong Jakarta Barat</t>
  </si>
  <si>
    <t>MANDIRI : 1170004356333</t>
  </si>
  <si>
    <t>3173050412840009</t>
  </si>
  <si>
    <t>590103628035000</t>
  </si>
  <si>
    <t>14022669247</t>
  </si>
  <si>
    <t>panji.ryan@gmail.com</t>
  </si>
  <si>
    <t>OS1710036</t>
  </si>
  <si>
    <t>Eka Wardhana Noor Syah</t>
  </si>
  <si>
    <t>Yogyakarta, 16 November 1975</t>
  </si>
  <si>
    <t>Komp. Deplu, Jl. Abd. Majid Dalam III no. 30, RT/RW 8/5, Cipete Selatan, Cilandak, Jakarta Selatan</t>
  </si>
  <si>
    <t>087875134368</t>
  </si>
  <si>
    <t>MANDIRI : 1030004140345</t>
  </si>
  <si>
    <t>3175081611750006</t>
  </si>
  <si>
    <t>581435104005000</t>
  </si>
  <si>
    <t>0001623638046</t>
  </si>
  <si>
    <t>ekka.wardhana@gmail.com</t>
  </si>
  <si>
    <t>OS1710037</t>
  </si>
  <si>
    <t>Hans Indra Eugen</t>
  </si>
  <si>
    <t>Jakarta, 9 Agustus 1976</t>
  </si>
  <si>
    <t>Jl Rawasari Barat E268 RT006/RW01 Cempaka Putih Timur, Cempaka Putih Jak Pus</t>
  </si>
  <si>
    <t>021-4248051 / 08111774664</t>
  </si>
  <si>
    <t>BCA : '2531289783</t>
  </si>
  <si>
    <t>3175020908760003</t>
  </si>
  <si>
    <t>243543279003000</t>
  </si>
  <si>
    <t>0001198806243</t>
  </si>
  <si>
    <t>hansindra@gmail.com</t>
  </si>
  <si>
    <t>OS1710061</t>
  </si>
  <si>
    <t>Rendy Rediansah</t>
  </si>
  <si>
    <t>Bandung, 22 Februari 1995</t>
  </si>
  <si>
    <t>Kav. Griya Pesona RT 04 / RW 09, Kec. Ciparay Kab. Bandung 40381</t>
  </si>
  <si>
    <t>: 1300014845534</t>
  </si>
  <si>
    <t>3204292202950006</t>
  </si>
  <si>
    <t>82.235.724.0-444.000</t>
  </si>
  <si>
    <t>rendyrediansah95@gmail.com</t>
  </si>
  <si>
    <t>not extend, wait fcl</t>
  </si>
  <si>
    <t>OS1710063</t>
  </si>
  <si>
    <t>BCA : 7550153861</t>
  </si>
  <si>
    <t>719401135451100</t>
  </si>
  <si>
    <t>OS1710064</t>
  </si>
  <si>
    <t>Erwin Saputra</t>
  </si>
  <si>
    <t>Bengkulu, 31 Mei 1985</t>
  </si>
  <si>
    <t>Jl. Meranti 2 RT 11 / RW 03, Kel. Sawah Lebar Kec. Ratu Agung, Kota Bengkulu</t>
  </si>
  <si>
    <t>0853 7887 0101</t>
  </si>
  <si>
    <t>MANDIRI : 113 000 684 1070</t>
  </si>
  <si>
    <t>1771063105850003</t>
  </si>
  <si>
    <t>16.876.286.2-311.000</t>
  </si>
  <si>
    <t>11039736084</t>
  </si>
  <si>
    <t>0000333198292</t>
  </si>
  <si>
    <t>erwins.telco@gmail.com</t>
  </si>
  <si>
    <t>OS1710065</t>
  </si>
  <si>
    <t>Rahman Maulana</t>
  </si>
  <si>
    <t>Bandung, 17 Agustus 1999</t>
  </si>
  <si>
    <t>: 130-00-1608627-7</t>
  </si>
  <si>
    <t>3204291708990003</t>
  </si>
  <si>
    <t>rahmanmaulana014@gmail.com</t>
  </si>
  <si>
    <t>OS1710079</t>
  </si>
  <si>
    <t>Panji Kusniarto W.</t>
  </si>
  <si>
    <t>Jakarta, 6 Agustus 1987</t>
  </si>
  <si>
    <t>Jl. H. Dimun Gg Mawar 2 No. 98 RT 03 / RW 08, Kel. Sukamaju Kec. Cilodong, Kota Depok</t>
  </si>
  <si>
    <t>BCA : 7825158944</t>
  </si>
  <si>
    <t>3171070608870001</t>
  </si>
  <si>
    <t>panjiwicaksanas@gmail.com</t>
  </si>
  <si>
    <t>OS1710082</t>
  </si>
  <si>
    <t>Yoyok Dwi Fitria Priyanto</t>
  </si>
  <si>
    <t>Bandung, 25 April 1990</t>
  </si>
  <si>
    <t>PLO L1</t>
  </si>
  <si>
    <t>KP. Kertajaya Rt.04 Rw.12 Desa Kertajaya Kecamatan Padalarang Kabupaten Bandung Barat</t>
  </si>
  <si>
    <t>0822 1643 2109</t>
  </si>
  <si>
    <t>BCA : 5140420753</t>
  </si>
  <si>
    <t>3217082504900009</t>
  </si>
  <si>
    <t>55.856.513.1-421.000</t>
  </si>
  <si>
    <t>0001824103506</t>
  </si>
  <si>
    <t>yoyok.2.priyanto@gmail.com</t>
  </si>
  <si>
    <t>OS1709057</t>
  </si>
  <si>
    <t>Budi Wirahmi</t>
  </si>
  <si>
    <t>Jakarta, 10 Agustus 1979</t>
  </si>
  <si>
    <t>RNP TEAM LEADER</t>
  </si>
  <si>
    <t>Jl. Kano 13 No. 01 RT 007/RW 009 Perumnas Kelapa Dua-Tangerang. Banten 15810</t>
  </si>
  <si>
    <t>0811 8202086 / 021-547 0736</t>
  </si>
  <si>
    <t>BSM : 7001397518</t>
  </si>
  <si>
    <t>3603285008790012</t>
  </si>
  <si>
    <t>26.146.920.9-451.000</t>
  </si>
  <si>
    <t>0001642159989</t>
  </si>
  <si>
    <t>budi.wirahmi@yahoo.com</t>
  </si>
  <si>
    <t>OS1710098</t>
  </si>
  <si>
    <t>Eka Surya Kenta Ardiwinata</t>
  </si>
  <si>
    <t>Palembang, 28 Januari 1988</t>
  </si>
  <si>
    <t xml:space="preserve">Drive Test Engineer </t>
  </si>
  <si>
    <t>Bojong Enyod Rt/Rw.002/012 Tegalgundil, Kota Bogor Utara, Kota Bogor</t>
  </si>
  <si>
    <t>BCA : 0952865461</t>
  </si>
  <si>
    <t>3212022801880001</t>
  </si>
  <si>
    <t>reqamusttdiee@gmail.com</t>
  </si>
  <si>
    <t>OS1710103</t>
  </si>
  <si>
    <t>Ahmad Zul Fadli</t>
  </si>
  <si>
    <t>Padang, 28 September 1994</t>
  </si>
  <si>
    <t>Jl. Muara No. 58 B RT 02 / RW 02, Kel. Berok Nipah Kec. Padang Barat, Kota Padang</t>
  </si>
  <si>
    <t>BNI : 0384474654</t>
  </si>
  <si>
    <t>1371032809940003</t>
  </si>
  <si>
    <t>82.252.769.31201.000</t>
  </si>
  <si>
    <t>ahmadzulfadli28@gmail.com</t>
  </si>
  <si>
    <t>OS1710115</t>
  </si>
  <si>
    <t>Rulliansyah Firdaus</t>
  </si>
  <si>
    <t>Kotabaru, 21 Januari 1990</t>
  </si>
  <si>
    <t>Komp. Riyal Regency Jalur Utama No. 30 RT 02 RW 01 Handil Bakti Kec. Alalak Kab. Batola Kal-Sel</t>
  </si>
  <si>
    <t>BNI : 0215101799</t>
  </si>
  <si>
    <t>6304032101900002</t>
  </si>
  <si>
    <t>74.406.110.2-731.000</t>
  </si>
  <si>
    <t>Firdausrulliansyah@gmail.com</t>
  </si>
  <si>
    <t>terminated 31/12/2017 ybs tidak bersedia dipindah bali</t>
  </si>
  <si>
    <t>ext 30 jun 18</t>
  </si>
  <si>
    <t>OS1708032</t>
  </si>
  <si>
    <t>Oki Muhibudin Zaki</t>
  </si>
  <si>
    <t>Bandung, 16 Februari 1982</t>
  </si>
  <si>
    <t>Kp. Kebon Kapas Kulon No. 02 RT 01 / RW 08, Desa Waluy Kec. Cicalengka Bandung 40395</t>
  </si>
  <si>
    <t>1310013960721</t>
  </si>
  <si>
    <t>3204251602820003</t>
  </si>
  <si>
    <t>82.452.472.2.444.000</t>
  </si>
  <si>
    <t>1646177725</t>
  </si>
  <si>
    <t>okyzaki16@gmail.com</t>
  </si>
  <si>
    <t>terminated 4/2/2018</t>
  </si>
  <si>
    <t>OS1709055</t>
  </si>
  <si>
    <t>Hengky Saputra</t>
  </si>
  <si>
    <t>Duri, 18 Januari 1985</t>
  </si>
  <si>
    <t>Jl. Pasir Impun Kompleks BCV No. 173 RT 01 / RW 12, Karang Pamulang, Bandung 40264</t>
  </si>
  <si>
    <t>BCA : 0080613296</t>
  </si>
  <si>
    <t>3273301801850001</t>
  </si>
  <si>
    <t>899011308429000</t>
  </si>
  <si>
    <t>14016355480</t>
  </si>
  <si>
    <t>hengkysaputra18@gmail.com</t>
  </si>
  <si>
    <t>ext 31 jan 18</t>
  </si>
  <si>
    <t>OS1709056</t>
  </si>
  <si>
    <t>Muhammad Hamzah</t>
  </si>
  <si>
    <t>Jakarta, 9 Januari 1991</t>
  </si>
  <si>
    <t>Kp. Kalurahan RT 02 / RW 05 No. 2 Ds. Cibatok 2, Cibungbulang, Bogor 16630</t>
  </si>
  <si>
    <t>MANDIRI : 1250010323772</t>
  </si>
  <si>
    <t>3201160901910003</t>
  </si>
  <si>
    <t>79.636.984.1-434.000</t>
  </si>
  <si>
    <t>emhamzah@gmail.com</t>
  </si>
  <si>
    <t>Jembar agung majasem rt.03 rw.14 kel.karyamulya kec.kesambi Kota Cirebon.</t>
  </si>
  <si>
    <t>BCA : 5385016244</t>
  </si>
  <si>
    <t>OS1710080</t>
  </si>
  <si>
    <t>Erik Mayer Silaban</t>
  </si>
  <si>
    <t>Bandung, 15 Maret 1992</t>
  </si>
  <si>
    <t>Jl. Tanimbar No. 5 RT 06 / RW 05, Kel. Cimone Jaya Kec. Karawaci , Tangerang Banten</t>
  </si>
  <si>
    <t>BSM : 7052240314</t>
  </si>
  <si>
    <t>1702241503920002</t>
  </si>
  <si>
    <t>erikmayer86@gmail.com</t>
  </si>
  <si>
    <t>RESIGN 31/1/2018</t>
  </si>
  <si>
    <t>OS1612014</t>
  </si>
  <si>
    <t>Daniel Yulistian</t>
  </si>
  <si>
    <t>Semarang, 10 Juli 1978</t>
  </si>
  <si>
    <t>Jl. Brotojoyo Timur 3 No. 31</t>
  </si>
  <si>
    <t>: 136-00-1569740-9</t>
  </si>
  <si>
    <t>3374021007780001</t>
  </si>
  <si>
    <t>79.586.578.1-504.000</t>
  </si>
  <si>
    <t>11029666812</t>
  </si>
  <si>
    <t>0001657209328</t>
  </si>
  <si>
    <t>daniel.yulistian.7055@gmail.com</t>
  </si>
  <si>
    <t>OS1710097</t>
  </si>
  <si>
    <t>Januar Robinson Silaban</t>
  </si>
  <si>
    <t>P Brandan, 27 Januari 1986</t>
  </si>
  <si>
    <t>Jl. Kalui No.2 Rt/Rw.001/008 Kel. Bukit Tunggal Kec. Jekan Raya, Kota Palangkaraya, Kalimantan Tengah</t>
  </si>
  <si>
    <t>081372583453 / 085886545724</t>
  </si>
  <si>
    <t>BCA : 8585048514</t>
  </si>
  <si>
    <t>robinsonsilaban86@gmail.com</t>
  </si>
  <si>
    <t>OS1710110</t>
  </si>
  <si>
    <t>Arnoldus Leo Karra</t>
  </si>
  <si>
    <t>Makassar, 27 Januari 1981</t>
  </si>
  <si>
    <t>Komp Ambar Cibinong Residences Blok A12, No 3. Harapan Jaya.Cibinong Bogor 16914 Jawa Barat</t>
  </si>
  <si>
    <t>+6281287795789</t>
  </si>
  <si>
    <t>BCA : 7180233762</t>
  </si>
  <si>
    <t>1205022701810003</t>
  </si>
  <si>
    <t>72.189.438.4-017.000</t>
  </si>
  <si>
    <t>11023541698</t>
  </si>
  <si>
    <t>0001785091083</t>
  </si>
  <si>
    <t>komisidelapan26@gmail.com</t>
  </si>
  <si>
    <t>OS1710107</t>
  </si>
  <si>
    <t>Frandes Jailani</t>
  </si>
  <si>
    <t>Balai Selasa, 8 Desember 1988</t>
  </si>
  <si>
    <t>Sumatra</t>
  </si>
  <si>
    <t>Jl. Lukman Idris LR Pepaya No. 1714 RT 13 RW 03, Kel. Sukodadi Kec. Sukarami, Kota Palembang</t>
  </si>
  <si>
    <t>089610860457</t>
  </si>
  <si>
    <t>BCA : 8055162545</t>
  </si>
  <si>
    <t>1671070812880006</t>
  </si>
  <si>
    <t>fjailni@gmail.com</t>
  </si>
  <si>
    <t>OS1711027</t>
  </si>
  <si>
    <t>Chandra Wahyudi</t>
  </si>
  <si>
    <t>Jakarta, 3 April 1978</t>
  </si>
  <si>
    <t>Jl. Mekarsari No. 5 RT 29</t>
  </si>
  <si>
    <t>MANDIRI : 1240007762603</t>
  </si>
  <si>
    <t>3573010304780010</t>
  </si>
  <si>
    <t>824499875721000</t>
  </si>
  <si>
    <t>cadarw167@gmail.com</t>
  </si>
  <si>
    <t>terminated 13/1/2018</t>
  </si>
  <si>
    <t>OS1711028</t>
  </si>
  <si>
    <t>Riko Putra Argawangun</t>
  </si>
  <si>
    <t>Bandung, 30 November 1995</t>
  </si>
  <si>
    <t>Kp. Hujung RT 01 / RW 02, Desa Ciparay Kec. Ciparay</t>
  </si>
  <si>
    <t>089676281959</t>
  </si>
  <si>
    <t>MANDIRI : 1300015372173 a.n Riko Putra Arga Wangun</t>
  </si>
  <si>
    <t>3204293010980004</t>
  </si>
  <si>
    <t>riko8206@gmail.com</t>
  </si>
  <si>
    <t>OS1711029</t>
  </si>
  <si>
    <t>Ricki Yacob Manurung</t>
  </si>
  <si>
    <t>Bogor, 8 Februari 1991</t>
  </si>
  <si>
    <t>Ciracas RT 05 / RW 01, Ciracas Jakarta Timur</t>
  </si>
  <si>
    <t>081286150088</t>
  </si>
  <si>
    <t>MANDIRI : 1220007417531</t>
  </si>
  <si>
    <t>3175090802910007</t>
  </si>
  <si>
    <t>715400172009000</t>
  </si>
  <si>
    <t>14042923913</t>
  </si>
  <si>
    <t>rickyacob@yahoo.com</t>
  </si>
  <si>
    <t>terminated 14/1/2018</t>
  </si>
  <si>
    <t>OS1711057</t>
  </si>
  <si>
    <t>Musthofa Juli wardani</t>
  </si>
  <si>
    <t>Wonogiri, 21 Juli 1991</t>
  </si>
  <si>
    <t>Dk. Jarum RT 03 / RW 06, Ds Saradan, Kec. Baturetno, Kab. Wonogiri, Jawa Tengah</t>
  </si>
  <si>
    <t>081220812299</t>
  </si>
  <si>
    <t>BNI : 381998412</t>
  </si>
  <si>
    <t>3312072107910001</t>
  </si>
  <si>
    <t>76.235.913.1-532.000</t>
  </si>
  <si>
    <t>16029052236</t>
  </si>
  <si>
    <t>0000089508925</t>
  </si>
  <si>
    <t>mustofajuly@gmail.com</t>
  </si>
  <si>
    <t>terminated 12/1/2018</t>
  </si>
  <si>
    <t>Roberto Pangihutan</t>
  </si>
  <si>
    <t>Tubagus Ismail Dalam No.2, Dago - Bandung</t>
  </si>
  <si>
    <t>081260771766</t>
  </si>
  <si>
    <t>MANDIRI 1240009707358</t>
  </si>
  <si>
    <t>OS1711065</t>
  </si>
  <si>
    <t>Sri Oktafiani</t>
  </si>
  <si>
    <t>Sintuk, 22 Oktober 1994</t>
  </si>
  <si>
    <t>Toboh Sawah Mansi, Nagari Toboh Gadang, Kec. Sintuk Toboh Gadang , Kab. Padang Pariaman, Sumatera Barat</t>
  </si>
  <si>
    <t>08561968672</t>
  </si>
  <si>
    <t>Mandiri : 0060007528429</t>
  </si>
  <si>
    <t>1305116210930001</t>
  </si>
  <si>
    <t>sri.oktafianii@gmail.com</t>
  </si>
  <si>
    <t>OS1710117</t>
  </si>
  <si>
    <t>Beni Saputra</t>
  </si>
  <si>
    <t>29 Maret 1994</t>
  </si>
  <si>
    <t>Jl. Dr. M. Isa Lrng Sei Jeruju 2 No. 654 RT 09 / RW 03 Ilir Timur 2 Kuot Batu</t>
  </si>
  <si>
    <t>081278654212</t>
  </si>
  <si>
    <t>BCA : 1150599675</t>
  </si>
  <si>
    <t>1671062903940007</t>
  </si>
  <si>
    <t>Ibenksaputra03@gmail.com</t>
  </si>
  <si>
    <t>OS1711066</t>
  </si>
  <si>
    <t>Melsy Aswandi</t>
  </si>
  <si>
    <t>Toboh Palak Pisang, 9 Maret 1993</t>
  </si>
  <si>
    <t>Toboh Palak Pisang, Kel/Desa. Toboh Gadang Kec. Sintuak Toboh Gadang</t>
  </si>
  <si>
    <t>085375518151</t>
  </si>
  <si>
    <t>BRI : 5489-01-005799-53-4</t>
  </si>
  <si>
    <t>1305114903940001</t>
  </si>
  <si>
    <t>melsy.aswandi@gmail.com</t>
  </si>
  <si>
    <t>OS1711067</t>
  </si>
  <si>
    <t>Tris Haryono</t>
  </si>
  <si>
    <t>Bandung, 14 September 1979</t>
  </si>
  <si>
    <t>KBSI Jl. Melati Blok D2 No. 13 RT 02 / RW 12, Kel/Ds. Gunungleutik Kec. Ciparay Bandung</t>
  </si>
  <si>
    <t>082298908944</t>
  </si>
  <si>
    <t>BCA : 0083107739</t>
  </si>
  <si>
    <t>3204291409790005</t>
  </si>
  <si>
    <t>74.012.096.9-444.000</t>
  </si>
  <si>
    <t>jalisundanese79@gmail.com</t>
  </si>
  <si>
    <t>OS1710067</t>
  </si>
  <si>
    <t>Ageung Suhendar</t>
  </si>
  <si>
    <t>Bandung, 31 Desember 1982</t>
  </si>
  <si>
    <t>Jabodetabek =&gt; Bali 1/2/2018</t>
  </si>
  <si>
    <t>Jl. MKJ III No. 42 RT.003 RW.013, Kel.Bintaro, Kec.Pesanggrahan, Jakarta Selatan</t>
  </si>
  <si>
    <t>BCA : 5010332585</t>
  </si>
  <si>
    <t>3204293112820007</t>
  </si>
  <si>
    <t>75.451.375.2-066.000</t>
  </si>
  <si>
    <t>zovink31@gmail.com</t>
  </si>
  <si>
    <t>terminated 31/3/2018</t>
  </si>
  <si>
    <t>terminated 8/3/2018</t>
  </si>
  <si>
    <t>OS1801074</t>
  </si>
  <si>
    <t>Maizul Huda</t>
  </si>
  <si>
    <t>Jakarta, 14 Mei 1981</t>
  </si>
  <si>
    <t>Balikpapan / Pontianak</t>
  </si>
  <si>
    <t>TNP Leader</t>
  </si>
  <si>
    <t>Jl. Lingkar Sari RT 05 RW 09 No. 63 Kel. Kalisari Kec. Pasar Rebo, Jakarta Timur 13790</t>
  </si>
  <si>
    <t>082184678585</t>
  </si>
  <si>
    <t>BCA  5200206985</t>
  </si>
  <si>
    <t>3175041405810002</t>
  </si>
  <si>
    <t>58.526.347.8-005.000</t>
  </si>
  <si>
    <t>0001643880644</t>
  </si>
  <si>
    <t>maizul.huda@gmail.com, maizulhuda@yahoo.com</t>
  </si>
  <si>
    <t>RESIGN 24/3/2018 e_24/2/2018</t>
  </si>
  <si>
    <t>OS1802056</t>
  </si>
  <si>
    <t>Abdul Majid</t>
  </si>
  <si>
    <t>Pontianak, 3 Desember 1985</t>
  </si>
  <si>
    <t>Jl. Merdeka Gg. Belibis No. 23 Kel. Tengah Kec. Pontianak Kota</t>
  </si>
  <si>
    <t>085245872977 / 085651168685</t>
  </si>
  <si>
    <t>backpacker_ajeed@yahoo.com</t>
  </si>
  <si>
    <t>resign 13/3/2018</t>
  </si>
  <si>
    <t>Nurhadi</t>
  </si>
  <si>
    <t>Jakarta, 28 Juli 1985</t>
  </si>
  <si>
    <t>Driver Test Engineer</t>
  </si>
  <si>
    <t>Jl. Swadaya Duren Sawit Jakarta Timur</t>
  </si>
  <si>
    <t>Suhendry Firmansyah</t>
  </si>
  <si>
    <t>Pontianak, 22 Oktober 1992</t>
  </si>
  <si>
    <t>Jl. Tritura RT 01 / Rw 03, Pontianak, Kalimantan Barat 78236</t>
  </si>
  <si>
    <t>Anri Borisman Siagian</t>
  </si>
  <si>
    <t>Bandung, 7 Mei 1992</t>
  </si>
  <si>
    <t>Jl. Terusan Cibaduyut Gg. Mesjid No. 14B, Bandung</t>
  </si>
  <si>
    <t>OS1802054</t>
  </si>
  <si>
    <t>081249693746</t>
  </si>
  <si>
    <t>BNI  0215101799</t>
  </si>
  <si>
    <t>resign 04/04/2018</t>
  </si>
  <si>
    <t>OS1804053</t>
  </si>
  <si>
    <t>Ervan Muvianto</t>
  </si>
  <si>
    <t>4 November 1994</t>
  </si>
  <si>
    <t>Bali Nusa Tenggara</t>
  </si>
  <si>
    <t>Jl. J Ayani Gg Karet 1 RT 01 / RW 05, Kec. Tanah Sareal, Bogor</t>
  </si>
  <si>
    <t>085723403775</t>
  </si>
  <si>
    <t>BCA 0953522702</t>
  </si>
  <si>
    <t>3271060411940014</t>
  </si>
  <si>
    <t>72.837.535.3 404.000</t>
  </si>
  <si>
    <t>ervanmuvianto@gmail.com</t>
  </si>
  <si>
    <t>Resign 2/05/2018</t>
  </si>
  <si>
    <t>HB Move All.</t>
  </si>
  <si>
    <t>Transport All.</t>
  </si>
  <si>
    <t>Meal All.</t>
  </si>
  <si>
    <t>insentiv</t>
  </si>
  <si>
    <t>Other All.</t>
  </si>
  <si>
    <t>Email PM Indohr</t>
  </si>
  <si>
    <t>OS1710108</t>
  </si>
  <si>
    <t>Sjahrul Munir</t>
  </si>
  <si>
    <t>Surabaya, 7 November 1969</t>
  </si>
  <si>
    <t>hcpt</t>
  </si>
  <si>
    <t>Project Controller</t>
  </si>
  <si>
    <t>gaji akhir bulan</t>
  </si>
  <si>
    <t>Petemon Barat 11-A RT 08 / RW 02, Kel. Kupang Krajan Kec. Sawahan, Kota Surabaya</t>
  </si>
  <si>
    <t>BSM : 7001290309</t>
  </si>
  <si>
    <t>3578060711690002</t>
  </si>
  <si>
    <t>248278889614000</t>
  </si>
  <si>
    <t>13000304074</t>
  </si>
  <si>
    <t>syahr_monake@yahoo.co.uk</t>
  </si>
  <si>
    <t>OS1711005</t>
  </si>
  <si>
    <t>Lilik Rahayu</t>
  </si>
  <si>
    <t>Surabaya, 25 Juli 1978</t>
  </si>
  <si>
    <t>gaji tgl 28</t>
  </si>
  <si>
    <t>Kertajaya 252 Surabaya Rt/Rw.008/010 Kel. Kertajaya Kec. Gubeng, Surabaya, Jawa Timur</t>
  </si>
  <si>
    <t>031-5018951</t>
  </si>
  <si>
    <t>BCA : 1070455231</t>
  </si>
  <si>
    <t>3578086507780002</t>
  </si>
  <si>
    <t>25.188.707.1-606.000</t>
  </si>
  <si>
    <t>lilikrhy@yahoo.com</t>
  </si>
  <si>
    <t>internal</t>
  </si>
  <si>
    <t>OS1709043</t>
  </si>
  <si>
    <t>Nina Silvia Sembiring</t>
  </si>
  <si>
    <t>Pangkalan Brandan,</t>
  </si>
  <si>
    <t>Jalan Gatot Subroto Gg Famili No 18 D</t>
  </si>
  <si>
    <t>0822 76252705</t>
  </si>
  <si>
    <t>BCA : 8000653161</t>
  </si>
  <si>
    <t>1271034508910002</t>
  </si>
  <si>
    <t>72342974124000</t>
  </si>
  <si>
    <t>wewwa1850@gmail.com</t>
  </si>
  <si>
    <t>Terminated</t>
  </si>
  <si>
    <t>OS1503014</t>
  </si>
  <si>
    <t>Eko Prastowo</t>
  </si>
  <si>
    <t>Sungai Gerong, 1 Juni 1980</t>
  </si>
  <si>
    <t>CME</t>
  </si>
  <si>
    <t>Jl. Kancil Putih VI Komp. Griya Siguntang II Blok B No.4 Rt/Rw.046/010 Demang Lebar Daun, Ilir Barat I, Kota Palembang</t>
  </si>
  <si>
    <t>'0001738831972 OK</t>
  </si>
  <si>
    <t>ekoprastowo80@gmail.com</t>
  </si>
  <si>
    <t>resign 27/3/2018</t>
  </si>
  <si>
    <t>Actual on board</t>
  </si>
  <si>
    <t>Broadband / Internet</t>
  </si>
  <si>
    <t>Tunj. Jabatan/posisi</t>
  </si>
  <si>
    <t>other allowance / project allow. / standby allow</t>
  </si>
  <si>
    <t>TRANSPORT ALLOW</t>
  </si>
  <si>
    <t>Shift</t>
  </si>
  <si>
    <t>Update by Johny Oct</t>
  </si>
  <si>
    <t>OS1311043</t>
  </si>
  <si>
    <t>Rudi Ruskandar</t>
  </si>
  <si>
    <t>SF</t>
  </si>
  <si>
    <t>Site Quality</t>
  </si>
  <si>
    <t>entitle laptop Jan '16 prev none ; adjust Jan '16 prev 7.841.869 ; internet allow per 1 Feb'15</t>
  </si>
  <si>
    <t>Dusun Kliwon, RT. 013/007, Kel. Kartayasa, Kec. Sindang Agung, Jawa Barat</t>
  </si>
  <si>
    <t>0815 8 555 1335 / 0815 55404515</t>
  </si>
  <si>
    <t>Mandiri : 07-0000-4339-359</t>
  </si>
  <si>
    <t>25.162.797.2-124.000</t>
  </si>
  <si>
    <t>04J00201451</t>
  </si>
  <si>
    <t>0001628834231 -KELUARGA</t>
  </si>
  <si>
    <t>rudi.ruskandar@gmail.com, rudi.ruskandar@corphr-nokia.com</t>
  </si>
  <si>
    <t>extension 6 months</t>
  </si>
  <si>
    <t>OS1604015</t>
  </si>
  <si>
    <t>Ratu Ellyna Poppy Rosalina Permanawati</t>
  </si>
  <si>
    <t>3 Januari 1986</t>
  </si>
  <si>
    <t>NPO =&gt; Junior Planning Engineer 1/1/2018</t>
  </si>
  <si>
    <t>adj 1 Jan'18 BS prev 7 jt CA prev 250 rb BB prev 250 rb OT prev NO &amp; entitle transprt  ; adj BS eff per 1 Jan '17 prev. 6jt</t>
  </si>
  <si>
    <t>Perum Mediterania Regency Cikunir Cluster The California Jl. California III Blok H3/30 Kota Bekasi</t>
  </si>
  <si>
    <t xml:space="preserve">082112078586 </t>
  </si>
  <si>
    <t>MANDIRI: 1240005424800</t>
  </si>
  <si>
    <t>3573014301860001</t>
  </si>
  <si>
    <t>24.893.500.9-654.000</t>
  </si>
  <si>
    <t>15003305651</t>
  </si>
  <si>
    <t>0001766676993 OK</t>
  </si>
  <si>
    <t>ratu.ellyna@gmail.com, ratu.ellyna.ext@nokia.com</t>
  </si>
  <si>
    <t>extended until P3 2018</t>
  </si>
  <si>
    <t>OS1707006</t>
  </si>
  <si>
    <t>Kusyanto</t>
  </si>
  <si>
    <t>Kebumen, 16 Maret 1979</t>
  </si>
  <si>
    <t>Office Assistant</t>
  </si>
  <si>
    <t>yes18</t>
  </si>
  <si>
    <t>Perum Bojong Depok Baru Blok NE 8D Rt.01 Rw 09 Desa Kedung Waringin Bojong Gede Bogor 16320</t>
  </si>
  <si>
    <t>085694202497</t>
  </si>
  <si>
    <t>Mandiri : 133 00 1336370 0</t>
  </si>
  <si>
    <t>3201131603790003</t>
  </si>
  <si>
    <t>670406750403000</t>
  </si>
  <si>
    <t>kuspakacy@yahoo.com</t>
  </si>
  <si>
    <t>OS1803088</t>
  </si>
  <si>
    <t>Ahmad Faisal</t>
  </si>
  <si>
    <t>Medan, 29 May 1982</t>
  </si>
  <si>
    <t>Jl.Gaperta Ujung Gg.Wakaf No.8, Medan Helvetia – 20125</t>
  </si>
  <si>
    <t>081534689900 / 085370002402</t>
  </si>
  <si>
    <t>BCA  8205125180</t>
  </si>
  <si>
    <t>1271032905820007</t>
  </si>
  <si>
    <t>247582869124000</t>
  </si>
  <si>
    <t>ahmadfaisal.faisal@gmail.com</t>
  </si>
  <si>
    <t>OS1707017</t>
  </si>
  <si>
    <t>Adni Inggar Fadillah</t>
  </si>
  <si>
    <t>Wonosobo, 29 Januari 1995</t>
  </si>
  <si>
    <t>HCPT =&gt; SF</t>
  </si>
  <si>
    <t>DCC &amp; Acceptance</t>
  </si>
  <si>
    <t>Perum Bumi Sentosa 1 Blok B12 No. 12A, Cibinong, Bogor</t>
  </si>
  <si>
    <t xml:space="preserve">08122649334  </t>
  </si>
  <si>
    <t>BCA : 2390434785 a/n Adni Inggar Fadillah</t>
  </si>
  <si>
    <t xml:space="preserve">3307086901950004   </t>
  </si>
  <si>
    <t>adniinggar23@gmail.com</t>
  </si>
  <si>
    <t>OS1506075</t>
  </si>
  <si>
    <t>Sukur Mulia Siregar</t>
  </si>
  <si>
    <t>Bahal, 6 jun 1985</t>
  </si>
  <si>
    <t>no</t>
  </si>
  <si>
    <t>yes</t>
  </si>
  <si>
    <t>adjust Jan '16 prev 27 jt nett</t>
  </si>
  <si>
    <t>Komplek Sandang Blok Q no 10 RT 010/017 Klender Duren Sawit Jakarta Timur</t>
  </si>
  <si>
    <t>0813 17698962</t>
  </si>
  <si>
    <t>BCA : 8275023937</t>
  </si>
  <si>
    <t>3201130606850003</t>
  </si>
  <si>
    <t>08.380.83.78-731.000</t>
  </si>
  <si>
    <t>08004733419</t>
  </si>
  <si>
    <t>sukurmulia@gmail.com</t>
  </si>
  <si>
    <t>resign 17/7/2017</t>
  </si>
  <si>
    <t>OS1610012</t>
  </si>
  <si>
    <t>Sendy Setiawan</t>
  </si>
  <si>
    <t>Jabotabek</t>
  </si>
  <si>
    <t>SF =&gt; TSEL</t>
  </si>
  <si>
    <t>yes10</t>
  </si>
  <si>
    <t>change project per 8 Mei'17 flexi allow prev 2 jt &amp; transp allow prev none</t>
  </si>
  <si>
    <t>Jl. H.Junib No 49C RT 07/07 Kel. Duri Kosambi Kec. Cengkareng Jakarta Barat 11750</t>
  </si>
  <si>
    <t>082158886607</t>
  </si>
  <si>
    <t>BCA : 0701549570</t>
  </si>
  <si>
    <t>3174080610880002</t>
  </si>
  <si>
    <t>89.626.628.5-061.000</t>
  </si>
  <si>
    <t>always.sendy88@gmail.com</t>
  </si>
  <si>
    <t>Move to Tsel PMS effective P5 2017</t>
  </si>
  <si>
    <t>OS1510040</t>
  </si>
  <si>
    <t>Vika Fatwa Onistyami</t>
  </si>
  <si>
    <t>Tegal, 28 aug 1991</t>
  </si>
  <si>
    <t>yes 10</t>
  </si>
  <si>
    <t>adj Jan '16 prev 3.213.000 e_11/1/2016 ; adjust Jan 2016 prev 3 jt</t>
  </si>
  <si>
    <t>Balapulang Wetan, Balapulang, Tegal RT
02/RW 03, Jawa Tengah 52464</t>
  </si>
  <si>
    <t>0852 26717162</t>
  </si>
  <si>
    <t>Mandiri : 1390009924337</t>
  </si>
  <si>
    <t>3328046808910005</t>
  </si>
  <si>
    <t>81.537.742.9-501.000</t>
  </si>
  <si>
    <t>0000163358201 OK</t>
  </si>
  <si>
    <t>vikafatwa@gmail.com</t>
  </si>
  <si>
    <t>OS1610003</t>
  </si>
  <si>
    <t>Ivon Kartika Arianti</t>
  </si>
  <si>
    <t>Jakarta, 08 September 1985</t>
  </si>
  <si>
    <t>Jl.Kp.Bulak Rt 004/002, Pondok Kacang Timur – Pondok Aren</t>
  </si>
  <si>
    <t>081532708585 / 081368854704</t>
  </si>
  <si>
    <t>Mandiri : 120-000-4858-788</t>
  </si>
  <si>
    <t>3674034809850017</t>
  </si>
  <si>
    <t xml:space="preserve">
69.423.603.5-416.000</t>
  </si>
  <si>
    <t>BPJS NO</t>
  </si>
  <si>
    <t>ivon.anti08@gmail.com</t>
  </si>
  <si>
    <t>OS1610006</t>
  </si>
  <si>
    <t>Gabby Arintasari</t>
  </si>
  <si>
    <t>Semarang, 5 Maret 1988</t>
  </si>
  <si>
    <t>Aston Rasuna Residence B / 12E, Jl. HR Rasuna Said, South Jakarta</t>
  </si>
  <si>
    <t>085740122225</t>
  </si>
  <si>
    <t>Mandiri : 102-00-5031988-5</t>
  </si>
  <si>
    <t>3174024503880004</t>
  </si>
  <si>
    <t>87.182.681.4-508.000</t>
  </si>
  <si>
    <t>gabbyarintasari@yahoo.com</t>
  </si>
  <si>
    <t>P1501004</t>
  </si>
  <si>
    <t>Priyo Adhi Wibowo</t>
  </si>
  <si>
    <t>Jakarta, 7 Januari 1983</t>
  </si>
  <si>
    <t>adjust Jan '16 prev 6.5 jt</t>
  </si>
  <si>
    <t>Lebak Bulus Raya 1 No.36 Rt/Rw.01/01 Cilandak, Jakarta Selatan</t>
  </si>
  <si>
    <t>021.7501460 / 085793072730</t>
  </si>
  <si>
    <t>Mandiri : 1030004315293</t>
  </si>
  <si>
    <t>3174060701830004</t>
  </si>
  <si>
    <t>77.172.430.9.016.000</t>
  </si>
  <si>
    <t>0001628833961 OK</t>
  </si>
  <si>
    <t>priyo.wibowo.ext@nsn.com, priyo.aw@gmail.com, priyo.wibowo@corphr-nokia.com</t>
  </si>
  <si>
    <t>resign 31/8/2017 last day 4/9/2017</t>
  </si>
  <si>
    <t>OS1510039</t>
  </si>
  <si>
    <t>Surianti</t>
  </si>
  <si>
    <t>Medan, 14 Desember 1977</t>
  </si>
  <si>
    <t>Document Controller IP RAN</t>
  </si>
  <si>
    <t>adj 1 Juli'17 prev 9.8 jt ; increment 1 Juli'16 prev 8.8 jt ; adjust 10% 1 Apr'16 prev 8 jt</t>
  </si>
  <si>
    <t>Jl. Denai Gg. Aneka No.6 Tegal Sari Mandala III, Medan Denai, Kota Medan</t>
  </si>
  <si>
    <t>061-7355639 / 081375092267 / 08566292191</t>
  </si>
  <si>
    <t>BCA : 3831351312</t>
  </si>
  <si>
    <t>1271045412770004</t>
  </si>
  <si>
    <t>49.477.022.5-122.000</t>
  </si>
  <si>
    <t>11027795738 / 0001645940733</t>
  </si>
  <si>
    <t>0001645940733 OK</t>
  </si>
  <si>
    <t>surianti_pattan@yahoo.co.id</t>
  </si>
  <si>
    <t>terminated 31/10/2017</t>
  </si>
  <si>
    <t>OS1701012</t>
  </si>
  <si>
    <t>Yuliani</t>
  </si>
  <si>
    <t>Jakarta, 16 Desember 1978</t>
  </si>
  <si>
    <t>Project Admin Core</t>
  </si>
  <si>
    <t>entitle transport allow per Okt'17 prev none ; entitle OT per Jan'17 e_10/5/2017</t>
  </si>
  <si>
    <t>Jl. Kemuning Blok C III/19 Rt/Rw.001/009 Sukatani, Tapos, Kota Depok</t>
  </si>
  <si>
    <t>BCA : 5385059725</t>
  </si>
  <si>
    <t>3276025612780010</t>
  </si>
  <si>
    <t>68.874.013.3.042.000</t>
  </si>
  <si>
    <t>yullie.anggreannie@gmail.com</t>
  </si>
  <si>
    <t>terminated 30/11/2017</t>
  </si>
  <si>
    <t>No =&gt; yes</t>
  </si>
  <si>
    <t>move project eff Mar'17 asuransi ttp 400 hinga 31 Des'17 ; entitle BB Jan '16 prev none ; adjust Jan '16 prev 5 jt</t>
  </si>
  <si>
    <t>OS1412022</t>
  </si>
  <si>
    <t>Ratih Andam Sari</t>
  </si>
  <si>
    <t>TL Betung, 4 September 1979</t>
  </si>
  <si>
    <t>Team Assistant</t>
  </si>
  <si>
    <t>adjust 8% per 1 Jul'16 prev 6,6 jt ; adjust 10% per 1 Nov'15 prev 6 jt ; adjust 1 Feb'15 prev 250 rb</t>
  </si>
  <si>
    <t>Jl. Angkutan H 112 KPAD Rt/Rw.003/006 Cipinang Melayu, Makasar, Jakarta Timur</t>
  </si>
  <si>
    <t>0899 8978949</t>
  </si>
  <si>
    <t>BCA : 6070154526</t>
  </si>
  <si>
    <t>3175084409790006</t>
  </si>
  <si>
    <t>49.476.419.4.005.000</t>
  </si>
  <si>
    <t>14023184741</t>
  </si>
  <si>
    <t>0001628834692 OK</t>
  </si>
  <si>
    <t>ratihandamsari@gmail.com, ratih.sari.ext@nokia.com</t>
  </si>
  <si>
    <t>contract ended</t>
  </si>
  <si>
    <t>OS1711004</t>
  </si>
  <si>
    <t>Cici Santia</t>
  </si>
  <si>
    <t>Brebes, 18 Februari 1992</t>
  </si>
  <si>
    <t>Desa Kubangsari RT03/05, Kec. Ketanggungan, Kab. Brebes, Jawa Tengah</t>
  </si>
  <si>
    <t>0812.1855.9433 / 0898.4295.990</t>
  </si>
  <si>
    <t>BNI : 0326330495 an Cici Santia</t>
  </si>
  <si>
    <t>3329165802920007</t>
  </si>
  <si>
    <t>76.192.990.0-501.000</t>
  </si>
  <si>
    <t>cici.santia1@gmail.com</t>
  </si>
  <si>
    <t>OS1507006</t>
  </si>
  <si>
    <t>Reivina Munzirrian</t>
  </si>
  <si>
    <t>Malang, 14 aug 1989</t>
  </si>
  <si>
    <t>RAN Project</t>
  </si>
  <si>
    <t>Jalan Rawa Dolar. Perum Grand Mutiara I A/50, Jatisampurna, Bekasi 17432</t>
  </si>
  <si>
    <t>BNI : 0204700909</t>
  </si>
  <si>
    <t>3275105408890009</t>
  </si>
  <si>
    <t>35.510.916.6-432.000</t>
  </si>
  <si>
    <t>0001738832512 OK</t>
  </si>
  <si>
    <t>mreivina@gmail.com</t>
  </si>
  <si>
    <t>OS1610004</t>
  </si>
  <si>
    <t>Hernika Ari Wibowo</t>
  </si>
  <si>
    <t>Nganjuk, 21 Januari 1988</t>
  </si>
  <si>
    <t>FM RAN</t>
  </si>
  <si>
    <t>Jl. Gajah Mada 08, Sengkut, Berbek, Nganjuk, Jawa Timur</t>
  </si>
  <si>
    <t>081392312888</t>
  </si>
  <si>
    <t>Mandiri : 136‐00‐0498462‐8</t>
  </si>
  <si>
    <t xml:space="preserve">3518032101880001
</t>
  </si>
  <si>
    <t>59.738.666.3‐655.000</t>
  </si>
  <si>
    <t>11023451310</t>
  </si>
  <si>
    <t>hernika.ariwibowo@gmail.com</t>
  </si>
  <si>
    <t>resign 31/3/2018</t>
  </si>
  <si>
    <t>Malang, 14 Agustus 1989</t>
  </si>
  <si>
    <t>National Progress Controller</t>
  </si>
  <si>
    <t>Extend I</t>
  </si>
  <si>
    <t>PKWT (Zen Armada)</t>
  </si>
  <si>
    <t>Posisi Allow</t>
  </si>
  <si>
    <t>TO</t>
  </si>
  <si>
    <t>OS1702143</t>
  </si>
  <si>
    <t>Febrinaldi</t>
  </si>
  <si>
    <t>Jakarta, 11 Pebruari 1981</t>
  </si>
  <si>
    <t>HCPT =&gt; Tsel =&gt; XL</t>
  </si>
  <si>
    <t>Technical Core and RAN =&gt; Technical Manager Zone 1</t>
  </si>
  <si>
    <t>adj 1 Feb '18 prev 15 jt ; change project eff 1 Jun'17 ; change posisi &amp; allow eff 1 Apr'17 prev 2 jt</t>
  </si>
  <si>
    <t>Kp. Pisangan RT 08 / RW 04, Kel. Ragunan Kec. Pasar Minggu</t>
  </si>
  <si>
    <t>081294170112 / 081210690118</t>
  </si>
  <si>
    <t>BCA : 7330353664</t>
  </si>
  <si>
    <t>3174041102810002</t>
  </si>
  <si>
    <t>59.573.621.6.017.000</t>
  </si>
  <si>
    <t>febrinaldi_nld@yahoo.co.id , febrinaldi@corphr-nokia.com</t>
  </si>
  <si>
    <t xml:space="preserve"> </t>
  </si>
  <si>
    <t>PKWT ZEN (Break)</t>
  </si>
  <si>
    <t>Email PM Indohr 10/4/2018</t>
  </si>
  <si>
    <t xml:space="preserve">From </t>
  </si>
  <si>
    <t>FROM</t>
  </si>
  <si>
    <t>OS1506020</t>
  </si>
  <si>
    <t>Afrian</t>
  </si>
  <si>
    <t>Serang, 01 April 1981</t>
  </si>
  <si>
    <t>Hcpt</t>
  </si>
  <si>
    <t xml:space="preserve">Pre Implementation </t>
  </si>
  <si>
    <t>adj 1 Jan '18 prev 12 jt ; entitle laptop 1 Nov '17 ; eff per 1 Jan '17 HB allw move to other allw e_06/12/16</t>
  </si>
  <si>
    <t>Perumahan Grand Depok City Cluster Acacia Blok K-35, Depok Jawa Barat</t>
  </si>
  <si>
    <t>08970044748 / 08176905467</t>
  </si>
  <si>
    <t>Mandiri : 126-00-0623359-6</t>
  </si>
  <si>
    <t xml:space="preserve"> 3174080104810004</t>
  </si>
  <si>
    <t>47.621.561.1-401.000</t>
  </si>
  <si>
    <t>12006584622</t>
  </si>
  <si>
    <t>0001653611747 OK</t>
  </si>
  <si>
    <t>afrian_ks@yahoo.co.id, afrian.1.afrian.ext@nokia.com
afrian.afrian@gmail.com</t>
  </si>
  <si>
    <t>As plan 30 Jun 2018</t>
  </si>
  <si>
    <t>afrian@corphr-nokia.com</t>
  </si>
  <si>
    <t>OS1505064</t>
  </si>
  <si>
    <t>Ananda Maryam Pradini</t>
  </si>
  <si>
    <t>Ujung Pandang, 2 November 1992</t>
  </si>
  <si>
    <t>Yes 10</t>
  </si>
  <si>
    <t>adj 10% eff 1 Feb'17 prev 3 jt</t>
  </si>
  <si>
    <t>Jln. Bayam No. 42 A Rt/Rw.003/002 Wajo Baru, Bontoala, Makassar</t>
  </si>
  <si>
    <t>0811-4442-598 / 0895-2461-6261 / 085231454101</t>
  </si>
  <si>
    <t>BCA : 7685148145</t>
  </si>
  <si>
    <t>7371064211920002</t>
  </si>
  <si>
    <t>73.010.324.9-801.000</t>
  </si>
  <si>
    <t>0000210148817 OK</t>
  </si>
  <si>
    <t>anandampradini@gmail.com, ananda.pradini@corphr-nokia.com</t>
  </si>
  <si>
    <t>Not Extend 31/05/2018</t>
  </si>
  <si>
    <t>Extend 31 May 2018</t>
  </si>
  <si>
    <t>OS1409005</t>
  </si>
  <si>
    <t>Bayu Kurniawan Suryanto</t>
  </si>
  <si>
    <t>Denpasar, 23 Januari 1986</t>
  </si>
  <si>
    <t>Network Optimization</t>
  </si>
  <si>
    <t>adj BS 20% eff per 1 Jan '17 prev. 24.187.560</t>
  </si>
  <si>
    <t>Jl Pandugo Timur I A-8 Surabaya</t>
  </si>
  <si>
    <t>031.8792964 / 0856 3330990</t>
  </si>
  <si>
    <t>BCA : 4290543709</t>
  </si>
  <si>
    <t>3578032301860001</t>
  </si>
  <si>
    <t>24.784.396.4.615.000</t>
  </si>
  <si>
    <t>1461040233 OK</t>
  </si>
  <si>
    <t>bayu02@gmail.com, bayu.kurniawan.ext@netservices.nokia.com, bayu.kurniawan@corphr-nokia.com</t>
  </si>
  <si>
    <t>OS1511023</t>
  </si>
  <si>
    <t>Desi Wiguntari</t>
  </si>
  <si>
    <t>Tanjung Karang, 24 Desember 1978</t>
  </si>
  <si>
    <t>BOQ Admin</t>
  </si>
  <si>
    <t>Jl. Imam Bonjol Gg. H Mutholib No.98 Rt.002 Gedong Air, Tanjung Karang Barat, Kota Bandar Lampung</t>
  </si>
  <si>
    <t>Mandiri : 1410004895231</t>
  </si>
  <si>
    <t>1871036412780005</t>
  </si>
  <si>
    <t>24.809.510.1.322.000</t>
  </si>
  <si>
    <t>0001644781882 OK</t>
  </si>
  <si>
    <t>wiguntari@yahoo.com, desi.wiguntari@corphr-nokia.com</t>
  </si>
  <si>
    <t>desi.wiguntari@corphr-nokia.com</t>
  </si>
  <si>
    <t>OS1510011</t>
  </si>
  <si>
    <t>Endang Sri Wahyuni</t>
  </si>
  <si>
    <t>Padang, 13 April 1981</t>
  </si>
  <si>
    <t>Batam =&gt; Surabaya =&gt; Medan =&gt; Jakarta 16 Aug 2017</t>
  </si>
  <si>
    <t>adj 1 Jan '18 prev 4,6 jt ; change other allow per Mei - Sept'17 prev 2 jt ; adj 15% eff 1 Mar'17 prev 4 jt n/e OT prev 10 jam ; eff 1 Mar'17 change HB ; eff per 1 Jan '17 HB allw move to other allw e_06/12/16; entitle temp reloc eff 1 Apr'16</t>
  </si>
  <si>
    <t>Jl. Payakumbuh 2, No 590 RT 2, RW 12. Kel. Surau Gadang, Kec. Nanggalo Padang, Sumatera Barat</t>
  </si>
  <si>
    <t>BCA : 0321945740</t>
  </si>
  <si>
    <t>1371105304810004</t>
  </si>
  <si>
    <t>68.657.051.6-201.000</t>
  </si>
  <si>
    <t>0001739541879 OK</t>
  </si>
  <si>
    <t>endang.4215@gmail.com, endang.wahyuni@corphr-nokia.com</t>
  </si>
  <si>
    <t>OS1506050</t>
  </si>
  <si>
    <t>Irma Dwianti Huranisa Santoso</t>
  </si>
  <si>
    <t>Jakarta Pusat, 21 April 1978</t>
  </si>
  <si>
    <t>SAAF Leader</t>
  </si>
  <si>
    <t>Jl. Penataran Raya Rt/Rw.005/003 Kalipancur, Ngaliyan, Kota Semarang</t>
  </si>
  <si>
    <t>089667999111 / 08562699111</t>
  </si>
  <si>
    <t>Mandiri : 1360001092714</t>
  </si>
  <si>
    <t>3374096104780001</t>
  </si>
  <si>
    <t xml:space="preserve">58.477.864.1.503.000 / </t>
  </si>
  <si>
    <t>10032701467</t>
  </si>
  <si>
    <t>0001652149934 OK</t>
  </si>
  <si>
    <t>irma.santoso@gmail.com, irma.santoso@corphr-nokia.com</t>
  </si>
  <si>
    <t>irma.santoso@corphr-nokia.com</t>
  </si>
  <si>
    <t>OS1511024</t>
  </si>
  <si>
    <t>Melike Widiakusuma</t>
  </si>
  <si>
    <t>Jakarta, 5 Februari 1977</t>
  </si>
  <si>
    <t>adjust 1 Agus'17 BS prev 6 jt insentive prev none ; change BB allow per Mei - Sept'17 prev 100 rb</t>
  </si>
  <si>
    <t>Komplek BPK IV No.C9 Rt/Rw.004/011 Kebon Jeruk, Jakarta Barat</t>
  </si>
  <si>
    <t>Mandiri : 1170094006418</t>
  </si>
  <si>
    <t>3173054502770001</t>
  </si>
  <si>
    <t>57.589.401.9.035.000</t>
  </si>
  <si>
    <t>0001647669543 OK</t>
  </si>
  <si>
    <t>m_widiakusuma@yahoo.com, melike.widiakusuma@corphr-nokia.com</t>
  </si>
  <si>
    <t>melike.widiakusuma@corphr-nokia.com</t>
  </si>
  <si>
    <t>OS1506096</t>
  </si>
  <si>
    <t>Ria Budi Utami</t>
  </si>
  <si>
    <t>Jakarta, 29 Desember 1988</t>
  </si>
  <si>
    <t>Project Support</t>
  </si>
  <si>
    <t>adj 1 Feb'18 BS prev 5.750 rb</t>
  </si>
  <si>
    <t>Jl. Ramah No.122 Rt/Rw.02/01 Pondok Rajeg, Cibinong Bogor</t>
  </si>
  <si>
    <t>0857 18889388</t>
  </si>
  <si>
    <t>Mandiri : 9000004622768</t>
  </si>
  <si>
    <t xml:space="preserve"> 3201016912880004</t>
  </si>
  <si>
    <t>44.352.794.0.412.000</t>
  </si>
  <si>
    <t>0001658555335 -KELUARGA</t>
  </si>
  <si>
    <t>ria.utami.ext@nokia.com, riabudiutami@yahoo.com, ria.budi@corphr-nokia.com, ria.budi@corphr-nokia.com</t>
  </si>
  <si>
    <t>ria.budi@corphr-nokia.com</t>
  </si>
  <si>
    <t>OS1311058</t>
  </si>
  <si>
    <t>Siti Mujenah</t>
  </si>
  <si>
    <t>adj 1 May '18 prev BS 6.850.000; adj 1 Jan '18 prev 6.099.894 ; adj 15% eff Juli 2016 prev 5.304.256 ; adjust per Des'14 prev 4.420.213</t>
  </si>
  <si>
    <t>Jl. Radio IV No. 31, RT/ RW. 004/004, Kramat Pela, Keb. Baru, Jakarta Selatan 12130</t>
  </si>
  <si>
    <t>0817 829543</t>
  </si>
  <si>
    <t>BCA : 2551215140</t>
  </si>
  <si>
    <t>59.060.066.4-019.000</t>
  </si>
  <si>
    <t>siti.mujenah.ext@nsn.com, siti.mujenah@corphr-nokia.com, siti.mujenah.ext@nokia.com</t>
  </si>
  <si>
    <t>siti.mujenah@corphr-nokia.com</t>
  </si>
  <si>
    <t>OS1506053</t>
  </si>
  <si>
    <t>Yogie Pratama</t>
  </si>
  <si>
    <t>Jakarta, 20 Februari 1987</t>
  </si>
  <si>
    <t>adjust eff 1 Feb '16 prev 7.144.509</t>
  </si>
  <si>
    <t>Jl. Tirtayasa Gg. H. Asep No.57 Kel. Kunciran, Kec. Pinang, 15144</t>
  </si>
  <si>
    <t>0821 26877971</t>
  </si>
  <si>
    <t>BCA : 3451896693</t>
  </si>
  <si>
    <t>3671112002870001</t>
  </si>
  <si>
    <t>69.008.901.6.416.000</t>
  </si>
  <si>
    <t>10015597148</t>
  </si>
  <si>
    <t>0001457721718 OK</t>
  </si>
  <si>
    <t>yogie.pratama.ext@nokia.com, yogie_moza@ymail.com, yogie.pratama@corphr-nokia.com</t>
  </si>
  <si>
    <t>yogie.pratama@corphr-nokia.com</t>
  </si>
  <si>
    <t>OS1602072</t>
  </si>
  <si>
    <t>Harry Setyadji Wicaksono</t>
  </si>
  <si>
    <t>Jakarta, 30 September 1983</t>
  </si>
  <si>
    <t>Sulawesi =&gt; Jakarta</t>
  </si>
  <si>
    <t>RNP</t>
  </si>
  <si>
    <t xml:space="preserve">adj 1 Jan '18 prev 10,5 jt ; change HB eff 1 Mar'17 ; eff per 1 Jan '17 HB allw move to other allw e_06/12/16; per 1 Sep '16 entitle insentive, position allw &amp; adj call allw prev 250rb </t>
  </si>
  <si>
    <t>Nirwana Estate Blok G No.19 Rt/Rw.003/011 Kel. Harapan Jaya Kec. Cibinong, Bogor</t>
  </si>
  <si>
    <t>0812 12649376 / 08567-334455</t>
  </si>
  <si>
    <t>BCA : 1670427087</t>
  </si>
  <si>
    <t>3201013009830007</t>
  </si>
  <si>
    <t>45.264.876.9.403.000</t>
  </si>
  <si>
    <t>0001630839205 OK</t>
  </si>
  <si>
    <t>f1606gd@yahoo.com, harry.setyadi@corphr-nokia.com</t>
  </si>
  <si>
    <t>OS1506018</t>
  </si>
  <si>
    <t>Badrul Muniriyadi</t>
  </si>
  <si>
    <t>Situbondo, 25 aug 1979</t>
  </si>
  <si>
    <t>HCPT</t>
  </si>
  <si>
    <t>Pre Implementation Coordinator</t>
  </si>
  <si>
    <t>eff per 1 Jan '17 HB allw move to other allw e_06/12/16</t>
  </si>
  <si>
    <t>Jl. Bumirejo Gg. III No. 2, Ds. Bumirejo RT 03/ RW 06, Desa Cukir Kec. Diwek, Jombang Jawa Timur</t>
  </si>
  <si>
    <t xml:space="preserve">081239535798 / 089680567925 / 0321 874918   </t>
  </si>
  <si>
    <t xml:space="preserve">BCA : 1210378541   </t>
  </si>
  <si>
    <t>3517082508790001</t>
  </si>
  <si>
    <t>59.447.563.4.602.000</t>
  </si>
  <si>
    <t>PESERTA MANDIRI</t>
  </si>
  <si>
    <t>badrul.muniriyadi@gmail.com, badrul.muniryadi@corphr-nokia.com</t>
  </si>
  <si>
    <t>OS1510014</t>
  </si>
  <si>
    <t>Marisitua Soham Batan Samosir</t>
  </si>
  <si>
    <t>Pasir Ajibata, 22 Maret 1983</t>
  </si>
  <si>
    <t>Jakarta =&gt; Medan =&gt; Jakarta 11 Aug 2017</t>
  </si>
  <si>
    <t>Project Technical Support</t>
  </si>
  <si>
    <t>adj 1 Jan '18 prev 7 jt ; change HB eff 1 Mar'17 ; eff per 1 Jan '17 HB allw move to other allw e_06/12/16; adj HB allw eff 1 okt '16 prev. 1.5jt</t>
  </si>
  <si>
    <t>Perum Grya Permata IV no.12 E, Tanjung Anom - Medan</t>
  </si>
  <si>
    <t>081260229155</t>
  </si>
  <si>
    <t>BCA : 7300107286</t>
  </si>
  <si>
    <t>1271142203830007</t>
  </si>
  <si>
    <t>89.627.292.9-008.000</t>
  </si>
  <si>
    <t>0001739541813 OK</t>
  </si>
  <si>
    <t>marisitua.samosir@gmail.com, marisitua.samosir@corphr-nokia.com</t>
  </si>
  <si>
    <t>marisitua.samosir@corphr-nokia.com</t>
  </si>
  <si>
    <t>OS1506002</t>
  </si>
  <si>
    <t>Andri Prasetia</t>
  </si>
  <si>
    <t>Pasuruan, 1 Mei 1981</t>
  </si>
  <si>
    <t xml:space="preserve">Bali  </t>
  </si>
  <si>
    <t>Pre Implementation</t>
  </si>
  <si>
    <t>entitle other allow per Mei'17 prev none</t>
  </si>
  <si>
    <t>Semolowaru Elok L 26, Surabaya - East Java, Post Code 60119</t>
  </si>
  <si>
    <t>08980106969</t>
  </si>
  <si>
    <t>Mandiri : 145 000 5562323</t>
  </si>
  <si>
    <t>3578090105810002</t>
  </si>
  <si>
    <t>97.755.455.9-606.000</t>
  </si>
  <si>
    <t>001124412671 OK</t>
  </si>
  <si>
    <t>andprasetia@gmail.com, andri.prasetya@corphr-nokia.com</t>
  </si>
  <si>
    <t>cancel termianated</t>
  </si>
  <si>
    <t>Not Extend 30 April 2018</t>
  </si>
  <si>
    <t>OS1107070</t>
  </si>
  <si>
    <t>Herry Setyo Nugroho</t>
  </si>
  <si>
    <t>Kendal, 1 Maret 1976</t>
  </si>
  <si>
    <t>SAAF Coordinator</t>
  </si>
  <si>
    <t>Perum Mutiara Gading Timur II, Blok Q1 No. 42 RT 01 / RW 28, Kel. Mustikajaya Kec. Mustika Jaya, Kota Bekasi</t>
  </si>
  <si>
    <t>081219957799</t>
  </si>
  <si>
    <t>BCA : 2551195912</t>
  </si>
  <si>
    <t>3275110103760003</t>
  </si>
  <si>
    <t>48.143.924.8-407.000</t>
  </si>
  <si>
    <t xml:space="preserve">0001630839284 OK </t>
  </si>
  <si>
    <t>herrysn95@gmail.com, herry.nugroho@corphr-nokia.com</t>
  </si>
  <si>
    <t>herry.nugroho@corphr-nokia.com</t>
  </si>
  <si>
    <t xml:space="preserve">OS1209004  </t>
  </si>
  <si>
    <t>A. Sopian</t>
  </si>
  <si>
    <t>Project Support - Office Assistant</t>
  </si>
  <si>
    <t>adj 1 Jan '18 prev 3.355.750 ; adj 1 Jan'17 prev 3.1 jt</t>
  </si>
  <si>
    <t>Jl. Matraman Jaya No.13 Rt/Rw.011/006 Pegangsaan, Jakarta Pusat</t>
  </si>
  <si>
    <t>082110054967 / 0812 12036730 / 93736171 / 021.98630062</t>
  </si>
  <si>
    <t>BCA : 3423447440 a.n A. Sofian</t>
  </si>
  <si>
    <t>3603230505810001</t>
  </si>
  <si>
    <t>Jamsos : 11035584447</t>
  </si>
  <si>
    <t>0001628023059 M2</t>
  </si>
  <si>
    <t>ahmadsof79@gmail.com, asofian692@gmail.com</t>
  </si>
  <si>
    <t>asofian692@gmail.com</t>
  </si>
  <si>
    <t>OS1612010</t>
  </si>
  <si>
    <t>Dedi Irwan Kusuma</t>
  </si>
  <si>
    <t>Surabaya, 14 September 1974</t>
  </si>
  <si>
    <t>Jl. Samadar No.40 Pulungan, Sedati, Sidoarjo 61253</t>
  </si>
  <si>
    <t>0318671760 / 08997612345</t>
  </si>
  <si>
    <t>BCA : 5065047834</t>
  </si>
  <si>
    <t>3515171409740001</t>
  </si>
  <si>
    <t>36.068.795.8.643.000</t>
  </si>
  <si>
    <t>12005444216</t>
  </si>
  <si>
    <t>dedi.kusuma@corphr-nokia.com, dedi.kusuma@gmail.com</t>
  </si>
  <si>
    <t>OS1508029</t>
  </si>
  <si>
    <t>Agus Suwanto</t>
  </si>
  <si>
    <t>Garut, 26 aug 1981</t>
  </si>
  <si>
    <t>Medan =&gt; Surabaya =&gt; Bali</t>
  </si>
  <si>
    <t>change HB eff 8 Apr'17 ; change HB eff 1 Mar'17</t>
  </si>
  <si>
    <t>Jl. Jawa Raya DM 2 No.8 Rt/Rw.006/006 Perumahan Kunciran Indah Kel. Kunciran, Kec. Pinang, Tangerang</t>
  </si>
  <si>
    <t>081266010998 / 089680590319</t>
  </si>
  <si>
    <t>BCA : 5520314476</t>
  </si>
  <si>
    <t>3671112608810004</t>
  </si>
  <si>
    <t>77.252.568.9.416.000</t>
  </si>
  <si>
    <t>agus2608@gmail.com, agus.suwanto@corphr-nokia.com</t>
  </si>
  <si>
    <t>As plan 31 May 2018</t>
  </si>
  <si>
    <t>OS1505093</t>
  </si>
  <si>
    <t>Hotbaru Silalahi</t>
  </si>
  <si>
    <t>Tapanuli Utara, 4 September 1971</t>
  </si>
  <si>
    <t>Field Manager  =&gt; Zone Manager</t>
  </si>
  <si>
    <t>entitle laptop allow 1 Feb'18 ; change posisi&amp;posisi allow eff 1 Feb'17 prev 2 jt</t>
  </si>
  <si>
    <t>Perum PWI Jaya Blok A1 No.2 Rt/Rw.001/008 Cilebut Barat, Sukaraja, Bogor</t>
  </si>
  <si>
    <t>082122297709 / 089605278808</t>
  </si>
  <si>
    <t>MANDIRI : 1330004320123</t>
  </si>
  <si>
    <t>3201040409710003</t>
  </si>
  <si>
    <t xml:space="preserve">25.341.324.9.403.000 / </t>
  </si>
  <si>
    <t>14010272798</t>
  </si>
  <si>
    <t>0001738832984 OK</t>
  </si>
  <si>
    <t>hotbaru_sie@yahoo.com;
hotbaru.silalahi@corphr-nokia.com, hotbaru@corphr-nokia.com</t>
  </si>
  <si>
    <t>OS1506054</t>
  </si>
  <si>
    <t>Rony Febriyanto</t>
  </si>
  <si>
    <t>Jakarta, 23 Februari 1980</t>
  </si>
  <si>
    <t>Project Engineer =&gt; Zone Manager</t>
  </si>
  <si>
    <t>change posisi&amp;entitle posisi allow eff 1 Feb'17</t>
  </si>
  <si>
    <t>Jl. Bulak Ringin No.49 Rt/Rw.008/003 Cibubur, Ciracas, Jakarta Timur 13720</t>
  </si>
  <si>
    <t>021.83704203 / 085216208478 / 089621824660</t>
  </si>
  <si>
    <t>BCA : 0212835704</t>
  </si>
  <si>
    <t>3174012302800007</t>
  </si>
  <si>
    <t>77.239.889.7.064.000</t>
  </si>
  <si>
    <t>ronny.febryanto@gmail.com, ronny.febryanto@ymail.com, rony.febriyanto@corphr-nokia.com, ronny.febrianto@corphr-nokia.com</t>
  </si>
  <si>
    <t>OS1701010</t>
  </si>
  <si>
    <t>Agung Prayitno</t>
  </si>
  <si>
    <t>Pati, 26 Januari 1982</t>
  </si>
  <si>
    <t>Sumatera (Bengkulu, Medan, Batam)</t>
  </si>
  <si>
    <t>Kp. Bojong Rangkong RT 05 / RW 01, Kel. Bintara Kec. Bekasi Barat, Bekasi</t>
  </si>
  <si>
    <t>081210851617 / 089611313288</t>
  </si>
  <si>
    <t>BCA : 6630410051</t>
  </si>
  <si>
    <t>3275022601820009</t>
  </si>
  <si>
    <t>49.148.850.8-407.000</t>
  </si>
  <si>
    <t>agung.prayitno.ext@gmail.com, agung.prayitno@corphr-nokia.com</t>
  </si>
  <si>
    <t>Shorten 31 May 2018</t>
  </si>
  <si>
    <t>OS1612040</t>
  </si>
  <si>
    <t>Liana Hesti Lestari</t>
  </si>
  <si>
    <t>Binjai, 08 Maret 1988</t>
  </si>
  <si>
    <t>Jl. Gunung Raya LK VI, Kel. Binjai Estate Kec. Binjai Selatan, Kota Binjai</t>
  </si>
  <si>
    <t>0895379119901</t>
  </si>
  <si>
    <t>Mandiri : 1060010826264</t>
  </si>
  <si>
    <t>1275054803880004</t>
  </si>
  <si>
    <t>733490916119000</t>
  </si>
  <si>
    <t>15038864698</t>
  </si>
  <si>
    <t>0001742537621</t>
  </si>
  <si>
    <t>liana@corphr-nokia.com, liana@corphr-nokia.com</t>
  </si>
  <si>
    <t>OS1702136</t>
  </si>
  <si>
    <t>Feby Yolanda</t>
  </si>
  <si>
    <t>Jakarta, 9 Pebruari 1986</t>
  </si>
  <si>
    <t>BoQ Cash In Admin</t>
  </si>
  <si>
    <t>THP = 7.457.533 incl. komunikasi, laptop, broadband</t>
  </si>
  <si>
    <t>Jl. Batu Kramat No. 41A RT 10 / RW 05, Kel. Batu Ampar Kec. Kramat Jati, Jakarta Timur</t>
  </si>
  <si>
    <t>021-8093260 / 081283172954</t>
  </si>
  <si>
    <t>BCA : 2551199748</t>
  </si>
  <si>
    <t>3175104902860001</t>
  </si>
  <si>
    <t>47.244.903.2-005.000</t>
  </si>
  <si>
    <t>Feby.yolanda@yahoo.com , febby.yolanda@corphr-nokia.com</t>
  </si>
  <si>
    <t>febby.yolanda@corphr-nokia.com</t>
  </si>
  <si>
    <t>OS1702137</t>
  </si>
  <si>
    <t>Try Rahayu Handayani</t>
  </si>
  <si>
    <t>Jakarta, 03 February 1983</t>
  </si>
  <si>
    <t>BoQ Sales</t>
  </si>
  <si>
    <t xml:space="preserve">adj 1 Jan '18 prev 7,5 jt </t>
  </si>
  <si>
    <t>Complex Timah Blok HH1/17 RT.007/12 Cimanggis Depok</t>
  </si>
  <si>
    <t xml:space="preserve">08170102234  </t>
  </si>
  <si>
    <t xml:space="preserve">BCA : 1662233018   </t>
  </si>
  <si>
    <t xml:space="preserve">3276024302830003   </t>
  </si>
  <si>
    <t>24.902.602.2.412.000</t>
  </si>
  <si>
    <t>10026778224 / 13043605586</t>
  </si>
  <si>
    <t>nandarahayu@yahoo.com       , nanda@corphr-nokia.com</t>
  </si>
  <si>
    <t>nanda@corphr-nokia.com</t>
  </si>
  <si>
    <t>OS1702138</t>
  </si>
  <si>
    <t>Heriyadi</t>
  </si>
  <si>
    <t>Cilacap, 22 Juli 1982</t>
  </si>
  <si>
    <t>Aceh - Medan</t>
  </si>
  <si>
    <t>RAN Engineer</t>
  </si>
  <si>
    <t>Jl. Kenari No.12 Rt/Rw.03/13 Kel. Tambakreja Kec. Cilacap Selatan, Kab. Cilacap, Jawa Tengah</t>
  </si>
  <si>
    <t>0282535317 / 0816689179</t>
  </si>
  <si>
    <t>CIMB : 5060139900114</t>
  </si>
  <si>
    <t>3301212207820001</t>
  </si>
  <si>
    <t>0001658555752</t>
  </si>
  <si>
    <t>heriyadi.hee@gmail.com, heriyadi@corphr-nokia.com</t>
  </si>
  <si>
    <t>OS1702141</t>
  </si>
  <si>
    <t>Roni</t>
  </si>
  <si>
    <t>Bandung, 12 November 1984</t>
  </si>
  <si>
    <t>Sukagalih Gg. H. Gojali No.140 Rt/Rw.006/007 Kel. Cipedes Kec. Sukajadi, Kota Bandung</t>
  </si>
  <si>
    <t xml:space="preserve">0896 71139132 /  0838-2251-6526   </t>
  </si>
  <si>
    <t xml:space="preserve">MANDIRI :  900 00 3664139 8    </t>
  </si>
  <si>
    <t xml:space="preserve"> 3273071211840005    </t>
  </si>
  <si>
    <t xml:space="preserve"> 66.530.962.1-614.000    </t>
  </si>
  <si>
    <t xml:space="preserve"> ronyy.ext@gmail.com, roni02270914@gmail.com, roniquinsha@yahoo.co.id, roni@corphr-nokia.com</t>
  </si>
  <si>
    <t>cancel terminated</t>
  </si>
  <si>
    <t>OS1702142</t>
  </si>
  <si>
    <t>Taukhid Wahyu Hidayat</t>
  </si>
  <si>
    <t>16 September 1975</t>
  </si>
  <si>
    <t>Regional Progress Control and IPM Administrator</t>
  </si>
  <si>
    <t>Grand Tembalang Regeny Blok A/ 8-9, Bulusan, Tembalang, Semarang 50277</t>
  </si>
  <si>
    <t>0813 25120325 / 08999 222121</t>
  </si>
  <si>
    <t>Bukopin : 3401000490</t>
  </si>
  <si>
    <t>25.125.895.0-517.000</t>
  </si>
  <si>
    <t>0001847677994 OK</t>
  </si>
  <si>
    <t>taukhid.hidayat.ext@nokia.com, taukhid.hidayat@corphr-nokia.com, taukhid.hidayat@corphr-nokia.com</t>
  </si>
  <si>
    <t>OS1703049</t>
  </si>
  <si>
    <t>Oky Wardhana</t>
  </si>
  <si>
    <t>Kediri, 29 Oktober 1982</t>
  </si>
  <si>
    <t>adj BS eff 1 Jun '18 prev 20jt NETT; THP = 25 juta</t>
  </si>
  <si>
    <t>Pondok Maritim Indah Blok AJ-67 Surabaya</t>
  </si>
  <si>
    <t>089609990646</t>
  </si>
  <si>
    <t xml:space="preserve">BCA : 2581731550   </t>
  </si>
  <si>
    <t>3578012910820003</t>
  </si>
  <si>
    <t>57.875.823.7-622.000</t>
  </si>
  <si>
    <t>0002038379499 OK</t>
  </si>
  <si>
    <t>oky.wardhana@gmail.com, oky.wardhana@corphr-nokia.com</t>
  </si>
  <si>
    <t>OS1702145</t>
  </si>
  <si>
    <t>Tika Valentina</t>
  </si>
  <si>
    <t>Pemalang, 14 aug 1986</t>
  </si>
  <si>
    <t>POR Admin</t>
  </si>
  <si>
    <t>adj Feb'18 BS prev 6.5 jt &amp; entitle project/other allow Feb-Mar'18 ; entitle OT lumpsum eff 1 Mar'17 prev none</t>
  </si>
  <si>
    <t>Jl. H. Mahmud 1 No. 2A Pancoran Timur 3 RT 10/ RW 08, Pancoran 3, Jakarta Selatan 12770</t>
  </si>
  <si>
    <t>082112471329</t>
  </si>
  <si>
    <t>BCA : 80300636679</t>
  </si>
  <si>
    <t>3174085408861001</t>
  </si>
  <si>
    <t>24.989.645.7.502.000</t>
  </si>
  <si>
    <t>14041803181</t>
  </si>
  <si>
    <t>TIKA.ANJANI@GMAIL.COM, tika.valentina@corphr-nokia.com</t>
  </si>
  <si>
    <t>tika.valentina@corphr-nokia.com</t>
  </si>
  <si>
    <t>OS1702147</t>
  </si>
  <si>
    <t>Cornelia Verdiana</t>
  </si>
  <si>
    <t>Jakarta, 9 Mei 1995</t>
  </si>
  <si>
    <t>Project Admin Acceptance</t>
  </si>
  <si>
    <t>adj 1 Jan '18 prev 4 jt ; adjust Juli'17 prev 3.355.750 ; entitle laptop eff 9 feb'17 prev none CA prev 100 rb</t>
  </si>
  <si>
    <t>Jl. Zamrud Utara Blok S.3/1, Dukuh Zamrud Kota Legenda RT 02 / RW 11</t>
  </si>
  <si>
    <t>021.2211490 / 081295097722</t>
  </si>
  <si>
    <t>MANDIRI : 1560011934231</t>
  </si>
  <si>
    <t>3275114905950004</t>
  </si>
  <si>
    <t>81.238.266.143.2.000</t>
  </si>
  <si>
    <t>0000038824705 MUSTIKA JAYA</t>
  </si>
  <si>
    <t>CORNELIAVERDIANA9@GMAIL.COM</t>
  </si>
  <si>
    <t>As plan 31 Oct 2018</t>
  </si>
  <si>
    <t>OS1702162</t>
  </si>
  <si>
    <t>Hena Christina Tarigan</t>
  </si>
  <si>
    <t>Ciamis, 24 Desember 1985</t>
  </si>
  <si>
    <t>Documentation Controling and Permit</t>
  </si>
  <si>
    <t>Pamarican Rt.05 Rw.02 No.418 Kel. Pamarican, Ciamis - Jawa Barat 46382</t>
  </si>
  <si>
    <t>081233668393</t>
  </si>
  <si>
    <t>MANDIRI : 1310010772343</t>
  </si>
  <si>
    <t>3516096412850001</t>
  </si>
  <si>
    <t>79.089.669.0.442.000</t>
  </si>
  <si>
    <t>HENA.CTGAN@GMAIL.COM, hena.tarigan@corphr-nokia.com</t>
  </si>
  <si>
    <t>OS1702171</t>
  </si>
  <si>
    <t>Apryan Budyharto</t>
  </si>
  <si>
    <t>Lamongan, 06 April 1987</t>
  </si>
  <si>
    <t>Bali Lombok =&gt; Jawa Timur 28/9/2017</t>
  </si>
  <si>
    <t>Documentation Controlling &amp; Permit</t>
  </si>
  <si>
    <t>Ds. Mojodadi RT. 001/RW. 004 Kec. Kedungpring Kab. Lamongan</t>
  </si>
  <si>
    <t>089515908889 / 082232340405</t>
  </si>
  <si>
    <t>BCA : 2582141615</t>
  </si>
  <si>
    <t>3524060604870001</t>
  </si>
  <si>
    <t>46.450.732.6.645.000</t>
  </si>
  <si>
    <t>0001653611938 DRADAH</t>
  </si>
  <si>
    <t>apryan.budyharto@gmail.com, apryan.budyharto@corphr-nokia.com</t>
  </si>
  <si>
    <t>Extend 30 Jun 2018</t>
  </si>
  <si>
    <t>OS1702175</t>
  </si>
  <si>
    <t>Kombang Siregar</t>
  </si>
  <si>
    <t>Ganal, 15 Maret 1983</t>
  </si>
  <si>
    <t>Jl.K.H Dewantara Wek V.Pasar Binanga.Kec.Barumun Tengah,Kab Padang Lawas,Prov Sumatra Utara.Kode Pos 22755</t>
  </si>
  <si>
    <t xml:space="preserve">085372965990   </t>
  </si>
  <si>
    <t xml:space="preserve">CIMB NIAGA : 506-01-39898-11-3   </t>
  </si>
  <si>
    <t xml:space="preserve">1221031503830001   </t>
  </si>
  <si>
    <t xml:space="preserve">59.535.075.2-016.000   </t>
  </si>
  <si>
    <t>kombang.siregar83@gmail.com       , kombang.siregar@corphr-nokia.com</t>
  </si>
  <si>
    <t>OS1702184</t>
  </si>
  <si>
    <t>Asep Patriana</t>
  </si>
  <si>
    <t>Majalengka, 17 April 1981</t>
  </si>
  <si>
    <t>PE GNIC Integration</t>
  </si>
  <si>
    <t xml:space="preserve">entitle laptop allow Jun'17 prev none ; </t>
  </si>
  <si>
    <t>Blok Cibogo RT 04 RW 16 Desa Burujul Kulon Kecamatan Jatiwangi Kabupaten Majalengka, Jawa Barat 45454</t>
  </si>
  <si>
    <t>081319005354</t>
  </si>
  <si>
    <t>BNI : 0024416434</t>
  </si>
  <si>
    <t>3210111704810141</t>
  </si>
  <si>
    <t>58.478.234.6.438.000</t>
  </si>
  <si>
    <t>0001643867908 JATIWANGI</t>
  </si>
  <si>
    <t>asep.patriana@gmail.com, asp_ptr@yahoo.com, asep.patriana@corphr-nokia.com</t>
  </si>
  <si>
    <t>asep.patriana@corphr-nokia.com</t>
  </si>
  <si>
    <t>OS1703028</t>
  </si>
  <si>
    <t>Harseno Ridhol Haqqi</t>
  </si>
  <si>
    <t>Surabaya, 28 Juli 1984</t>
  </si>
  <si>
    <t>PLO 2G &amp; LTE</t>
  </si>
  <si>
    <t>Jl. Raflesia Vi No. 29 Rt. 10/08 Kav. Perwirasari Kel. Perwira Kec. Bekasi Utara Bekasi 17122</t>
  </si>
  <si>
    <t xml:space="preserve">&amp;628122586658  </t>
  </si>
  <si>
    <t xml:space="preserve">MANDIRI : 070-00-0541200-7   </t>
  </si>
  <si>
    <t xml:space="preserve">3275032807840017   </t>
  </si>
  <si>
    <t xml:space="preserve">50.010.385.9-526.000   </t>
  </si>
  <si>
    <t>0001461980384 KLINIK SIERRA MITRA</t>
  </si>
  <si>
    <t xml:space="preserve">ridholhaq@gmail.com       </t>
  </si>
  <si>
    <t>OS1702200</t>
  </si>
  <si>
    <t>Siska Maya Sari</t>
  </si>
  <si>
    <t>Banda Dalam, 06 Mei 1990</t>
  </si>
  <si>
    <t>2G LTE</t>
  </si>
  <si>
    <t>Jl.Wisma PGRI Gang PGRI No.2 RT.003/ RW.012 Kel.Delima Kec.Tampan, Pekanbaru</t>
  </si>
  <si>
    <t xml:space="preserve">08117099605  </t>
  </si>
  <si>
    <t xml:space="preserve">MANDIRI : 1080013378071   </t>
  </si>
  <si>
    <t xml:space="preserve">1307104605900001   </t>
  </si>
  <si>
    <t>837957810216000</t>
  </si>
  <si>
    <t>0001507119142 KLINIK SANSANI</t>
  </si>
  <si>
    <t>siskamayasari48@gmail.com       , siska.maya@corphr-nokia.com</t>
  </si>
  <si>
    <t>OS1702209</t>
  </si>
  <si>
    <t>Aryanti</t>
  </si>
  <si>
    <t>Lampung, 28 Februari 1973</t>
  </si>
  <si>
    <t>Jl. Teratai Putih 1/3/133 RT.004/04 Malaka Sari Perumnas Klender, Jakarta Timur</t>
  </si>
  <si>
    <t xml:space="preserve">08128007343   </t>
  </si>
  <si>
    <t>BCA : 2550034231</t>
  </si>
  <si>
    <t xml:space="preserve">3175076802730015   </t>
  </si>
  <si>
    <t xml:space="preserve">07.164.482 7-008.000   </t>
  </si>
  <si>
    <t xml:space="preserve">16048240614 </t>
  </si>
  <si>
    <t>aryanthi2003@yahoo.com, ariyanti@corphr-nokia.com, aryanti.aryanti.ext@nokia.com</t>
  </si>
  <si>
    <t>ariyanti@corphr-nokia.com</t>
  </si>
  <si>
    <t>OS1703041</t>
  </si>
  <si>
    <t>Alfreddy Maruli</t>
  </si>
  <si>
    <t>Jakarta, 24 April 1985</t>
  </si>
  <si>
    <t>Palembang =&gt; Jakarta 1 Sep 17</t>
  </si>
  <si>
    <t>Project Admin Document ( Pre Implementation – Post Implementation)</t>
  </si>
  <si>
    <t>Jl. Pelopor 3 Rt 001/ 05 No. 5 Kel Tegal ALur Kec : Kalideres Jakarta Barat 11820</t>
  </si>
  <si>
    <t xml:space="preserve">081381211029  </t>
  </si>
  <si>
    <t xml:space="preserve">MANDIRI : 1180007241291   </t>
  </si>
  <si>
    <t xml:space="preserve">3173062404850009   </t>
  </si>
  <si>
    <t xml:space="preserve">24.969.728.5-085.000   </t>
  </si>
  <si>
    <t>001314601929 KLINIK YADIKA TEGAL ALUR</t>
  </si>
  <si>
    <t>alfreddy.maruli@gmail.com, alfreddy.maruli@corphr-nokia.com</t>
  </si>
  <si>
    <t>OS1703055</t>
  </si>
  <si>
    <t>Parulian Enike Hartati Napitupulu</t>
  </si>
  <si>
    <t>Medan, 10 April 1980</t>
  </si>
  <si>
    <t>WCC Partner</t>
  </si>
  <si>
    <t>Jl. Seroja III Blok XIV No. 155 Kel. Helvetia Tengah, Kec. Medan Helvetia Kota Medan</t>
  </si>
  <si>
    <t>BCA : 3490894844</t>
  </si>
  <si>
    <t>1271035004800003</t>
  </si>
  <si>
    <t>24.701.872.4.124.000</t>
  </si>
  <si>
    <t>enike.napitupulu@gmail.com, napitupulu_uli@yahoo.co.id, uli.napitupulu@corphr-nokia.com</t>
  </si>
  <si>
    <t>OS1703059</t>
  </si>
  <si>
    <t>Amat Akbar</t>
  </si>
  <si>
    <t>Medan, 29 Desember 1991</t>
  </si>
  <si>
    <t>RI&amp;RJ only employee</t>
  </si>
  <si>
    <t>Jl. Pintu Air IV Gg. Damai No.1B Lk IU Medan, Kwala Bekala, Medan Johor, Kota Medan</t>
  </si>
  <si>
    <t>0857 6787 5427</t>
  </si>
  <si>
    <t>BCA 8205189340</t>
  </si>
  <si>
    <t>1271112912910003</t>
  </si>
  <si>
    <t>OS1703071</t>
  </si>
  <si>
    <t>Faisal Rivai Hasibuan</t>
  </si>
  <si>
    <t>Medan 5 dec 1986</t>
  </si>
  <si>
    <t>PE Material</t>
  </si>
  <si>
    <t>THP = 13.5 jt NETT</t>
  </si>
  <si>
    <t>Jl. Selamat Gg. Sederhana no 7 Kecamatan: Medan Denai, Medan Sumatera Utara</t>
  </si>
  <si>
    <t xml:space="preserve">081535335399 / 089658100777  </t>
  </si>
  <si>
    <t xml:space="preserve">BCA : 1950956786   </t>
  </si>
  <si>
    <t xml:space="preserve">1271040512860001   </t>
  </si>
  <si>
    <t xml:space="preserve">24.872.866.9-122.000   </t>
  </si>
  <si>
    <t>faisal.rivai@gmail.com, faisal.rivai@corphr-nokia.com</t>
  </si>
  <si>
    <t>OS1703072</t>
  </si>
  <si>
    <t>Hanafi Salim Siagian</t>
  </si>
  <si>
    <t>Bandung, 20 April 1980</t>
  </si>
  <si>
    <t>Jl.Suka Karya II, RT026/RW009, kel Sukamaju, Kec Sako Palembang</t>
  </si>
  <si>
    <t xml:space="preserve">089622520440  </t>
  </si>
  <si>
    <t xml:space="preserve">Mandiri :113-00-1048315-8   </t>
  </si>
  <si>
    <t xml:space="preserve">1671082004800010   </t>
  </si>
  <si>
    <t xml:space="preserve">24.994.666.6-301.000   </t>
  </si>
  <si>
    <t>Puskesmas Punti Kayu</t>
  </si>
  <si>
    <t xml:space="preserve">hanafi.siagian@gmail.com       </t>
  </si>
  <si>
    <t>OS1704023</t>
  </si>
  <si>
    <t>Dudy Noor Iskandar</t>
  </si>
  <si>
    <t>Manokwari 5 November 1974</t>
  </si>
  <si>
    <t>Field Manager</t>
  </si>
  <si>
    <t>adj 1 Jan '18 THP = 18 jt Nett BS prev 12 jt nett pos allow prev 1.750 jt nett ; THP = 17 jt NETT</t>
  </si>
  <si>
    <t>Kompleks Cibiru Asri Blok H17 RT 03/17 Desa Cibiru wetan Kel Cileunyi Kab bandung 40625</t>
  </si>
  <si>
    <t xml:space="preserve">081214475515  </t>
  </si>
  <si>
    <t xml:space="preserve">Mandiri : 9000012448636   </t>
  </si>
  <si>
    <t xml:space="preserve">3204050511740007   </t>
  </si>
  <si>
    <t xml:space="preserve">093545762423000   </t>
  </si>
  <si>
    <t xml:space="preserve">16040987568   </t>
  </si>
  <si>
    <t xml:space="preserve">iskandarnoor05@gmail.com       </t>
  </si>
  <si>
    <t>OS1704038</t>
  </si>
  <si>
    <t>Ervin Kurniawan</t>
  </si>
  <si>
    <t>Garut, 3 Juni 1992</t>
  </si>
  <si>
    <t>adj 1 Jan '18 BS prev 6 jt other allow none</t>
  </si>
  <si>
    <t>Kp. Ciarileu Ds. Girijaya Kec. Cikajang Kab. Garut - Jabar</t>
  </si>
  <si>
    <t xml:space="preserve">08978888738 / 082247919155  </t>
  </si>
  <si>
    <t xml:space="preserve">BCA : 7750741392   </t>
  </si>
  <si>
    <t xml:space="preserve">3205220107920063   </t>
  </si>
  <si>
    <t xml:space="preserve">140352804294   </t>
  </si>
  <si>
    <t xml:space="preserve">ervin.kang1@gmail.com       </t>
  </si>
  <si>
    <t>OS1610008</t>
  </si>
  <si>
    <t>Firman</t>
  </si>
  <si>
    <t>Jakarta , 23 Maret 1980</t>
  </si>
  <si>
    <t>SF =&gt; HCPT</t>
  </si>
  <si>
    <t>adjust BS per 1 Apr'17 prev 6 jt</t>
  </si>
  <si>
    <t>Jl. Tribrata No. 69 RT 029 / RW 005  Kel. Pahlawan Kec. Kemuning  Palembang , Sumatera Selatan</t>
  </si>
  <si>
    <t>081278004121</t>
  </si>
  <si>
    <t>Mandiri : 070-00-0216293-6</t>
  </si>
  <si>
    <t>1671092303800003</t>
  </si>
  <si>
    <t>69.423.590.4-033.000</t>
  </si>
  <si>
    <t>firman.2303@gmail.com</t>
  </si>
  <si>
    <t>OS1708035</t>
  </si>
  <si>
    <t>Fitri Hartanti</t>
  </si>
  <si>
    <t>Jakarta, 6 Januari 1977</t>
  </si>
  <si>
    <t>BOQ Cash In Admin</t>
  </si>
  <si>
    <t>Jl. Kelapa Muda, Jagakarsa, Pasar Minggu, Jakarta Selatan (Jl. Tengki No. 24 RT 03 / RW 03, Cipayung Jakarta Timur)</t>
  </si>
  <si>
    <t>BCA No. 255-1239189 a/n Fitri Hartanti</t>
  </si>
  <si>
    <t>3174094601771001</t>
  </si>
  <si>
    <t>472449271017000</t>
  </si>
  <si>
    <t>13043605024</t>
  </si>
  <si>
    <t>0001644779924</t>
  </si>
  <si>
    <t>fitri.hartanti.ext@nokia.com</t>
  </si>
  <si>
    <t xml:space="preserve"> OS1708054</t>
  </si>
  <si>
    <t>Sultan Al Alaq</t>
  </si>
  <si>
    <t>Kendari, 17 Maret 1994</t>
  </si>
  <si>
    <t>adj 1 Jan '18 prev 3 jt</t>
  </si>
  <si>
    <t>Jl. Jati Raya RT 07 / RW 02, Kel. Wowawanggu Kec. Kadia, Kota Kendari</t>
  </si>
  <si>
    <t>081282414979</t>
  </si>
  <si>
    <t>BRI : 140701001043509</t>
  </si>
  <si>
    <t>7403111703940204</t>
  </si>
  <si>
    <t>sultanaaq1@gmail.com</t>
  </si>
  <si>
    <t>OS1708063</t>
  </si>
  <si>
    <t>Karlina Budiyosyepa</t>
  </si>
  <si>
    <t>Garut, 28 April 1988</t>
  </si>
  <si>
    <t>Admin MS Asset</t>
  </si>
  <si>
    <t>Perumahan Bumi Suci Permai Blok 1, NO 2 RT 01/ RW 07. Garut</t>
  </si>
  <si>
    <t>089662466642</t>
  </si>
  <si>
    <t>BCA : 5345006360</t>
  </si>
  <si>
    <t>3205026804860001</t>
  </si>
  <si>
    <t>354879702443000</t>
  </si>
  <si>
    <t>14040681430</t>
  </si>
  <si>
    <t>karlina384@gmail.com</t>
  </si>
  <si>
    <t>OS1709039</t>
  </si>
  <si>
    <t>Erni Andriani</t>
  </si>
  <si>
    <t>Garut, 2 Desember 1981</t>
  </si>
  <si>
    <t>Senior Acceptance</t>
  </si>
  <si>
    <t>Yes w/ child</t>
  </si>
  <si>
    <t>Jl. Asrama Polisi No. 373 RT 03 / RW 05, Kec. Bayongbong, Garut 44162</t>
  </si>
  <si>
    <t>087882074774 / (0262) 543208</t>
  </si>
  <si>
    <t>Mandiri : 1310004783405</t>
  </si>
  <si>
    <t>3205174212810003</t>
  </si>
  <si>
    <t>47.245.035.2-443.000</t>
  </si>
  <si>
    <t xml:space="preserve"> 13043607103</t>
  </si>
  <si>
    <t>0001628301453</t>
  </si>
  <si>
    <t>eandrian12@gmail.com</t>
  </si>
  <si>
    <t>OS1709040</t>
  </si>
  <si>
    <t>Oktafiandy Dwi Sandi</t>
  </si>
  <si>
    <t>Medan, 06 Januari 1982</t>
  </si>
  <si>
    <t>Engineer Transport =&gt; Field Manager 1/11/2017</t>
  </si>
  <si>
    <t>change posisi &amp; entitle allowance per 1 Nov'17</t>
  </si>
  <si>
    <t>HM Said-Durian Gg. Demokrat No. 6, Kel. Sidorame Barat Kota Medan</t>
  </si>
  <si>
    <t>08999867773</t>
  </si>
  <si>
    <t>Mandiri : 1050009917141 a.n Oktafiandy Dwisandy</t>
  </si>
  <si>
    <t>1271180610820001</t>
  </si>
  <si>
    <t>250414901113000</t>
  </si>
  <si>
    <t>oktafiandydwisandy@gmail.com</t>
  </si>
  <si>
    <t>OS1710040</t>
  </si>
  <si>
    <t>Benyamin Panjaitan</t>
  </si>
  <si>
    <t>Jakarta, 21 November 1979</t>
  </si>
  <si>
    <t>Zone Manager Bali Nusra</t>
  </si>
  <si>
    <t>eff 1 Mar '18 entitle laptop</t>
  </si>
  <si>
    <t>Permata Green Cinere Blok L/12 RT: 07 RW: 07 Jl. Raya Meruyung, Kec. Limo, Kel. Meruyung, Depok</t>
  </si>
  <si>
    <t>089626106026</t>
  </si>
  <si>
    <t>MANDIRI : 0060004409045</t>
  </si>
  <si>
    <t>3275012111790027</t>
  </si>
  <si>
    <t>68.879.745.5-008.000</t>
  </si>
  <si>
    <t>0002037699808</t>
  </si>
  <si>
    <t>benyaminpanjaitan@gmail.com</t>
  </si>
  <si>
    <t>already jun '18</t>
  </si>
  <si>
    <t>OS1702154</t>
  </si>
  <si>
    <t>Lesman Sudianto Nainggolan</t>
  </si>
  <si>
    <t>Panti, 27 Nopember 1979</t>
  </si>
  <si>
    <t>QHS</t>
  </si>
  <si>
    <t>Jl. Jayapura RT 27, Kel. Sumber Sari Kec. Rimbo Ulu, Tebo</t>
  </si>
  <si>
    <t xml:space="preserve">081272467222  </t>
  </si>
  <si>
    <t xml:space="preserve">BCA : 0050349641   </t>
  </si>
  <si>
    <t xml:space="preserve">1509072711790001   </t>
  </si>
  <si>
    <t xml:space="preserve">79.744.432.0-332.000   </t>
  </si>
  <si>
    <t>lesman.sudianto@gmail.com, lesman.sudianto@corphr-nokia.com</t>
  </si>
  <si>
    <t>OS1710071</t>
  </si>
  <si>
    <t>Dwiki Marchiano Sahar</t>
  </si>
  <si>
    <t>Jakarta, 29 Maret 1986</t>
  </si>
  <si>
    <t>Field Manager MW ALU</t>
  </si>
  <si>
    <t>Sindang Barang Bendungan RT 02/02, Kel.Sindang Barang, Kec. Kota Bogor Barat, Kota Bogor 16117</t>
  </si>
  <si>
    <t>082110474001</t>
  </si>
  <si>
    <t>BCA : 6310218144</t>
  </si>
  <si>
    <t>3271052903860002</t>
  </si>
  <si>
    <t>81.588.825.0-404.000</t>
  </si>
  <si>
    <t>14024713290</t>
  </si>
  <si>
    <t>0002221856111</t>
  </si>
  <si>
    <t>dwiki.marchiano86@gmail.com</t>
  </si>
  <si>
    <t>OS1702155</t>
  </si>
  <si>
    <t>Septian Edy Saputra</t>
  </si>
  <si>
    <t>Jakarta, 19 September 1990</t>
  </si>
  <si>
    <t>TSSR + Colo Form + SAAF + Issue + Documentation</t>
  </si>
  <si>
    <t>Kav. Setiabudi RT 01 / RW 05, Kel. Cipadu Kec. Larangan, Kota Tangerang</t>
  </si>
  <si>
    <t>081291701650</t>
  </si>
  <si>
    <t>MANDIRI : 9000016080906</t>
  </si>
  <si>
    <t>3671131909900004</t>
  </si>
  <si>
    <t>46.300.250.1.416.000</t>
  </si>
  <si>
    <t>0001369795331</t>
  </si>
  <si>
    <t>SEPTIANFREE@GMAIL.COM, SEPTIAN227@GMAIL.COM</t>
  </si>
  <si>
    <t>cancel termianted</t>
  </si>
  <si>
    <t>SEPTIAN227@GMAIL.COM</t>
  </si>
  <si>
    <t>OS1711006</t>
  </si>
  <si>
    <t>Taufik Akbar</t>
  </si>
  <si>
    <t>Kuaran, 25 Mei 1993</t>
  </si>
  <si>
    <t>Dusun I Kuapan RT 04 / RW 02, Kel. Kuapan Kec. Tambang, Kampar</t>
  </si>
  <si>
    <t>082386154592 / 081276034367</t>
  </si>
  <si>
    <t>MANDIRI : 1080015113641</t>
  </si>
  <si>
    <t>1401032505930004</t>
  </si>
  <si>
    <t>OS1711003</t>
  </si>
  <si>
    <t>Dian Marissa</t>
  </si>
  <si>
    <t>Jakarta, 1 Januari 1980</t>
  </si>
  <si>
    <t>Jl. Daud I Rt.002 Rw.08 No.32, Kel. Sukabumi Utara, Kec. Kebon Jeruk, Jakarta 11540</t>
  </si>
  <si>
    <t>08111847101</t>
  </si>
  <si>
    <t>BCA : 2550022764</t>
  </si>
  <si>
    <t>3173054101800003</t>
  </si>
  <si>
    <t>47.245.033.7-035.000</t>
  </si>
  <si>
    <t>dian.marissa@yahoo.com</t>
  </si>
  <si>
    <t>OS1711031</t>
  </si>
  <si>
    <t>Ina Ratnawati</t>
  </si>
  <si>
    <t>Jakarta, 20 Oktober 1980</t>
  </si>
  <si>
    <t>yes cover anak</t>
  </si>
  <si>
    <t>Jl. Cemara II A3/5 Komp Pemda RT 01 / RW 02, Kel. Jatiasih Kec. Jatiasih, Kota Bekasi</t>
  </si>
  <si>
    <t>021 82417140 / 0877 8028 2400</t>
  </si>
  <si>
    <t>BCA : 1451217670</t>
  </si>
  <si>
    <t>3275096010800022</t>
  </si>
  <si>
    <t>676344906432000</t>
  </si>
  <si>
    <t>13043606931</t>
  </si>
  <si>
    <t>inaratnawati15@yahoo.com, inaratnawati15@gmail.com</t>
  </si>
  <si>
    <t>inaratnawati15@gmail.com</t>
  </si>
  <si>
    <t>OS1711054</t>
  </si>
  <si>
    <t>Tiara Novitasari</t>
  </si>
  <si>
    <t>Agaralam, 8 November 1993</t>
  </si>
  <si>
    <t>BTN Griya Dempo Indah RT 07 / RW 03, Kel. Bangun Rejo Kec. Pagaralam Utara</t>
  </si>
  <si>
    <t>082133609440</t>
  </si>
  <si>
    <t>MANDIRI : 112-00-1068738-7</t>
  </si>
  <si>
    <t>1672014811930004</t>
  </si>
  <si>
    <t>tiaranovitasari11@gmail.com</t>
  </si>
  <si>
    <t>OS1801057</t>
  </si>
  <si>
    <t>Al Ihsan</t>
  </si>
  <si>
    <t>Bandar Lampung, 29 November 1987</t>
  </si>
  <si>
    <t>PLO Lead</t>
  </si>
  <si>
    <t>THP 34 jt NETT</t>
  </si>
  <si>
    <t>Jl. Albarkah Gg. Damai, No.40, RT12/RW003, Manggarai Selatan, Tebet, Jakarta Selatan</t>
  </si>
  <si>
    <t>0853 7876 2656</t>
  </si>
  <si>
    <t>MANDIRI 1140007272449</t>
  </si>
  <si>
    <t>1801062911870002</t>
  </si>
  <si>
    <t>16.328.289.0-325.000</t>
  </si>
  <si>
    <t>15008427278</t>
  </si>
  <si>
    <t>0001643878809</t>
  </si>
  <si>
    <t>al.ihsan.rno@gmail.com</t>
  </si>
  <si>
    <t>Sumatera</t>
  </si>
  <si>
    <t>NPO Lead</t>
  </si>
  <si>
    <t>Jln Pasir Impun Komp BCV no 173 Mandalajati Karang Pamulang Bandung Jawa Barat</t>
  </si>
  <si>
    <t>+6281381986286 / 6287821634385</t>
  </si>
  <si>
    <t>BCA  0080613296</t>
  </si>
  <si>
    <t>353765795429000 / 899011308429000</t>
  </si>
  <si>
    <t>refuse extend 10/05/2018</t>
  </si>
  <si>
    <t>OS1804023</t>
  </si>
  <si>
    <t>Agus Siswoyo</t>
  </si>
  <si>
    <t>Jember, 30 Juli 1974</t>
  </si>
  <si>
    <t>MW Field Spv</t>
  </si>
  <si>
    <t>Jl. Rawa Bebek RT 11 RW 01, Pulo Gebang, Cakung, Jakarta Timur</t>
  </si>
  <si>
    <t>0895333000060 / 08155108996</t>
  </si>
  <si>
    <t>MANDIRI 125 000 5141 585</t>
  </si>
  <si>
    <t>3175063007740005</t>
  </si>
  <si>
    <t>78.423.008.8-006.000</t>
  </si>
  <si>
    <t>'13005308419 000</t>
  </si>
  <si>
    <t>'0002269509028</t>
  </si>
  <si>
    <t>siswoyo.agoes@gmail.com</t>
  </si>
  <si>
    <t>OS1804024</t>
  </si>
  <si>
    <t>Mohamad Agus</t>
  </si>
  <si>
    <t>Jakarta, 7 Agustus 1977</t>
  </si>
  <si>
    <t>Jl. Anggrek Roslian VI No. 133 RT 09 / RW 05, Kel. Kemanggisan Kec. Palmerah Jakarta Barat 1480</t>
  </si>
  <si>
    <t>0895333059566</t>
  </si>
  <si>
    <t>BCA 229143400</t>
  </si>
  <si>
    <t>3173071708770010</t>
  </si>
  <si>
    <t>176355527031000</t>
  </si>
  <si>
    <t>17023238557</t>
  </si>
  <si>
    <t>agus.michael@gmail.com</t>
  </si>
  <si>
    <t>OS1610005</t>
  </si>
  <si>
    <t>Rizkan Nurdiansyah</t>
  </si>
  <si>
    <t>Jakarta, 21 Januari 1984</t>
  </si>
  <si>
    <t>Jl Raya Pos Pengumben No.25 Rt.010/Rw.04 Kel. Sukabumi Utara Kec.Kebon Jeruk Jakarta Barat 11540</t>
  </si>
  <si>
    <t xml:space="preserve">08111003226 </t>
  </si>
  <si>
    <t>Permata : 3110804619</t>
  </si>
  <si>
    <t>3173052101840005</t>
  </si>
  <si>
    <t xml:space="preserve">49.155.312.9-035.000
</t>
  </si>
  <si>
    <t>rizkan.nurdiansyah@gmail.com, rizkan@corphr-nokia.com</t>
  </si>
  <si>
    <t>Cancel Terminated</t>
  </si>
  <si>
    <t>rizkan@corphr-nokia.com</t>
  </si>
  <si>
    <t>terminate</t>
  </si>
  <si>
    <t>OS1702130</t>
  </si>
  <si>
    <t xml:space="preserve">Beslin Gultom </t>
  </si>
  <si>
    <t>Malang &amp; Surabaya</t>
  </si>
  <si>
    <t>THP = 28 juta</t>
  </si>
  <si>
    <t>Perumahan Papan Mas, Jalan Garuda VIII Blok D17 No 17 Kel Mangun Jaya Kec. Tambun Selatan  Bekasi Timur</t>
  </si>
  <si>
    <t>08111174803</t>
  </si>
  <si>
    <t>Mandiri : 1050005431048</t>
  </si>
  <si>
    <t>3216060109830020</t>
  </si>
  <si>
    <t>58.477.796.5-445.000</t>
  </si>
  <si>
    <t>beslin.gultom@yahoo.co.id, beslin.gultom@corphr-nokia.com, beslin.gultom@corphr-nokia.com</t>
  </si>
  <si>
    <t>OS1412020</t>
  </si>
  <si>
    <t>Dini Hendarwati</t>
  </si>
  <si>
    <t>Jakarta, 17 Juli 1987</t>
  </si>
  <si>
    <t>Jabo Banten =&gt; Jakarta</t>
  </si>
  <si>
    <t>adj 10% per 1 Okt'17 BS prev 4.250 jt ; change HB eff 1 Mar'17</t>
  </si>
  <si>
    <t>Kp. Cipadu Gg. Sawo No.63 Rt/Rw.005/007 Cipadu, Larangan, Tangearang</t>
  </si>
  <si>
    <t>088 11322507</t>
  </si>
  <si>
    <t>BCA : 6560747525</t>
  </si>
  <si>
    <t>3671135707870006</t>
  </si>
  <si>
    <t>69.277.236.1.035.000</t>
  </si>
  <si>
    <t>0001272142056 OK</t>
  </si>
  <si>
    <t>dhinihendarwati@gmail.com</t>
  </si>
  <si>
    <t>OS1805004</t>
  </si>
  <si>
    <t>Adi Wibowo</t>
  </si>
  <si>
    <t>Jakarta, 22 April 1985</t>
  </si>
  <si>
    <t>PO Lead</t>
  </si>
  <si>
    <t>Jl. Nusa Indah 2 No. 28 RT 08 / RW 09 Kel. Kapuk Kec. Cengkareng, Jakarta Barat</t>
  </si>
  <si>
    <t>0813 14818565 / 089621000009</t>
  </si>
  <si>
    <t>Mandiri 118.00.2241985.6</t>
  </si>
  <si>
    <t>3173012204850014</t>
  </si>
  <si>
    <t>88.780.073.8-034.000</t>
  </si>
  <si>
    <t>0001731477789</t>
  </si>
  <si>
    <t>adiwibowo.kwr@gmail.com</t>
  </si>
  <si>
    <t>Feliks Eko Kurnianto</t>
  </si>
  <si>
    <t>Malang, 30 September 1984</t>
  </si>
  <si>
    <t>Kp. Banen Rt/Rw.001/011 Limbangan Timur, BL. Limbangan, Kab. Garut</t>
  </si>
  <si>
    <t>082240301110</t>
  </si>
  <si>
    <t>BCA 1480789373</t>
  </si>
  <si>
    <t>3205383009840003</t>
  </si>
  <si>
    <t>68751336644300</t>
  </si>
  <si>
    <t>feliks_echo@yahoo.co.id</t>
  </si>
  <si>
    <t>OS1711030</t>
  </si>
  <si>
    <t>Suprapto</t>
  </si>
  <si>
    <t>Pangkalan Susu, 8 September 1988</t>
  </si>
  <si>
    <t>Jl. Inpres Lingk VIII, Kel. Bukit Jengkol Kec. Pangkalan Susu, Langkat</t>
  </si>
  <si>
    <t>081375621009</t>
  </si>
  <si>
    <t>Mandiri 108-00-131-600-57</t>
  </si>
  <si>
    <t>1205150809880006</t>
  </si>
  <si>
    <t>10020454632</t>
  </si>
  <si>
    <t>supraptomoreno98@gmail.com</t>
  </si>
  <si>
    <t>OS1805035</t>
  </si>
  <si>
    <t>Fitriyanto</t>
  </si>
  <si>
    <t>Jakarta, 6 Oktober 1975</t>
  </si>
  <si>
    <t>GNIC Engineer</t>
  </si>
  <si>
    <t>Jl. Pancawarga 26 No. 11Rt/Rw.009/001 Cipinang Besar Selatan, Jatinegara, Jakarta Timur</t>
  </si>
  <si>
    <t>BNI : 0178602344</t>
  </si>
  <si>
    <t>3175030610750011</t>
  </si>
  <si>
    <t>452167612002000</t>
  </si>
  <si>
    <t>0001214742328</t>
  </si>
  <si>
    <t>vit3yanto06@gmail.com</t>
  </si>
  <si>
    <t>not extend 28/05/2018, FCL done</t>
  </si>
  <si>
    <t>OS1803044</t>
  </si>
  <si>
    <t>Dhedik Riki Into</t>
  </si>
  <si>
    <t>Bojonegoro, 22 Juli 1979</t>
  </si>
  <si>
    <t>Greenland Forestpark Residence Cluster Regia Blok K-13 Kel. Curug, Kec. Bojongsari, Kota Depok</t>
  </si>
  <si>
    <t xml:space="preserve">081220100794  </t>
  </si>
  <si>
    <t xml:space="preserve">MANDIRI : 1420004077201   </t>
  </si>
  <si>
    <t>3276112207790004</t>
  </si>
  <si>
    <t>47.774.661.4.601.000</t>
  </si>
  <si>
    <t>0001644743924 BOJONGSARI</t>
  </si>
  <si>
    <t>dhedik.into@gmail.com       , dhedik.riki.into@corphr-nokia.com</t>
  </si>
  <si>
    <t xml:space="preserve"> OS1805036</t>
  </si>
  <si>
    <t>BCA 2531289783</t>
  </si>
  <si>
    <t>17056534419</t>
  </si>
  <si>
    <t>Arujaya Syahputra</t>
  </si>
  <si>
    <t>Binjai, 2 Juli 1980</t>
  </si>
  <si>
    <t>BOTX Engineer</t>
  </si>
  <si>
    <t>Jl. Dewa Gg. Nyaman No.47B Ciracas, Jakarta Timur 13740</t>
  </si>
  <si>
    <t>08126456728</t>
  </si>
  <si>
    <t>MANDIRI : 124-00-0547629-7</t>
  </si>
  <si>
    <t>3603340207800004</t>
  </si>
  <si>
    <t>67.898.296.8-125.000</t>
  </si>
  <si>
    <t>aru.syahputra@gmail.com, aruputra@gmail.com</t>
  </si>
  <si>
    <t>OS1506108</t>
  </si>
  <si>
    <t>Shinta Renggowani</t>
  </si>
  <si>
    <t>Bogor, 5 November 1989</t>
  </si>
  <si>
    <t>635,838</t>
  </si>
  <si>
    <t>entitle other allow per Juni'17 prev none ; eff per 1 jan '16 prev. OT Yes 10hrs</t>
  </si>
  <si>
    <t>Gg. Puma Bondol Rt/Rw.01/05 No.21 Kemang Semplak Atang Sanjaya Bogor Barat 16310</t>
  </si>
  <si>
    <t>0818 02926333 / 0812 9319 1418</t>
  </si>
  <si>
    <t>BCA : 6820370382</t>
  </si>
  <si>
    <t>3201124511890009</t>
  </si>
  <si>
    <t xml:space="preserve">0 / </t>
  </si>
  <si>
    <t>0001234026922 OK</t>
  </si>
  <si>
    <t>shinta.renggowani@gmail.com, shinta.renggowani@corphr-nokia.com</t>
  </si>
  <si>
    <t>SP 3, resign 31/7/2017</t>
  </si>
  <si>
    <t>Jakarta =&gt; Medan</t>
  </si>
  <si>
    <t>CAD Drafter</t>
  </si>
  <si>
    <t>change HB &amp; entitle transp allw eff per 1 Mar'17</t>
  </si>
  <si>
    <t>CAIR</t>
  </si>
  <si>
    <t>SEPTIANFREE@GMAIL.COM, SEPTIAN227@GMAIL.COM, septian.edy@corphr-nokia.com</t>
  </si>
  <si>
    <t>OS1702196</t>
  </si>
  <si>
    <t xml:space="preserve">&amp;6281287795789  </t>
  </si>
  <si>
    <t xml:space="preserve">BCA : 7180233762   </t>
  </si>
  <si>
    <t xml:space="preserve">1205022701810003   </t>
  </si>
  <si>
    <t xml:space="preserve">72.189.438.4-017.000   </t>
  </si>
  <si>
    <t xml:space="preserve">11023541698   </t>
  </si>
  <si>
    <t>0001785091083 KEL PASAR MINGGU II</t>
  </si>
  <si>
    <t>komisidelapan26@gmail.com, arnoldus.karra@corphr-nokia.com</t>
  </si>
  <si>
    <t>Not extend 30 Jun 17</t>
  </si>
  <si>
    <t>OS1702201</t>
  </si>
  <si>
    <t>Mohammad Reza</t>
  </si>
  <si>
    <t>Medan, 25 April 1984</t>
  </si>
  <si>
    <t>B.Katamso Gg.Lampu I no.12 Rt/Rw. 001/016 Kampung Baru, Medan Maimun, Kota Medan</t>
  </si>
  <si>
    <t>&amp;6281992223133 / &amp;6282298920777</t>
  </si>
  <si>
    <t>MANDIRI : 1050092022452</t>
  </si>
  <si>
    <t>1271152504840001</t>
  </si>
  <si>
    <t>59.038.171.1.121.000</t>
  </si>
  <si>
    <t>15025006790</t>
  </si>
  <si>
    <t>r3za.2504@gmail.com, mohammad.reza@corphr-nokia.com</t>
  </si>
  <si>
    <t>terminated 31/7/2017, ADA EKSES KLAIM</t>
  </si>
  <si>
    <t>Not Extend 30 Jun 17</t>
  </si>
  <si>
    <t>NPO =&gt; HCPT 20 Feb 2017</t>
  </si>
  <si>
    <t>Jl. Brotojoyo Timur 3 No 31</t>
  </si>
  <si>
    <t>0819 01888550 / 0812 73898600</t>
  </si>
  <si>
    <t>Mandiri : 136-00-1569740-9</t>
  </si>
  <si>
    <t>110-296-668-12</t>
  </si>
  <si>
    <t>resign 31/7/2017, refuse extend</t>
  </si>
  <si>
    <t>change posisi &amp; allow eff 1 Apr'17 prev 2 jt</t>
  </si>
  <si>
    <t>move tsel 1/6/2017 e_30/8/2017</t>
  </si>
  <si>
    <t>Bali =&gt; Medan</t>
  </si>
  <si>
    <t>Project Engineer TRS</t>
  </si>
  <si>
    <t>entitle transp allw eff per 12 feb '17</t>
  </si>
  <si>
    <t>Jl.Manukan Asri Blok 33D/12 Tandes Surabaya 60185</t>
  </si>
  <si>
    <t>deddy.setiansyah@gmail.com, deddy.priambodo@corphr-nokia.com, dedi.priambodo@corphr-nokia.com</t>
  </si>
  <si>
    <t>Surabaya =&gt; Medan</t>
  </si>
  <si>
    <t>QHSE Engineer</t>
  </si>
  <si>
    <t>eff 1 Apr'17 BS 10% prev 6.5 jt CA prev 500 rb ; change HB 1 Mar'17 ; eff per 1 Jan '17 HB allw move to other allw e_06/12/16</t>
  </si>
  <si>
    <t>Jl. Payakumbuh II No. 590, Siteba, Padang, Sumatera Barat</t>
  </si>
  <si>
    <t>137110253830001</t>
  </si>
  <si>
    <t>refuse extend 31/8/2017</t>
  </si>
  <si>
    <t xml:space="preserve">OS1611008    </t>
  </si>
  <si>
    <t>Shafta Sulistyo Puteri</t>
  </si>
  <si>
    <t>Jakarta, 25 Juli 1993</t>
  </si>
  <si>
    <t>SBM Uploader</t>
  </si>
  <si>
    <t>entitle other allow per Juni'17 prev none</t>
  </si>
  <si>
    <t>Kamp. Slipi Jl. K No. 5 RT 09 / RW 03, Kel. Slipi Kec. Palmerah, Jakarta Barat 11410</t>
  </si>
  <si>
    <t>Mandiri : 1170006437016</t>
  </si>
  <si>
    <t>3173076507930001</t>
  </si>
  <si>
    <t>80.201.532.1-031.000</t>
  </si>
  <si>
    <t>shaftasulistyop@yahoo.com, shafta.sulistyo@corphr-nokia.com</t>
  </si>
  <si>
    <t>terminated 31/7/2017 revisi cancel utilization</t>
  </si>
  <si>
    <t>OS1701051</t>
  </si>
  <si>
    <t>Juandi Lumban Raja</t>
  </si>
  <si>
    <t>Pearaja 29 desember 1984</t>
  </si>
  <si>
    <t xml:space="preserve">Sumatera Selatan =&gt; Pekanbaru </t>
  </si>
  <si>
    <t>change HB 1 Agust'17 e_3/8/2017 ; adj 1 Mar '17 transp allow prev 750 rb</t>
  </si>
  <si>
    <t>Jl. Pancasila sakti gang forum no.41 kel sumberrejo kec. kemiling Tanjung Karang/Bandar Lampung</t>
  </si>
  <si>
    <t>0813 81953393</t>
  </si>
  <si>
    <t>BCA : 2920577213</t>
  </si>
  <si>
    <t>1871132912840009</t>
  </si>
  <si>
    <t>97.094.627.3.002.000</t>
  </si>
  <si>
    <t>0001739541925 OK</t>
  </si>
  <si>
    <t>andigolanz@gmail.com, juandi.raja@corphr-nokia.com</t>
  </si>
  <si>
    <t>OS1702134</t>
  </si>
  <si>
    <t xml:space="preserve">0857 23444450 / 082240301110   </t>
  </si>
  <si>
    <t>BCA : 1480789373</t>
  </si>
  <si>
    <t>68.751.336.6443.000</t>
  </si>
  <si>
    <t>feliks_echo@yahoo.co.id, feliks.kurnianto@corphr-nsn.com, feliks.kurnianto@corphr-nokia.com</t>
  </si>
  <si>
    <t>OS1702149</t>
  </si>
  <si>
    <t>Edwinanto</t>
  </si>
  <si>
    <t>Jakarta, 10 Juli 1969</t>
  </si>
  <si>
    <t>Network Configuration Engineer</t>
  </si>
  <si>
    <t>entitle laptop allow Jun'17 prev none ; NE laptop allow e_21/2/2017</t>
  </si>
  <si>
    <t>Jl. Pinus III/50, Taman Royal I, RT 02 / RW 16, Kel. Tanah Tinggi Kec. Tangerang, Kota Tangerang</t>
  </si>
  <si>
    <t xml:space="preserve">087774219186   </t>
  </si>
  <si>
    <t>BCA : 5700081267</t>
  </si>
  <si>
    <t>3671011007690009</t>
  </si>
  <si>
    <t>09.667.927.9.036.000</t>
  </si>
  <si>
    <t>0001629974632 PT GARUDA INDONESIA</t>
  </si>
  <si>
    <t>edwinanto1988@gmail.com       , edwinanto@corphr-nokia.com</t>
  </si>
  <si>
    <t>OS1702157</t>
  </si>
  <si>
    <t>Bindu Butar Butar</t>
  </si>
  <si>
    <t>Sitalolo, 14 April 1982</t>
  </si>
  <si>
    <t>Aceh</t>
  </si>
  <si>
    <t>Jl. Saudara Gg. Tapian Daya No 7 C Kel. Sudirejo I Kec. Medan Kota, Sumatera Utara</t>
  </si>
  <si>
    <t xml:space="preserve">085270769458 / 08887502138  </t>
  </si>
  <si>
    <t>BCA : 8430174291</t>
  </si>
  <si>
    <t>1271011404820009</t>
  </si>
  <si>
    <t>54.581.496.4.113.000</t>
  </si>
  <si>
    <t>bindu.dekker@gmail.com, bindu.butar@corphr-nokia.com</t>
  </si>
  <si>
    <t>OS1702161</t>
  </si>
  <si>
    <t>Ada Apandri Siregar</t>
  </si>
  <si>
    <t>Sitopayan, 08 Desember 1990</t>
  </si>
  <si>
    <t>Jl. Perindustrian II Rt/Rw.001/001 Kel. Kebun Bunga Kec. Sukarami, Kota Palembang</t>
  </si>
  <si>
    <t xml:space="preserve">0821-7797-7271  </t>
  </si>
  <si>
    <t>BCA : 1510433901</t>
  </si>
  <si>
    <t>1871070812900011</t>
  </si>
  <si>
    <t>N/A</t>
  </si>
  <si>
    <t>16027069919</t>
  </si>
  <si>
    <t>pandri.regar@gmail.com, apandri.siregar@corphr-nokia.com, pandri.siregar@corphr-nokia.com</t>
  </si>
  <si>
    <t>OS1702169</t>
  </si>
  <si>
    <t>Undang Gani M M Nainggolan</t>
  </si>
  <si>
    <t>P Siantar, 18 Mei 1982</t>
  </si>
  <si>
    <t>Jl. Kuba Gg. Keluarga Lorong I Kp. Bahari, Besar, Medan Labuhan, Kota Medan</t>
  </si>
  <si>
    <t xml:space="preserve">08163104271  </t>
  </si>
  <si>
    <t xml:space="preserve">MANDIRI : 106-0004-526-029   </t>
  </si>
  <si>
    <t xml:space="preserve">120803180582001   </t>
  </si>
  <si>
    <t xml:space="preserve">77.816.962.3-117.000   </t>
  </si>
  <si>
    <t>0001468938341 MARTUBUNG</t>
  </si>
  <si>
    <t>undang.gani@gmail.com       , undang.gani@corphr-nokia.com</t>
  </si>
  <si>
    <t>OS1702178</t>
  </si>
  <si>
    <t>Dedi Permana</t>
  </si>
  <si>
    <t>Sawahlunto, 2 Maret 1986</t>
  </si>
  <si>
    <t>Pekabaru, Padang, Batam</t>
  </si>
  <si>
    <t>Jl. Malaka III Gg. 3 No. 116 Rt/Rw. 002/006 Malaka Sari, Duren Sawit, Jakarta Timur</t>
  </si>
  <si>
    <t>081219962341 / 085643835550</t>
  </si>
  <si>
    <t>CIMB Niaga : 702361002000</t>
  </si>
  <si>
    <t>3175050203860005</t>
  </si>
  <si>
    <t>70.275.920.0-008.000</t>
  </si>
  <si>
    <t>14024612732</t>
  </si>
  <si>
    <t>dedy.permana86@gmail.com, deddy.permana@corphr-nokia.com</t>
  </si>
  <si>
    <t>OS1506012</t>
  </si>
  <si>
    <t>Ridwan Hardian</t>
  </si>
  <si>
    <t>Jakarta, 5 November 1979</t>
  </si>
  <si>
    <t>Jakarta =&gt; Makassar</t>
  </si>
  <si>
    <t>XL =&gt; HCPT</t>
  </si>
  <si>
    <t>Transmission Engineer =&gt; Field Manager</t>
  </si>
  <si>
    <t>adj eff 1 Feb'17 prev 7.5 jt ; entitle posisi, change HB &amp; transport allow eff 1 Feb'17 ; HB allow none prev 3.5 jt,</t>
  </si>
  <si>
    <t>Jl. Raya Poncol Gg H.Jiung Rt 08/09 No 66, Ciracas, Jakarta Timur 13740</t>
  </si>
  <si>
    <t>08982377395</t>
  </si>
  <si>
    <t>BCA : 0341432773</t>
  </si>
  <si>
    <t>3175090511790005</t>
  </si>
  <si>
    <t>872039953009000</t>
  </si>
  <si>
    <t>ridwan0901@gmail.com/ridwan_hardian@yahoo.com, ridwan.hardian@corphr-nokia.com</t>
  </si>
  <si>
    <t>resign 31/8/2017, refuse extend</t>
  </si>
  <si>
    <t>OS1702207</t>
  </si>
  <si>
    <t>Achmad Fauzi</t>
  </si>
  <si>
    <t>Tangerang, 01 Oktober 1982</t>
  </si>
  <si>
    <t>Kampung Baru RT.05 RW.04 Kelurahan Nusajaya Kecamatan Karawaci Kota Tangerang 15116</t>
  </si>
  <si>
    <t xml:space="preserve">081284940183   / 08979689781  </t>
  </si>
  <si>
    <t xml:space="preserve">MANDIRI : 900-00-1433-564-1   </t>
  </si>
  <si>
    <t xml:space="preserve">3671070110810003   </t>
  </si>
  <si>
    <t xml:space="preserve">57.714.159.1-402.000   </t>
  </si>
  <si>
    <t>jobs_zie@yahoo.com       , achmad.fauzi@corphr-nokia.com</t>
  </si>
  <si>
    <t>OS1703050</t>
  </si>
  <si>
    <t>Ari Topan</t>
  </si>
  <si>
    <t>Jakarta, 01 Desember 1987</t>
  </si>
  <si>
    <t>Taman Wisma Asri Blok N.36 No.165 Rt/Rw.006/032 Teluk Pucung, Bekasi Utara, Kota Bekasi</t>
  </si>
  <si>
    <t>08119988374</t>
  </si>
  <si>
    <t>Mandiri : 900-000-278150-9 a.n Nani Maria Dewi</t>
  </si>
  <si>
    <t>3275030112870014</t>
  </si>
  <si>
    <t>579009523407000</t>
  </si>
  <si>
    <t>arie.topan@gmail.com, ari.topan@corphr-nokia.com</t>
  </si>
  <si>
    <t>OS1705055</t>
  </si>
  <si>
    <t>Ayu Widyawati</t>
  </si>
  <si>
    <t>Malang, 24 Juni 1996</t>
  </si>
  <si>
    <t>Jawa Timur (Malang)</t>
  </si>
  <si>
    <t>Documentation and Acceptance</t>
  </si>
  <si>
    <t xml:space="preserve"> JL. Werkudoro RT. 17 RW. 02 Sumberpucung, Kab. Malang</t>
  </si>
  <si>
    <t xml:space="preserve">082233890555  </t>
  </si>
  <si>
    <t xml:space="preserve">Mandiri :  1440016658855 </t>
  </si>
  <si>
    <t xml:space="preserve">3507126406960002   </t>
  </si>
  <si>
    <t xml:space="preserve">Ayuwidyawati215@gmail.com       </t>
  </si>
  <si>
    <t>terminated 25/8/2017</t>
  </si>
  <si>
    <t>OS1705056</t>
  </si>
  <si>
    <t>Joko Heru Cahyanto</t>
  </si>
  <si>
    <t>Bojonegoro, 24 Juni 1971</t>
  </si>
  <si>
    <t>Jawa Timur (Surabaya, Malang, Jember)</t>
  </si>
  <si>
    <t>P. Sidokare Asri Block HH No.19 Rt/Rw.054/013 Sidokare, Sidoarjo, Jawa Timur</t>
  </si>
  <si>
    <t xml:space="preserve">(031) 8923181   / 089621814245  </t>
  </si>
  <si>
    <t xml:space="preserve">Mandiri : 1420004891882   </t>
  </si>
  <si>
    <t xml:space="preserve">3515082406710003   </t>
  </si>
  <si>
    <t xml:space="preserve">58.477.835.1-617.000   </t>
  </si>
  <si>
    <t>0001653681958</t>
  </si>
  <si>
    <t xml:space="preserve">jokoherucahyanto@yahoo.co.id       </t>
  </si>
  <si>
    <t>terminated 27/8/2017</t>
  </si>
  <si>
    <t>OS1707018</t>
  </si>
  <si>
    <t>Abd Haris</t>
  </si>
  <si>
    <t>Makassar, 31 Desember 1964</t>
  </si>
  <si>
    <t>BTN Pao-Pao Permai Blok B 14 / 4, RT 03 / RW 06, Kel. Paccinongang Kec. Somba Opu, Gowa</t>
  </si>
  <si>
    <t>081354878302</t>
  </si>
  <si>
    <t>BRI : 7073 01 007945 53 4 a.n Dwi Hardiyanti</t>
  </si>
  <si>
    <t>7306083112640059</t>
  </si>
  <si>
    <t>OS1703042</t>
  </si>
  <si>
    <t>Melisara Br Pinem</t>
  </si>
  <si>
    <t>Medan, 19 Oktober 1991</t>
  </si>
  <si>
    <t>Material Admin</t>
  </si>
  <si>
    <t>Jl. Bunga Sedap Malam III-D No. 27 Kelurahan Sempakata, Medan Selayang</t>
  </si>
  <si>
    <t xml:space="preserve">085276863638  </t>
  </si>
  <si>
    <t xml:space="preserve">BCA : 8250037652   </t>
  </si>
  <si>
    <t>1271215910910004</t>
  </si>
  <si>
    <t xml:space="preserve">1271215910910004   </t>
  </si>
  <si>
    <t xml:space="preserve">13042742539   </t>
  </si>
  <si>
    <t>mellysara.pinem@gmail.com, mellysara.pinem@corphr-nokia.com</t>
  </si>
  <si>
    <t>OS1707023</t>
  </si>
  <si>
    <t>Agus Budianto</t>
  </si>
  <si>
    <t>Magelang, 24 aug 1984</t>
  </si>
  <si>
    <t>PE MW FALU</t>
  </si>
  <si>
    <t>Perum D'Soeta Residence No. 14 Ds. Tegalgondo Kec. Karangploso, Kab. Malang Jawa Timur</t>
  </si>
  <si>
    <t>089609000900</t>
  </si>
  <si>
    <t>BCA : 4290513401</t>
  </si>
  <si>
    <t>3507022408840002</t>
  </si>
  <si>
    <t>24.862.496.7-654.000</t>
  </si>
  <si>
    <t>06002090048</t>
  </si>
  <si>
    <t>agus.budianto.id@gmail.com</t>
  </si>
  <si>
    <t>resign 31/8/2017</t>
  </si>
  <si>
    <t>Jabo Banten =&gt; Makassar</t>
  </si>
  <si>
    <t>adj Juli'17 prev 6.325.000 &amp; temp reloc &amp; other allow Juli-Agust'17 prev 1.5jt ;  adjust other allow. eff 1 Jul'16 prev 750 rb</t>
  </si>
  <si>
    <t>0813 42670274</t>
  </si>
  <si>
    <t>58.024.882.1.807.000</t>
  </si>
  <si>
    <t>10027018539</t>
  </si>
  <si>
    <t>0001452944878 OK</t>
  </si>
  <si>
    <t>dewi.muliyana@corphr-nokia.com, dewi.muliyana@corphr-nokia.com</t>
  </si>
  <si>
    <t>Not Extend 30 Sep 2017</t>
  </si>
  <si>
    <t>OS1702140</t>
  </si>
  <si>
    <t>Angger Bagus Wulang Driyo</t>
  </si>
  <si>
    <t>Boyolali, 15 April 1979</t>
  </si>
  <si>
    <t>TSSR &amp; Colo Form &amp; SAAF &amp; Issue Site &amp; Documentation (CAD Drafter)</t>
  </si>
  <si>
    <t>Ksatrian 41 Blok S/9, Kodam V Brawijaya Surabaya</t>
  </si>
  <si>
    <t>0812 94775599</t>
  </si>
  <si>
    <t xml:space="preserve">MANDIRI : 102-00-0591313-9   </t>
  </si>
  <si>
    <t>3578111504790006</t>
  </si>
  <si>
    <t>24.857.392.061.000</t>
  </si>
  <si>
    <t>Angger.Bagus@gmail.com       , angger.bagus@corphr-nokia.com</t>
  </si>
  <si>
    <t>OS1702150</t>
  </si>
  <si>
    <t>Sari Endah Prastiwi</t>
  </si>
  <si>
    <t>Jakarta, 2 Desember 1982</t>
  </si>
  <si>
    <t>PEGNIC</t>
  </si>
  <si>
    <t>Jl. Sabar No. 27 RT 06 / RW 04, Kel. Petukangan Selatan Kec. Pesanggrahan, Jakarta Selatan</t>
  </si>
  <si>
    <t>021 - 7346302</t>
  </si>
  <si>
    <t>BCA : 5390130343</t>
  </si>
  <si>
    <t>3173064212820014</t>
  </si>
  <si>
    <t>38.309.856.3.085.000</t>
  </si>
  <si>
    <t>prastiwi0212@gmail.com, endah.prastiwi@corphr-nokia.com</t>
  </si>
  <si>
    <t>OS1702158</t>
  </si>
  <si>
    <t>OS1702197</t>
  </si>
  <si>
    <t>Jimmy Carter Nababan</t>
  </si>
  <si>
    <t>Siborong Borong, 15 Juni 1976</t>
  </si>
  <si>
    <t>TSSR &amp; Colo Form &amp; SAAF &amp; Issue Site &amp; Documentation</t>
  </si>
  <si>
    <t>Dsn X Gg Raharjo RT/RW 001/001,Desa Sei Rotan Kec.Percut Sei Tuan Kab.Deliserdang</t>
  </si>
  <si>
    <t xml:space="preserve">081397412597  </t>
  </si>
  <si>
    <t xml:space="preserve">MANDIRI : 106.00.0596724.8   </t>
  </si>
  <si>
    <t xml:space="preserve">1207261506760011   </t>
  </si>
  <si>
    <t xml:space="preserve">58.477.798.1-125.000   </t>
  </si>
  <si>
    <t>jimmynababan76@gmail.com, jimmy_nababan2000@yahoo.com, jimmy.carter@corphr-nokia.com</t>
  </si>
  <si>
    <t>OS1702198</t>
  </si>
  <si>
    <t>Rizky Rahmanto</t>
  </si>
  <si>
    <t>Surabaya, 30 Juni 1985</t>
  </si>
  <si>
    <t>DCC &amp; Support Engineer (VLAN) =&gt; RAN Project Engineer</t>
  </si>
  <si>
    <t>adj Juli'17 prev 6jt ; change posisi allow per Mei'17 prev none</t>
  </si>
  <si>
    <t>Jalan Pakis 67 Surabaya</t>
  </si>
  <si>
    <t>0897376399</t>
  </si>
  <si>
    <t>MANDIRI : 1410011100047</t>
  </si>
  <si>
    <t>3578060101850005</t>
  </si>
  <si>
    <t>15037584206</t>
  </si>
  <si>
    <t>rizq.rahman67@gmail.com, rizky.rahman@corphr-nokia.com</t>
  </si>
  <si>
    <t>OS1703035</t>
  </si>
  <si>
    <t>Poetra Meizul Nagga</t>
  </si>
  <si>
    <t>Makasar, 21 Juli 1988</t>
  </si>
  <si>
    <t>Permata Depok Blok B2/1 Sektor Mutiara RT 01 / RW 07, Kel. Pondok Jaya Kec. Cipayung, Kota Depok</t>
  </si>
  <si>
    <t>089695661819 / 08114129696</t>
  </si>
  <si>
    <t>BSM : 7111373013</t>
  </si>
  <si>
    <t>3276072107880001</t>
  </si>
  <si>
    <t>59.227.129.0.412.000</t>
  </si>
  <si>
    <t>poetrameizulnagga@gmail.com, poetra.meizul@corphr-nokia.com</t>
  </si>
  <si>
    <t>OS1703064</t>
  </si>
  <si>
    <t>Masry Ompusunggu</t>
  </si>
  <si>
    <t>Sisangkae, 01 Desember 1988</t>
  </si>
  <si>
    <t>Documentation Controlling and Permit</t>
  </si>
  <si>
    <t>Sisangkae Desa Paranginan Utara Kecamatan Paranginan Kab. Humbang Hasundutan, Medan, Sumatera Utara</t>
  </si>
  <si>
    <t xml:space="preserve">BNI : 0312133255   </t>
  </si>
  <si>
    <t xml:space="preserve">1106074112880002   </t>
  </si>
  <si>
    <t xml:space="preserve">54 702 444 8-127 000   </t>
  </si>
  <si>
    <t>0001907191214 Kl Pratama Pahla</t>
  </si>
  <si>
    <t>masryompusunggu@yahoo.com, masry.ompusunggu@corphr-nokia.com</t>
  </si>
  <si>
    <t>Mandiri : 1520015591569</t>
  </si>
  <si>
    <t>73.440.601.0.805.000</t>
  </si>
  <si>
    <t>masrianasardi2@gmail.com, masriana@corphr-nokia.com</t>
  </si>
  <si>
    <t>OS1609009</t>
  </si>
  <si>
    <t>Redhati Maulisa</t>
  </si>
  <si>
    <t>Palembang, 18 dec 1983</t>
  </si>
  <si>
    <t>DCC - Project Admin Document (Pre Implementation – Post Implementation)</t>
  </si>
  <si>
    <t>Yes w/ 2 child</t>
  </si>
  <si>
    <t>Lrg. Masjid No. 509 RT 08 RW 03 Kel. Kemang Manis Kec. Ilir Barat II Kota Palembang</t>
  </si>
  <si>
    <t xml:space="preserve">0711 370459   / 081281002062 / 08983022000  </t>
  </si>
  <si>
    <t xml:space="preserve">Mandiri : 113-00-0465327-9   </t>
  </si>
  <si>
    <t xml:space="preserve">1671015812830004   </t>
  </si>
  <si>
    <t xml:space="preserve">69.658.307.9-307.000   </t>
  </si>
  <si>
    <t xml:space="preserve">16042515714   </t>
  </si>
  <si>
    <t>0001647482376 dr. SALILUL HULWAN</t>
  </si>
  <si>
    <t xml:space="preserve">redhati.maulisa@gmail.com, redhati_maulisa@yahoo.com       </t>
  </si>
  <si>
    <t>OS1704022</t>
  </si>
  <si>
    <t>Andung Hermanto</t>
  </si>
  <si>
    <t>Tulungagung, 15 September 1985</t>
  </si>
  <si>
    <t>Pre Imp RAN</t>
  </si>
  <si>
    <t>Des/Kec Besuki RT 01 RW 02 Tulungagung</t>
  </si>
  <si>
    <t xml:space="preserve">082131964554  / (031)7672375   </t>
  </si>
  <si>
    <t xml:space="preserve">Mandiri :  171-00-0244467-0 </t>
  </si>
  <si>
    <t xml:space="preserve">3504151509850001   </t>
  </si>
  <si>
    <t xml:space="preserve">48.388.724.6-629.000   </t>
  </si>
  <si>
    <t xml:space="preserve"> 0001520669024 </t>
  </si>
  <si>
    <t xml:space="preserve">andunghermanto@gmail.com       </t>
  </si>
  <si>
    <t>OS1608013</t>
  </si>
  <si>
    <t>Prasetyo</t>
  </si>
  <si>
    <t>THP = 17 jt NETT</t>
  </si>
  <si>
    <t>0816 334177</t>
  </si>
  <si>
    <t>BCA : 3991475808</t>
  </si>
  <si>
    <t>3603222610840001</t>
  </si>
  <si>
    <t>69.789.975.5-045.000</t>
  </si>
  <si>
    <t>tyo_2610@gmail.com, tio_bc@yahoo.co.id, prasetyo@corphr-nokia.com</t>
  </si>
  <si>
    <t>102</t>
  </si>
  <si>
    <t>OS1703044</t>
  </si>
  <si>
    <t>Hafiz Alamsyah</t>
  </si>
  <si>
    <t>Jakarta, 05 November 1983</t>
  </si>
  <si>
    <t>Jl. Kampung Kalibata Rt.010 Rw.007 No. 39 Kel. Srengseng sawah Kec. Jagakarsa, Jakarta Selatan 12640</t>
  </si>
  <si>
    <t>MANDIRI : 1270006284523</t>
  </si>
  <si>
    <t>3174040511830004</t>
  </si>
  <si>
    <t>alamsyah.hafiz@gmail.com, hafiz.alamsyah@corphr-nokia.com</t>
  </si>
  <si>
    <t>OS1702127</t>
  </si>
  <si>
    <t>Hery Hernawan</t>
  </si>
  <si>
    <t>Kuningan, 24 Oktober 1976</t>
  </si>
  <si>
    <t>Kp.Cibarengkok No.73, RT 001 RW 002, Kel.Pengasinan, Kec. Gunung Sindur, Kab.Bogor, 16340</t>
  </si>
  <si>
    <t>08388010056</t>
  </si>
  <si>
    <t>BCA : 4970409373</t>
  </si>
  <si>
    <t>3201112410760001</t>
  </si>
  <si>
    <t>24.853.191.5-403.000</t>
  </si>
  <si>
    <t>hernawan_hery@yahoo.com, hery.hernawan@corphr-nokia.com</t>
  </si>
  <si>
    <t>OS1705068</t>
  </si>
  <si>
    <t>Fauzi Thohiro</t>
  </si>
  <si>
    <t>Palembang, 12 Desember 1973</t>
  </si>
  <si>
    <t>National Progress Control =&gt; DCC Flyer per 1 Aug 2017</t>
  </si>
  <si>
    <t>cancel degradation against rule prev 10 jt gross ; Degradated 1 Agus'17 BS prev 13 jt nett ; GAJI NETT</t>
  </si>
  <si>
    <t>Jl. Bekisar Blok BB 3 No. 12. Pd Pekayon Indah. Bekasi Selatan. Jawa Barat</t>
  </si>
  <si>
    <t xml:space="preserve">08176089608  </t>
  </si>
  <si>
    <t xml:space="preserve">BNI : 0005216890 </t>
  </si>
  <si>
    <t xml:space="preserve">3203021212730008   </t>
  </si>
  <si>
    <t>0001834880938</t>
  </si>
  <si>
    <t xml:space="preserve">fauzithohiro@gmail.com       </t>
  </si>
  <si>
    <t>OS1707020</t>
  </si>
  <si>
    <t>Adrianus Gratio Mengku</t>
  </si>
  <si>
    <t>Ujung Pandang, 25 Juli 1982</t>
  </si>
  <si>
    <t>Denpasar</t>
  </si>
  <si>
    <t>Jl. G.L.Battang No.219 Rt/Rw.001/001 Pisang Selatan, Ujung Pandang, Kota Makassar</t>
  </si>
  <si>
    <t>(0411) 3614763 / 081 355 990 110</t>
  </si>
  <si>
    <t>MANDIRI : 152 - 00 - 1013718 - 6</t>
  </si>
  <si>
    <t>7371042507820001</t>
  </si>
  <si>
    <t>71.473.661.8-804.000</t>
  </si>
  <si>
    <t>14016416894</t>
  </si>
  <si>
    <t>0001634885482</t>
  </si>
  <si>
    <t>agratiomengku@gmail.com</t>
  </si>
  <si>
    <t>Not Extend 30 Sep 2017, ADA EKSES KLAIM</t>
  </si>
  <si>
    <t>OS1707021</t>
  </si>
  <si>
    <t>Feni Astuti</t>
  </si>
  <si>
    <t>Bengkulu, 28 September 1986</t>
  </si>
  <si>
    <t>Jl. Rangkong No. 29 RT 18 / RW 06, Kel. Cempaka Permai Kec. Gading Cempaka, Kota Bengkulu</t>
  </si>
  <si>
    <t>BCA : 1451390541</t>
  </si>
  <si>
    <t>1771026809860009</t>
  </si>
  <si>
    <t>158347054311000</t>
  </si>
  <si>
    <t>veniastuti5636@gmail.com</t>
  </si>
  <si>
    <t>OS1707022</t>
  </si>
  <si>
    <t>Sri Wahyu Ningsih</t>
  </si>
  <si>
    <t>Mulya jaya, 20 aug 1989</t>
  </si>
  <si>
    <t>Purbosari, Kec. Seluma Barat, Seluma</t>
  </si>
  <si>
    <t>BRI : 355101016845533</t>
  </si>
  <si>
    <t>1705086008890001</t>
  </si>
  <si>
    <t>732906243311000</t>
  </si>
  <si>
    <t>sriwahyunengsih1@gmail.com</t>
  </si>
  <si>
    <t xml:space="preserve"> OS1707037</t>
  </si>
  <si>
    <t>Dina Ariyani</t>
  </si>
  <si>
    <t>Banyumas, 30 November 1993</t>
  </si>
  <si>
    <t>Jl. Rancho Indah No. 28, Tanjung Barat Jakarta Selatan</t>
  </si>
  <si>
    <t>087782861078</t>
  </si>
  <si>
    <t>MANDIRI : 139-00-1689193-3</t>
  </si>
  <si>
    <t>3302267011930002</t>
  </si>
  <si>
    <t>75.543.924.7-017.000</t>
  </si>
  <si>
    <t>15059392678</t>
  </si>
  <si>
    <t xml:space="preserve">dina.sinauonline@gmail.com       </t>
  </si>
  <si>
    <t>OS1707041</t>
  </si>
  <si>
    <t>Inggrid Devi Veronika</t>
  </si>
  <si>
    <t>Jakarta, 27 Mei 1995</t>
  </si>
  <si>
    <t>Jl. Albaidho, Lubang Buaya, Cipayung, Jakarta</t>
  </si>
  <si>
    <t>0895320008892</t>
  </si>
  <si>
    <t>Mandiri : 1670001247013</t>
  </si>
  <si>
    <t>3175106705951002</t>
  </si>
  <si>
    <t>710722760009000</t>
  </si>
  <si>
    <t>0001219207151</t>
  </si>
  <si>
    <t>inggritdeviveronika@gmail.com</t>
  </si>
  <si>
    <t xml:space="preserve"> OS1708052</t>
  </si>
  <si>
    <t>Fatma Zochra</t>
  </si>
  <si>
    <t>Jakarta, 20 November 1974</t>
  </si>
  <si>
    <t>S2</t>
  </si>
  <si>
    <t>Document Controller &amp; Acceptance</t>
  </si>
  <si>
    <t>Jl. Tebet Dalam IV/2 RT 11 / RW 01, Kel. Tebet Barat Kec. Tebet, Jakarta Selatan</t>
  </si>
  <si>
    <t>BCA : 2551241612</t>
  </si>
  <si>
    <t>3174016011740005</t>
  </si>
  <si>
    <t>68.280.162.6-015.000</t>
  </si>
  <si>
    <t>13043605040</t>
  </si>
  <si>
    <t>16004995383</t>
  </si>
  <si>
    <t>fatma.zochra.ext@nokia.com</t>
  </si>
  <si>
    <t>OS1411010</t>
  </si>
  <si>
    <t>Gunarti Handayani</t>
  </si>
  <si>
    <t>Jakarta, 11 Desember 1976</t>
  </si>
  <si>
    <t>PMIS Admin =&gt; DCC =&gt; Project Admin MS</t>
  </si>
  <si>
    <t>entitle insetive per 12 oct '16 ; adj salary eff per 5 Sept '16 prev. 6,5jt ;
 change posisi 26/6/2016</t>
  </si>
  <si>
    <t>Jl. Nangka RT. 07/15, Beji Kukusan Depok</t>
  </si>
  <si>
    <t>081222212076 / 087737308686</t>
  </si>
  <si>
    <t>Mandiri : 070-00-0599759-3</t>
  </si>
  <si>
    <t>3276065112760006</t>
  </si>
  <si>
    <t>49.915.993.7-015.000</t>
  </si>
  <si>
    <t>0001630479328 M1</t>
  </si>
  <si>
    <t>inong.sweety@gmail.com, ghandaya76@gmail.com</t>
  </si>
  <si>
    <t>Not Extend 10 Oct 2017</t>
  </si>
  <si>
    <t>OS1702170</t>
  </si>
  <si>
    <t>Surabaya =&gt; Jakarta 1/10/2017</t>
  </si>
  <si>
    <t>Material Management =&gt; Field Manager</t>
  </si>
  <si>
    <t>entitle posisi allow per Maret'17 prev none ; change posisi eff 1 Mar'17</t>
  </si>
  <si>
    <t xml:space="preserve">resign 13/10/2017 </t>
  </si>
  <si>
    <t>Extend 31 Oct 2017</t>
  </si>
  <si>
    <t>OS1702182</t>
  </si>
  <si>
    <t>Age Bincaro Damanik</t>
  </si>
  <si>
    <t>Air Molek, 10 Juni 1981</t>
  </si>
  <si>
    <t>17 juta NETT</t>
  </si>
  <si>
    <t>Jl. Bunga Rinte Gg. Saudara No. 23 Kel. Simpang SelayangKec. Medan Tuntungan</t>
  </si>
  <si>
    <t>0857 67879994</t>
  </si>
  <si>
    <t>Mandiri : 125-000-510-1704</t>
  </si>
  <si>
    <t>1271071006810006</t>
  </si>
  <si>
    <t>02.691.478.8.036.000</t>
  </si>
  <si>
    <t>0001628833792 M2</t>
  </si>
  <si>
    <t>age.damanik@gmail.com, age.damanik@corphr-nokia.com</t>
  </si>
  <si>
    <t>resign 30/9/2017 refuse extend</t>
  </si>
  <si>
    <t xml:space="preserve"> OS1707039</t>
  </si>
  <si>
    <t>Mgs. Tri Putra</t>
  </si>
  <si>
    <t>Palembang, 24 April 1995</t>
  </si>
  <si>
    <t>Jl. Segaran Gg Rukun No. 115</t>
  </si>
  <si>
    <t>089673686155</t>
  </si>
  <si>
    <t>BCA : 1140241268 a.n Putri Eka Sari</t>
  </si>
  <si>
    <t>1671062404950008</t>
  </si>
  <si>
    <t>mgstriputra24@gmail.com</t>
  </si>
  <si>
    <t>resign 13/10/2017</t>
  </si>
  <si>
    <t>OS1611004</t>
  </si>
  <si>
    <t>Juhan Willyanto</t>
  </si>
  <si>
    <t>Pekalongan, 23 Juni 1985</t>
  </si>
  <si>
    <t>Field Manager Core =&gt; Core Project Manager</t>
  </si>
  <si>
    <t>change posisi allow per Apr - Des'17 prev 2.6 jt</t>
  </si>
  <si>
    <t>Karet Pedurenan Gg. H. Sidik No. 8, Kuningan - Setiabudi, Jakarta Selatan</t>
  </si>
  <si>
    <t>081519015785 / 08999958703</t>
  </si>
  <si>
    <t>Mandiri : 0700006254390</t>
  </si>
  <si>
    <t>3326172306850001</t>
  </si>
  <si>
    <t>47.621.538.9-502.000</t>
  </si>
  <si>
    <t>13043606238</t>
  </si>
  <si>
    <t>juhan.willyanto@gmail.com ; juhan.willyanto@nokia.com, juhan.willyanto@corphr-nokia.com</t>
  </si>
  <si>
    <t>Resign 15/10/2017</t>
  </si>
  <si>
    <t>Plan Resign on 15 Oct 2017, waiting 1 month notice email</t>
  </si>
  <si>
    <t>OS1703058</t>
  </si>
  <si>
    <t>Muhammad Andre</t>
  </si>
  <si>
    <t>Pekanbaru, 13 September 1992</t>
  </si>
  <si>
    <t>Jl. Riau Gg. Hj. Siti Nisab No.7 Rt/Rw.001/001 Air Hitam, Payung Sekaki, Kota Pekanbaru, Riau</t>
  </si>
  <si>
    <t>0812 6673 1155</t>
  </si>
  <si>
    <t>BRI 3281 01 021569533</t>
  </si>
  <si>
    <t>1471111309920001</t>
  </si>
  <si>
    <t>resign 31/10/2017 e_24/10/2017</t>
  </si>
  <si>
    <t>OS1705013</t>
  </si>
  <si>
    <t>Kartiwa Jumaludin</t>
  </si>
  <si>
    <t>Bandung, 11 Juli 1975</t>
  </si>
  <si>
    <t>Pre Implementation Manager</t>
  </si>
  <si>
    <t>Sarijadi Blok 26 No.108 Rt/Rw.04/01 Kel. Sukawarna Kec. Sukajadi, Bandung</t>
  </si>
  <si>
    <t xml:space="preserve">022-2013383   / 0896-55550366  </t>
  </si>
  <si>
    <t xml:space="preserve">BNI :  0328879545 </t>
  </si>
  <si>
    <t xml:space="preserve">3273071107750008   </t>
  </si>
  <si>
    <t xml:space="preserve">35.897.210.7-428.000   </t>
  </si>
  <si>
    <t xml:space="preserve">kartiwa.jumaludin@gmail.com       </t>
  </si>
  <si>
    <t>TERMINATED 31/10/2017</t>
  </si>
  <si>
    <t>Not Extend 31 Oct 2017</t>
  </si>
  <si>
    <t>OS1710066</t>
  </si>
  <si>
    <t>Sandy Prasetyo</t>
  </si>
  <si>
    <t>Bogor, 28 Januari 1979</t>
  </si>
  <si>
    <t>Business Operation Support Closing MS</t>
  </si>
  <si>
    <t>GAJI NETT</t>
  </si>
  <si>
    <t>Jl. Poncol Jaya RT 11 / RW 04, Kel. Kuningan Barat Kec. Mampang Prapatan</t>
  </si>
  <si>
    <t>0215213025 / 08118601323</t>
  </si>
  <si>
    <t>MANDIRI : 1260004737333</t>
  </si>
  <si>
    <t>3174032801790007</t>
  </si>
  <si>
    <t>247233174014000</t>
  </si>
  <si>
    <t>prasetyo_sandy@yahoo.com</t>
  </si>
  <si>
    <t>TERMINATED 4/11/2017</t>
  </si>
  <si>
    <t>OS1710068</t>
  </si>
  <si>
    <t>Aulia Rakhman Azan</t>
  </si>
  <si>
    <t>Jakarta, 5 April 1979</t>
  </si>
  <si>
    <t>Process Support Closign MS</t>
  </si>
  <si>
    <t>Jl. Lap Tenis RT03 RW05 Srengseng , Kec. Kembangan Jakarta Barat 11630</t>
  </si>
  <si>
    <t>+62 856 1633 324</t>
  </si>
  <si>
    <t>MANDIRI : 123-000-0443223-5</t>
  </si>
  <si>
    <t>3173 05050479 0008</t>
  </si>
  <si>
    <t>58.530.027.0-035.000</t>
  </si>
  <si>
    <t>aulia.r@gmail.com</t>
  </si>
  <si>
    <t>OS1112003</t>
  </si>
  <si>
    <t>Eko Purwanto</t>
  </si>
  <si>
    <t>Solo, 2 April 1984</t>
  </si>
  <si>
    <t>Jl. H. Taiman Barat No. 14e Rt 04 Rw 02 Kel. Gedong
Kec. Pasar Rebo Jakarta Timur</t>
  </si>
  <si>
    <t>0812 123 2683</t>
  </si>
  <si>
    <t>Mandiri : 124-00-0560742-0</t>
  </si>
  <si>
    <t>09.5406.020484.8535</t>
  </si>
  <si>
    <t>25.777.143.6 - 009.000</t>
  </si>
  <si>
    <t>0001630479418 OK</t>
  </si>
  <si>
    <t>exopoer@gmail.com &amp; epurwant84@yahoo.com.sg, eko.purwanto@corphr-nokia.com</t>
  </si>
  <si>
    <t>TERMINATED 31/10/2017 CANCEL SHORTEN E_23/10/2017 LANJUT HINGGA AKHIR KONTRAK</t>
  </si>
  <si>
    <t>OS1702135</t>
  </si>
  <si>
    <t>Daniel Butar Butar</t>
  </si>
  <si>
    <t>Pabatu, 5 Oktober 1980</t>
  </si>
  <si>
    <t xml:space="preserve">adj transport allow per 1 Apr'17 prev 1.5 jt </t>
  </si>
  <si>
    <t>Perumahan Kota Serang Baru Blok H-14 No. 12A Desa Wibawa Mulia, Kec. Cibarusah, Bekasi, Jawa Barat</t>
  </si>
  <si>
    <t>081237297709 / 0895332478675</t>
  </si>
  <si>
    <t>MANDIRI : 1310004041176</t>
  </si>
  <si>
    <t>3173080510801001</t>
  </si>
  <si>
    <t>24.999.700.8-445.000</t>
  </si>
  <si>
    <t>daniel.butar1980@gmail.com, daniel.butar@corphr-nokia.com</t>
  </si>
  <si>
    <t>Terminated 31/12/2017, ADA EKSES KLAIM</t>
  </si>
  <si>
    <t>OS1702172</t>
  </si>
  <si>
    <t>Terminated 31/12/2017</t>
  </si>
  <si>
    <t>OS1701003</t>
  </si>
  <si>
    <t>Apep Solihin Kamal</t>
  </si>
  <si>
    <t>Bandung, 05 aug 1970</t>
  </si>
  <si>
    <t xml:space="preserve">Jabo Banten =&gt; Surabaya </t>
  </si>
  <si>
    <t>PE TRS</t>
  </si>
  <si>
    <t>change HB &amp; entitle transport eff 20 Feb'17</t>
  </si>
  <si>
    <t>Perum Oma Indah Blok B No. 19 RT 007 / RW 11, Jatimulya Bekasi</t>
  </si>
  <si>
    <t>0817 085 1915</t>
  </si>
  <si>
    <t>Mandiri : 070-00-0106449-7</t>
  </si>
  <si>
    <t>3216060508700026</t>
  </si>
  <si>
    <t>24.773.882.6.- 061.000</t>
  </si>
  <si>
    <t>apepkamal@gmail.com, apep.solihin@corphr-nokia.com, apep.solihin@corphr-nokia.com</t>
  </si>
  <si>
    <t>OS1706009</t>
  </si>
  <si>
    <t>Rachmaddan Noor</t>
  </si>
  <si>
    <t>Balikpapan 23 Nopember 1970</t>
  </si>
  <si>
    <t>Jawa Timur (Surabaya ,Malang, Madiun, Jember, Madura)</t>
  </si>
  <si>
    <t>Jln. Pandan Arum RT.31. No.64 Balikpapan</t>
  </si>
  <si>
    <t>0813 50868250</t>
  </si>
  <si>
    <t>Mandiri : 1490007841234</t>
  </si>
  <si>
    <t>6471042311700001</t>
  </si>
  <si>
    <t>58.428.117.4.721.000</t>
  </si>
  <si>
    <t>0001172723826</t>
  </si>
  <si>
    <t>noor.rachmaddan@corphr-nokia.com</t>
  </si>
  <si>
    <t xml:space="preserve"> OS1707038</t>
  </si>
  <si>
    <t>Rosmarlina</t>
  </si>
  <si>
    <t>Jakarta, 9 April 1995</t>
  </si>
  <si>
    <t>entitle other allow per join e_9/8/2017</t>
  </si>
  <si>
    <t>Jl. Waringin RT 12 / RW 01 No. 15 Utan Kayu, Matraman, Jakarta Timur</t>
  </si>
  <si>
    <t>08159572449</t>
  </si>
  <si>
    <t>BCA : 5800302309</t>
  </si>
  <si>
    <t>3175014904951001</t>
  </si>
  <si>
    <t>46.218.087.8.001.000</t>
  </si>
  <si>
    <t>arydesril@gmail.com, rosmarlina@corphr-nokia.com</t>
  </si>
  <si>
    <t xml:space="preserve"> OS1707040</t>
  </si>
  <si>
    <t>Novi Daryanti</t>
  </si>
  <si>
    <t>Jakarta, 13 September 1993</t>
  </si>
  <si>
    <t>Jl. Petamburan 7 RT 03 / RW 07, Kel. Petamburan Kec. Tanah Abang, Jakarta Pusat 10260</t>
  </si>
  <si>
    <t>081210081473</t>
  </si>
  <si>
    <t>CIMB NIAGA : 4760102846182</t>
  </si>
  <si>
    <t>3171075309930004</t>
  </si>
  <si>
    <t>novidaryanti13@yahoo.com</t>
  </si>
  <si>
    <t>OS1709042</t>
  </si>
  <si>
    <t>Donny Harmawan</t>
  </si>
  <si>
    <t>Malang, 25 Jan 1979</t>
  </si>
  <si>
    <t>PE Support</t>
  </si>
  <si>
    <t>JL. Tenggilis Timur IV no 1, Surabaya</t>
  </si>
  <si>
    <t>031-8494263 / 082139601976</t>
  </si>
  <si>
    <t>Mandiri : 1420016058728</t>
  </si>
  <si>
    <t>3578242501790002</t>
  </si>
  <si>
    <t>24.843.609.9-615.000</t>
  </si>
  <si>
    <t>0001806257283</t>
  </si>
  <si>
    <t>donny.harmawan@gmail.com</t>
  </si>
  <si>
    <t>OS1705033</t>
  </si>
  <si>
    <t>Wisnu Saputra</t>
  </si>
  <si>
    <t>Jakarta, 16 November 1987</t>
  </si>
  <si>
    <t>RNC, BSC Engineer</t>
  </si>
  <si>
    <t>Jl. Waru 1 No.23 RT8/RW 11 RawaBuaya, Cengkareng, Jakarta Barat</t>
  </si>
  <si>
    <t>081316900412</t>
  </si>
  <si>
    <t>Bank Permata : 3110804600</t>
  </si>
  <si>
    <t>3173011611870018</t>
  </si>
  <si>
    <t>57.067.454.9-034.000</t>
  </si>
  <si>
    <t>13043605297</t>
  </si>
  <si>
    <t>0001737662501</t>
  </si>
  <si>
    <t>poetra.ckr@gmail.com</t>
  </si>
  <si>
    <t>OS1710074</t>
  </si>
  <si>
    <t>Vici Hanifan Muslimov</t>
  </si>
  <si>
    <t>Jakarta, 1 Juni 1982</t>
  </si>
  <si>
    <t>RNP 4G SCF Creator</t>
  </si>
  <si>
    <t>Jl. Cimone Permai II No.17 Tangerang 15114</t>
  </si>
  <si>
    <t>(021) 5537459 / 08161905549</t>
  </si>
  <si>
    <t>: 118-00-0477386-6</t>
  </si>
  <si>
    <t>3671074106820002</t>
  </si>
  <si>
    <t>77.172.864.9-402.000</t>
  </si>
  <si>
    <t>vchanifan@yahoo.com</t>
  </si>
  <si>
    <t>OS1710099</t>
  </si>
  <si>
    <t>Wiryawan Widyo Wasono</t>
  </si>
  <si>
    <t>Boyolali, 29 Agustus 1978</t>
  </si>
  <si>
    <t>TX Engineer - Back Office</t>
  </si>
  <si>
    <t>Kp rawa Kalong No.122 Rt04/RW10 Grogol Limo Depok</t>
  </si>
  <si>
    <t>MANDIRI : 1570005676482</t>
  </si>
  <si>
    <t>3309052908780002</t>
  </si>
  <si>
    <t>471081257527000</t>
  </si>
  <si>
    <t>wiryawan.wasono@gmail.com</t>
  </si>
  <si>
    <t>OS1710105</t>
  </si>
  <si>
    <t>Dedy Agus Susanto</t>
  </si>
  <si>
    <t>Surabaya, 14 agustus 1982</t>
  </si>
  <si>
    <t>Lingk. Jelat RT 002 RW 003, Pataruman, Banjar Jawa Barat</t>
  </si>
  <si>
    <t>(0265) 742533 / '089653986105</t>
  </si>
  <si>
    <t>MANDIRI : '1310010733915</t>
  </si>
  <si>
    <t>3279021408820004</t>
  </si>
  <si>
    <t>24.887.019.8-017.000</t>
  </si>
  <si>
    <t>0001375294465</t>
  </si>
  <si>
    <t>dedy.susanto8277@gmail.com</t>
  </si>
  <si>
    <t>OS1702180</t>
  </si>
  <si>
    <t>ENTITLE SHIFT ALLOWANCE</t>
  </si>
  <si>
    <t>081231424457 / 08973766399</t>
  </si>
  <si>
    <t>17018930218</t>
  </si>
  <si>
    <t>0001738832703</t>
  </si>
  <si>
    <t>rizq.rahman67@gmail.com, rizky.rahman67@gmail.com</t>
  </si>
  <si>
    <t>087774219186 / 087774219186</t>
  </si>
  <si>
    <t>09-667-927-9-036-000</t>
  </si>
  <si>
    <t>0001629974632</t>
  </si>
  <si>
    <t>edwinanto.gdc@gmail.com</t>
  </si>
  <si>
    <t>LANJUT YANG INDOHR</t>
  </si>
  <si>
    <t>0001644780115</t>
  </si>
  <si>
    <t>prastiwi0212@gmail.com</t>
  </si>
  <si>
    <t>OS1702204</t>
  </si>
  <si>
    <t>Purwo Suprihanto</t>
  </si>
  <si>
    <t>Cimahi, 9 Januari 1978</t>
  </si>
  <si>
    <t>Jl. Padat Karya. Kp. Gn Leutik. RT 06, RW 04. Keluharan Cibeber, Kec. Cimahi Selatan 40521</t>
  </si>
  <si>
    <t>082319337687</t>
  </si>
  <si>
    <t>BCA : 139 117 3821</t>
  </si>
  <si>
    <t>3174080901780007</t>
  </si>
  <si>
    <t>14.343.9669-821.000</t>
  </si>
  <si>
    <t>13043606766</t>
  </si>
  <si>
    <t>0001651542197</t>
  </si>
  <si>
    <t>purwo.suprihanto.acc01@gmail.com</t>
  </si>
  <si>
    <t>OS1710104</t>
  </si>
  <si>
    <t>Ari Ibnu Jarir</t>
  </si>
  <si>
    <t>Cilacap, 17 November 1979</t>
  </si>
  <si>
    <t>Pratama Bintaro residence Blok B no.8 Kampung sawah, Ciputat,Tangsel</t>
  </si>
  <si>
    <t>BCA : 0052227672</t>
  </si>
  <si>
    <t>3175071711790013</t>
  </si>
  <si>
    <t>249261769411000</t>
  </si>
  <si>
    <t>11022667478</t>
  </si>
  <si>
    <t>0001644781015</t>
  </si>
  <si>
    <t>ariibnu79@gmail.com</t>
  </si>
  <si>
    <t>OS1702139</t>
  </si>
  <si>
    <t>Daud Ronald Situmorang</t>
  </si>
  <si>
    <t>Medan, 19 September 1982</t>
  </si>
  <si>
    <t>Batam =&gt; Batam, Padang Area</t>
  </si>
  <si>
    <t>change HB &amp; trnsprt allow eff 11 Apr'17 prev 1.5 jt</t>
  </si>
  <si>
    <t>Jl. Merpati 3 No. 21 C RT 03 / RW 15, Kel. Menteng Dalam Kec. Tebet, Jakarta Selatan</t>
  </si>
  <si>
    <t xml:space="preserve">08121950811  </t>
  </si>
  <si>
    <t xml:space="preserve">BCA : 6000038642   </t>
  </si>
  <si>
    <t xml:space="preserve">1703121909820002   </t>
  </si>
  <si>
    <t xml:space="preserve">16.939.535.7-015.000   </t>
  </si>
  <si>
    <t>daudronald@gmail.com       , daud.ronald@corphr-nokia.com</t>
  </si>
  <si>
    <t>Terminated 31/1/2018</t>
  </si>
  <si>
    <t>End Contract P1 2018</t>
  </si>
  <si>
    <t>OS1702156</t>
  </si>
  <si>
    <t>Sofyan Syukur</t>
  </si>
  <si>
    <t>Ujung Pandang, 21 aug 1989</t>
  </si>
  <si>
    <t>Jl. Yos Sudarso II No. 14 RT 02 / RW 04, Kel. Tabaringan Kec. Ujung Tanah, Kota Makassar</t>
  </si>
  <si>
    <t>085221937667</t>
  </si>
  <si>
    <t>BCA : 7300104392 a/n Sofyan Syukur</t>
  </si>
  <si>
    <t xml:space="preserve">7371082108890005   </t>
  </si>
  <si>
    <t xml:space="preserve">57.915.751.2-801.000   </t>
  </si>
  <si>
    <t>0001796941629</t>
  </si>
  <si>
    <t>sofyan_syukur@yahoo.com, sofyan.syukur@corphr-nokia.com</t>
  </si>
  <si>
    <t>OS1702199</t>
  </si>
  <si>
    <t>Dika Agustiyo Saputro</t>
  </si>
  <si>
    <t>Jember, 12 aug 1991</t>
  </si>
  <si>
    <t>Ds Wangkalkepuh Rt/rw 02/01 Gudo Jombang</t>
  </si>
  <si>
    <t xml:space="preserve">08113076888 / 085646769494  </t>
  </si>
  <si>
    <t xml:space="preserve">BCA : 3971246489   </t>
  </si>
  <si>
    <t xml:space="preserve">3517021208910002   </t>
  </si>
  <si>
    <t xml:space="preserve">14024713282   </t>
  </si>
  <si>
    <t>dikaas01@gmail.com, agustiyodika@gmail.com       ,  dika.agustiyo@corphr-nokia.com</t>
  </si>
  <si>
    <t>OS1704021</t>
  </si>
  <si>
    <t>Riski Arianto Tana</t>
  </si>
  <si>
    <t>Jakarta, 13 aug 1987</t>
  </si>
  <si>
    <t>Jawa Timur, Surabaya</t>
  </si>
  <si>
    <t>PE</t>
  </si>
  <si>
    <t>Jl. Kartika No. 34A RT 003 RW 002 Kel. Singki Kec.Rantepao Prov. Sulawesi Selatan</t>
  </si>
  <si>
    <t xml:space="preserve">081242932352  </t>
  </si>
  <si>
    <t xml:space="preserve">Mandiri : 142-00-1313340-9   </t>
  </si>
  <si>
    <t xml:space="preserve">3275031308870024   </t>
  </si>
  <si>
    <t xml:space="preserve">54.625.427.7-407.000   </t>
  </si>
  <si>
    <t xml:space="preserve">16038285587   </t>
  </si>
  <si>
    <t>riskitana1314@gmail.com</t>
  </si>
  <si>
    <t>Sumatera Selatan (Bengkulu, Lampung, Jambi, Palembang)</t>
  </si>
  <si>
    <t>0821-7797-7271</t>
  </si>
  <si>
    <t>1671070812900011</t>
  </si>
  <si>
    <t>pandri.regar@gmail.com, pandri.siregar@corphr-nokia.com</t>
  </si>
  <si>
    <t xml:space="preserve">OS1702178 </t>
  </si>
  <si>
    <t>Sumatera Selatan (Bengkulu, Lampung, Jambi &amp; Palembang)</t>
  </si>
  <si>
    <t>085643835550 / 081219962341</t>
  </si>
  <si>
    <t>CIMB NIAGA : 702361002000</t>
  </si>
  <si>
    <t>dedy.permana86@gmail.com</t>
  </si>
  <si>
    <t xml:space="preserve"> OS1702207 </t>
  </si>
  <si>
    <t>Area Sumatera (Pekanbaru, Padang, Batam)</t>
  </si>
  <si>
    <t>081284940183 / 08979689781</t>
  </si>
  <si>
    <t>MANDIRI : 900-00-1433-564-1</t>
  </si>
  <si>
    <t>3671070110810003</t>
  </si>
  <si>
    <t>57.714.159.1-402.000</t>
  </si>
  <si>
    <t>17018929996</t>
  </si>
  <si>
    <t>0002101994109</t>
  </si>
  <si>
    <t>jobs_zie@yahoo.com</t>
  </si>
  <si>
    <t>Area Sumatera ( Pekanbaru, Padang, Batam)</t>
  </si>
  <si>
    <t>1480789373</t>
  </si>
  <si>
    <t xml:space="preserve"> OS1702169</t>
  </si>
  <si>
    <t>Sumatera Utara (Medan, Siantar, Aceh)</t>
  </si>
  <si>
    <t>08163104271</t>
  </si>
  <si>
    <t>MANDIRI : 1060004526029</t>
  </si>
  <si>
    <t>120803180582001</t>
  </si>
  <si>
    <t>77.816.962.3-11.000</t>
  </si>
  <si>
    <t>17011977091</t>
  </si>
  <si>
    <t>undang.gani@gmail.com</t>
  </si>
  <si>
    <t>TSSR + Colo Form + SAAF + Issue Site + Documentation</t>
  </si>
  <si>
    <t>081294775599 / '089614226081</t>
  </si>
  <si>
    <t>MANDIRI : 1020005913139</t>
  </si>
  <si>
    <t>3578 1115 0479 0006</t>
  </si>
  <si>
    <t>24.857.392.5-061.000</t>
  </si>
  <si>
    <t>170011977042</t>
  </si>
  <si>
    <t>0001738832725</t>
  </si>
  <si>
    <t>angger.bagus@gmail.com</t>
  </si>
  <si>
    <t>OS1711032</t>
  </si>
  <si>
    <t>Suyanto</t>
  </si>
  <si>
    <t>Kroya Cilacap, 11 Juni 1966</t>
  </si>
  <si>
    <t>FPH Engineer FALU TX</t>
  </si>
  <si>
    <t>Jln. Jurang Mesjid Al-Furqon No.513A/181 RT04/04 (Sebelah AlfaMart) Cemara-Cipaganti Bandung 40161</t>
  </si>
  <si>
    <t>022.2042257 / 0811199297</t>
  </si>
  <si>
    <t>MANDIRI : 070.00-0401805-2</t>
  </si>
  <si>
    <t>3273071106660001</t>
  </si>
  <si>
    <t>77.111.360.2-428.000</t>
  </si>
  <si>
    <t>0001644782027</t>
  </si>
  <si>
    <t>suyantobdg@gmail.com</t>
  </si>
  <si>
    <t>OS1711043</t>
  </si>
  <si>
    <t>Rina Rosmiati</t>
  </si>
  <si>
    <t>Jakarta, 06 November 1978</t>
  </si>
  <si>
    <t>POR Creator &amp; WCC Admin</t>
  </si>
  <si>
    <t>Perumahan Sawo Griya Kencana 1 blok D.5 jl arthayasa Limo Depok</t>
  </si>
  <si>
    <t>021-7546862 / 08176816283</t>
  </si>
  <si>
    <t>BCA : '2040103671</t>
  </si>
  <si>
    <t>3276044611780004</t>
  </si>
  <si>
    <t>247682735412000</t>
  </si>
  <si>
    <t>rina.rosmiati.ext@gmail.com</t>
  </si>
  <si>
    <t>OS1702144</t>
  </si>
  <si>
    <t>Mochamad Cholilur Rochman</t>
  </si>
  <si>
    <t>Blora, 2 Juni 1988</t>
  </si>
  <si>
    <t>Perum Graha Aisyah No. 24 RT 01 / RW 01, Kel. Kalianyar Kec. Kapas, Bojonegoro</t>
  </si>
  <si>
    <t xml:space="preserve">081333039494  / 089682699109   </t>
  </si>
  <si>
    <t xml:space="preserve">BCA : 196 030 7361   </t>
  </si>
  <si>
    <t xml:space="preserve">33.1609.020688.0004   </t>
  </si>
  <si>
    <t xml:space="preserve">59.573.604.2-514.000   </t>
  </si>
  <si>
    <t>cholil.project@gmail.com       , mochamad.cholilur@corphr-nokia.com</t>
  </si>
  <si>
    <t>Terminated 28/2/2018</t>
  </si>
  <si>
    <t>OS1702202</t>
  </si>
  <si>
    <t>Endang</t>
  </si>
  <si>
    <t>Jakarta,22 Mei 1983</t>
  </si>
  <si>
    <t>Pekanbaru, Aceh (temporary support Batam)</t>
  </si>
  <si>
    <t>PE TRX RTN</t>
  </si>
  <si>
    <t>Beverly Park Blok E / 8 Rt/Rw.001/028 Belian, Batam Kota, Kota Batam, Riau</t>
  </si>
  <si>
    <t xml:space="preserve">6282178878400  </t>
  </si>
  <si>
    <t xml:space="preserve">BCA : 0072708600   </t>
  </si>
  <si>
    <t xml:space="preserve">3172032205830015   </t>
  </si>
  <si>
    <t xml:space="preserve">772141677045000   </t>
  </si>
  <si>
    <t>mr.endang38@gmail.com       , endang@corphr-nokia.com</t>
  </si>
  <si>
    <t>OS1708039</t>
  </si>
  <si>
    <t>Muhammad Fadhli Saputra</t>
  </si>
  <si>
    <t>Palembang, 25 Februari 1996</t>
  </si>
  <si>
    <t>Jakarta =&gt; Palembang 1/1/2018</t>
  </si>
  <si>
    <t>DCC Admin</t>
  </si>
  <si>
    <t>Jl. Segaran Gg. Rukun Lrg, Tanjung Palembang</t>
  </si>
  <si>
    <t>08987917930</t>
  </si>
  <si>
    <t>BCA : 2550042145</t>
  </si>
  <si>
    <t>1671062502960004</t>
  </si>
  <si>
    <t>1726449658</t>
  </si>
  <si>
    <t>fadhlisaputra7z@gmail.com</t>
  </si>
  <si>
    <t xml:space="preserve"> OS1708053</t>
  </si>
  <si>
    <t>Deasy Natalia Panjaitan</t>
  </si>
  <si>
    <t>Medan, 16 Desember 1982</t>
  </si>
  <si>
    <t>Jl. Gurilla No. 24, Sei Kera Hilir II Medan 20233</t>
  </si>
  <si>
    <t>081362095447</t>
  </si>
  <si>
    <t>BRI : 050501012010500</t>
  </si>
  <si>
    <t>1271185612820003</t>
  </si>
  <si>
    <t>deasynataliap4@gmail.com</t>
  </si>
  <si>
    <t>OS1709022</t>
  </si>
  <si>
    <t>Yanti Widiharti</t>
  </si>
  <si>
    <t>Bandung, 13 April 1980</t>
  </si>
  <si>
    <t>ISR Project Support</t>
  </si>
  <si>
    <t>Jl. Palbatu III Gg. RR / 54 RT 09 / RW 11, Jakarta Selatan</t>
  </si>
  <si>
    <t>089656010086</t>
  </si>
  <si>
    <t>Mandiri : 0700006003029</t>
  </si>
  <si>
    <t>3174015304800004</t>
  </si>
  <si>
    <t>477689533421000</t>
  </si>
  <si>
    <t>14024402050</t>
  </si>
  <si>
    <t>yanthie13@yahoo.com</t>
  </si>
  <si>
    <t>resign 15/2/2018</t>
  </si>
  <si>
    <t>OS1702163</t>
  </si>
  <si>
    <t>Yoga Satriatama</t>
  </si>
  <si>
    <t>Blitar, 12 April 1988</t>
  </si>
  <si>
    <t>Jl. Pusaka 15 Rt/Rw.001/002 Ngebrak kel. Tawangsari Kec. Garum Kab. Blitar</t>
  </si>
  <si>
    <t>0895350747123 / 082244279992</t>
  </si>
  <si>
    <t>MANDIRI : 142-00-1554556-8</t>
  </si>
  <si>
    <t>3505111204880001</t>
  </si>
  <si>
    <t>64.145.851.653.000</t>
  </si>
  <si>
    <t>yoga.satriatama666@gmail.com, yoga.satriatama@corphr-nokia.com</t>
  </si>
  <si>
    <t>Terminated 28/2/2018, insurance card blm kembali</t>
  </si>
  <si>
    <t>OS1707024</t>
  </si>
  <si>
    <t>Muhammad Ilyas</t>
  </si>
  <si>
    <t>Jakarta, 14 aug 1997</t>
  </si>
  <si>
    <t>adj 1 Jan '18 prev 2,7 jt</t>
  </si>
  <si>
    <t>Jl. Mp Prapatan XI RT 09 / RW 01, Kel. Tegal Parang Kec. Jakarta Selatan</t>
  </si>
  <si>
    <t>0896-6135-8707</t>
  </si>
  <si>
    <t>2100025755 a.n Fitriani</t>
  </si>
  <si>
    <t>3174031408970003</t>
  </si>
  <si>
    <t>iiyoy.1408@gmail.com</t>
  </si>
  <si>
    <t>OS1710073</t>
  </si>
  <si>
    <t>Jakarta &amp; Medan</t>
  </si>
  <si>
    <t>OS1701002</t>
  </si>
  <si>
    <t>Zulfadly</t>
  </si>
  <si>
    <t>Medan 15 Juni 1980</t>
  </si>
  <si>
    <t>Sumatra Utara ( Medan, Siantar, Aceh)</t>
  </si>
  <si>
    <t>Quality Engineer</t>
  </si>
  <si>
    <t>Jl. Purwo gg melati dsn 3 Suka makmur kec. Delitua, kab deli serdang sumut</t>
  </si>
  <si>
    <t>08163179015 / 081269447527</t>
  </si>
  <si>
    <t>MANDIRI : 106 000 222 1615</t>
  </si>
  <si>
    <t>1207221506800002</t>
  </si>
  <si>
    <t>247646938113000</t>
  </si>
  <si>
    <t>zulfadly.3003@yahoo.co.id</t>
  </si>
  <si>
    <t>OS1709038</t>
  </si>
  <si>
    <t>Syafruddin</t>
  </si>
  <si>
    <t>Pa'rasangan Beru, 02 Januari 1979</t>
  </si>
  <si>
    <t>change other allow eff 1 Feb'18 prev 1.3 jt</t>
  </si>
  <si>
    <t>Jl. Bonto Ramba LR I No. 113 RT 04 / RW 06, Kel. Pa'baeng Baeng Kec. Tamalate, Kota Makassar</t>
  </si>
  <si>
    <t>BCA 7325108738 a/n SYAFRUDDIN</t>
  </si>
  <si>
    <t>7371100201790014</t>
  </si>
  <si>
    <t>OS1702164</t>
  </si>
  <si>
    <t>Hendry Mulyana</t>
  </si>
  <si>
    <t>Bandung, 11 April 1985</t>
  </si>
  <si>
    <t>Kp. Karang Tengah Ds. Lumajang</t>
  </si>
  <si>
    <t xml:space="preserve">081223861455   </t>
  </si>
  <si>
    <t xml:space="preserve">MANDIRI : 1420015545550   </t>
  </si>
  <si>
    <t xml:space="preserve">3204151104850005   </t>
  </si>
  <si>
    <t xml:space="preserve">46.117.227.2-445.000   </t>
  </si>
  <si>
    <t>hendrycandika@gmail.com       , henry.mulyana@corphr-nokia.com</t>
  </si>
  <si>
    <t>Sudah End 31 Mar 2018</t>
  </si>
  <si>
    <t>OS1710072</t>
  </si>
  <si>
    <t>Freddy Susanto</t>
  </si>
  <si>
    <t>Palembang, 22 Maret 1974</t>
  </si>
  <si>
    <t>Jl. Karang Kates V No. 10 RT 03 / RW 11, Cibodas Baru, Tangerang</t>
  </si>
  <si>
    <t>021-5912946 / 08121024922</t>
  </si>
  <si>
    <t>MANDIRI : 1550002026196</t>
  </si>
  <si>
    <t>3671092203740002</t>
  </si>
  <si>
    <t>24.678.191.8-402.000</t>
  </si>
  <si>
    <t>0001736223928</t>
  </si>
  <si>
    <t>freddy.susanto@gmail.com</t>
  </si>
  <si>
    <t>OS1709041</t>
  </si>
  <si>
    <t>Erlan Yacub</t>
  </si>
  <si>
    <t>Bone, 9 Desember 1982</t>
  </si>
  <si>
    <t>GNIC ZM =&gt; GNIC Engineer Level 3 eff 1/3/18</t>
  </si>
  <si>
    <t>change eff 1 Mar'18 CA 1 jt posisi 2 jt laptop 500 rb BB 150 rb</t>
  </si>
  <si>
    <t>Jl. Bonang 4 No. 55 Komp. AL. Sinar Pondok Benda RT 02 / RW 07, Kota Bekasi</t>
  </si>
  <si>
    <t>082111510103</t>
  </si>
  <si>
    <t>BCA : 2551275100</t>
  </si>
  <si>
    <t>3275090912820013</t>
  </si>
  <si>
    <t>578908840435000</t>
  </si>
  <si>
    <t>new</t>
  </si>
  <si>
    <t>0001644782602</t>
  </si>
  <si>
    <t>rland_ycb@yahoo.com, erlan.yacub@gmail.com</t>
  </si>
  <si>
    <t>ENTITLE SHIFT ALLOW</t>
  </si>
  <si>
    <t>081220100794</t>
  </si>
  <si>
    <t>MANDIRI  1420004077201</t>
  </si>
  <si>
    <t>47.774.661.4-601.000</t>
  </si>
  <si>
    <t>0001644743924</t>
  </si>
  <si>
    <t>dhedik.into@gmail.com</t>
  </si>
  <si>
    <t>Terminated 11/04/2018</t>
  </si>
  <si>
    <t>Not Extend 11 April 2018</t>
  </si>
  <si>
    <t>Jakarta, 13 Agustus 1987</t>
  </si>
  <si>
    <t>081242932352</t>
  </si>
  <si>
    <t>Mandiri  142-00-1313340-9</t>
  </si>
  <si>
    <t>3275031308870024</t>
  </si>
  <si>
    <t>54.625.427.7-407.000</t>
  </si>
  <si>
    <t>16038285587</t>
  </si>
  <si>
    <t>0001738832455</t>
  </si>
  <si>
    <t>Terminated 30/04/2018</t>
  </si>
  <si>
    <t>30 Apr '18 / 18 Apr '18</t>
  </si>
  <si>
    <t>OS1311065</t>
  </si>
  <si>
    <t>Susilo Subekti</t>
  </si>
  <si>
    <t>Flexi Assign / Martapura/Lampung =&gt; Surabaya</t>
  </si>
  <si>
    <t>Field Project Coordination</t>
  </si>
  <si>
    <t>entitle laptop allow 1 Feb'17 ; eff per 1 Jan '17 HB allw move to other allw e_06/12/16; normal area</t>
  </si>
  <si>
    <t>Jl. Jelidro Makam Islam Kav. 16, Surabay</t>
  </si>
  <si>
    <t>0812 19377388</t>
  </si>
  <si>
    <t>BNI : 0099345372</t>
  </si>
  <si>
    <t>75.680.730.1.614.000</t>
  </si>
  <si>
    <t>0001628834523 OK</t>
  </si>
  <si>
    <t>susilo.subekti@gmail.com, susilo.subekti@corphr-nokia.com, susilo.subekti@corphr-nokia.com</t>
  </si>
  <si>
    <t>OS1408014</t>
  </si>
  <si>
    <t>R. Wahyudi Alan Pangestu</t>
  </si>
  <si>
    <t>Lendang Nangka, 18 Januari 1989</t>
  </si>
  <si>
    <t>Jabo Banten =&gt; Surabaya =&gt; Bali</t>
  </si>
  <si>
    <t>TSEL =&gt; HCPT</t>
  </si>
  <si>
    <t>Project Engineer =&gt; Field Manager =&gt; Zone Manager =&gt; Acceptance Lead 1/1/2018</t>
  </si>
  <si>
    <t>eff 1 Jan'17 posisi allow prev 4.5 jt ; change posisi allow per Mei - Sep'17 prev 3.5 jt ; change HB eff 1 Mar'17 ; change title eff 1 Mar'17 adj BS 10% prev 6.5 jt posisi prev 2 jt transport prev none ; per 2 Nov '16 move to HCPT (entitle post allw &amp; laptop allw)</t>
  </si>
  <si>
    <t>Kp. Dalem Lauk Kel. Lendang Nangka Kec. Masbagik, Lombok Timur</t>
  </si>
  <si>
    <t>0376.631524 / 0815 58977777</t>
  </si>
  <si>
    <t>Mandiri : 1450009901733</t>
  </si>
  <si>
    <t>5203051801890003</t>
  </si>
  <si>
    <t>45.394.546.1.915.000</t>
  </si>
  <si>
    <t>yutt.pangestu@gmail.com, raden.wahyudi@corphr-nokia.com, raden.pangestu@corphr-nokia.com</t>
  </si>
  <si>
    <t>OS1702153</t>
  </si>
  <si>
    <t>Ibnu Ali Firmansyah</t>
  </si>
  <si>
    <t>Surabaya, 28 Mei 1991</t>
  </si>
  <si>
    <t>Jl. Setro Baru Utara 4/130 Rt/Rw.008/003 Kel. Dukuh Setro Kec. Tambak Sari, Surabaya</t>
  </si>
  <si>
    <t>081232303314 / 085655058014</t>
  </si>
  <si>
    <t>BCA : 2582125849</t>
  </si>
  <si>
    <t>3578102805910009</t>
  </si>
  <si>
    <t>73.059.572.5.619.000</t>
  </si>
  <si>
    <t>firmansyahibnuali@gmail.com, ibnu.firmansyah@corphr-nokia.com, ibnu.ali@@corphr-nokia.com</t>
  </si>
  <si>
    <t>OS1702160</t>
  </si>
  <si>
    <t>Rio Inrianto Tana</t>
  </si>
  <si>
    <t>Jakarta, 5 September 1981</t>
  </si>
  <si>
    <t>Taman Wisma Asri CC 36 No.12 Rt/Rw.002/026 Teluk Pucung, Bekasi Utara, Kota Bekasi</t>
  </si>
  <si>
    <t xml:space="preserve">021-8879572   / 081382927981  </t>
  </si>
  <si>
    <t xml:space="preserve">BRI : 0183-01-006406-53-9   </t>
  </si>
  <si>
    <t>3275030509810022</t>
  </si>
  <si>
    <t xml:space="preserve">46.345.343.1-407.000   </t>
  </si>
  <si>
    <t>15037584172</t>
  </si>
  <si>
    <t>rio.inrianto.tana@gmail.com, rio.tana@corphr-nokia.com</t>
  </si>
  <si>
    <t>OS1702205</t>
  </si>
  <si>
    <t>Dedy Syah Putra</t>
  </si>
  <si>
    <t>Langsa, 28 Maret 1983</t>
  </si>
  <si>
    <t>RAN Engineer =&gt; FM 1/11/2017</t>
  </si>
  <si>
    <t>change posisi + entitle other allow per 1 Nov - 31 Des '17</t>
  </si>
  <si>
    <t>Bancak 1, Rt 03/02, Gebyog, Mojogedang, Karang Anyar, Jawa Tengah</t>
  </si>
  <si>
    <t xml:space="preserve">085799777928   </t>
  </si>
  <si>
    <t xml:space="preserve">BCA : 8030089228   </t>
  </si>
  <si>
    <t xml:space="preserve">3313152809830001   </t>
  </si>
  <si>
    <t xml:space="preserve">55.321.113.7-528.000   </t>
  </si>
  <si>
    <t>putra.ace@gmail.com   , dedi.syahputra@corphr-nokia.com</t>
  </si>
  <si>
    <t>OS1702210</t>
  </si>
  <si>
    <t>Rochmat Pamuji</t>
  </si>
  <si>
    <t>Semarang, 31 Januari 1990</t>
  </si>
  <si>
    <t>Jl. Pekunden Barat No.885 Rt/Rw.003/001 Pekunden, Semarang Tengah, Kota Semarang</t>
  </si>
  <si>
    <t xml:space="preserve">089677014808   / 085799890217  </t>
  </si>
  <si>
    <t xml:space="preserve">BCA : 6115091780   </t>
  </si>
  <si>
    <t xml:space="preserve">3374013101900001   </t>
  </si>
  <si>
    <t xml:space="preserve">08017915094   </t>
  </si>
  <si>
    <t>freddychiko31@gmail.com, rohmat.pamuji@corphr-nokia.com, rochmatpamuji31@gmail.com</t>
  </si>
  <si>
    <t>OS1703040</t>
  </si>
  <si>
    <t>Agus Murdjani</t>
  </si>
  <si>
    <t>Bandung, 01 aug 1969</t>
  </si>
  <si>
    <t>Project Manager Subcont H3I</t>
  </si>
  <si>
    <t>Jl. Sriwijaya IX No. 38, RT 006 / RW 008, Ds. Setiamanah, Kec. Cimahi Tengah, Kota Cimahi 40524</t>
  </si>
  <si>
    <t xml:space="preserve">&amp;62226641488   / &amp;628988088777  </t>
  </si>
  <si>
    <t xml:space="preserve">BNI : 0022626487   </t>
  </si>
  <si>
    <t xml:space="preserve">3204110108690009   </t>
  </si>
  <si>
    <t xml:space="preserve">59.096.953.1-421.000   </t>
  </si>
  <si>
    <t>0001742011132 KLINIK RAHMANI CIMAHI</t>
  </si>
  <si>
    <t xml:space="preserve">gusmur69@gmail.com       </t>
  </si>
  <si>
    <t>OS1610015</t>
  </si>
  <si>
    <t>Zaelani Amsari</t>
  </si>
  <si>
    <t>Jakarta, 24 Maret 1977</t>
  </si>
  <si>
    <t>Project Engineer TRS =&gt; IP RAN Engineer =&gt; Field Manager Core H3I</t>
  </si>
  <si>
    <t>adj BS 10% eff 1 Mar'17 prev 12 jt ; change posisi &amp; project eff 1 Mar'17 ; posisi allow 1 Mar'17 prev none</t>
  </si>
  <si>
    <t>Jl M Kahfi II, Gg H Misan Rt 001/03, Kel Cipedak, Kec Jagakarsa, Jakarta Selatan</t>
  </si>
  <si>
    <t>081514412393</t>
  </si>
  <si>
    <t>BCA : 7330360610</t>
  </si>
  <si>
    <t>3276012403770001</t>
  </si>
  <si>
    <t>47.621.554.6.412.000</t>
  </si>
  <si>
    <t>14000211483</t>
  </si>
  <si>
    <t>zaelani_zayz@yahoo.co.id, zaelani.amsari@corphr-nokia.com</t>
  </si>
  <si>
    <t>OS1703057</t>
  </si>
  <si>
    <t>Bahtiar</t>
  </si>
  <si>
    <t>Ujung Pandang, 15 April 1979</t>
  </si>
  <si>
    <t>Jl. Abubakar Lambogo Lr.17/47 Rt/Rw. 006/002 Bara Baraya Timur, Makassar, Sulawesi Selatan</t>
  </si>
  <si>
    <t>0856 96961411</t>
  </si>
  <si>
    <t>Mandiri 152 00 1015806 7 a.n BACHTIAR</t>
  </si>
  <si>
    <t>7371031504790010</t>
  </si>
  <si>
    <t>14019831453</t>
  </si>
  <si>
    <t>OS1703069</t>
  </si>
  <si>
    <t>Sukabumi 5 Juni 1970</t>
  </si>
  <si>
    <t>Malang</t>
  </si>
  <si>
    <t>PCP1, Jl. Anak Krakatau Blok A4 No. 12 A Cibeureum - Sukabumi</t>
  </si>
  <si>
    <t xml:space="preserve">081296974446  </t>
  </si>
  <si>
    <t xml:space="preserve">Mandiri : 900-00-2958487-8   </t>
  </si>
  <si>
    <t>3272070506700905</t>
  </si>
  <si>
    <t xml:space="preserve">24.231.424.3-405.000   </t>
  </si>
  <si>
    <t>joena.dedi@gmail.com       , dedi.junaedi@corphr-nokia.com</t>
  </si>
  <si>
    <t>OS1703070</t>
  </si>
  <si>
    <t>Andri Pratama</t>
  </si>
  <si>
    <t>Sei Rotan , 7 April 1993</t>
  </si>
  <si>
    <t>Medan =&gt; Jakarta</t>
  </si>
  <si>
    <t>PE RAN IP</t>
  </si>
  <si>
    <t>change HB 1 Juni'17 transp allow prev 2.5 jt</t>
  </si>
  <si>
    <t>Dusun I Sei Rotan RT 013 / RW 004 Desa Sei Rotan Kecamatan Percut Sei Tuan</t>
  </si>
  <si>
    <t>&amp;62811993007 | &amp;628566100077</t>
  </si>
  <si>
    <t>Mandiri : 106 00 1089361 1</t>
  </si>
  <si>
    <t xml:space="preserve">1207260704930010   </t>
  </si>
  <si>
    <t>0001634458678 KLINIK TIARA MEDISTRA</t>
  </si>
  <si>
    <t xml:space="preserve">andripratama3@gmail.com       </t>
  </si>
  <si>
    <t>081397412597</t>
  </si>
  <si>
    <t>MANDIRI : 106.00.0596724.8</t>
  </si>
  <si>
    <t>1207261506760011</t>
  </si>
  <si>
    <t>58.477.798.1-125.000</t>
  </si>
  <si>
    <t>17018930036</t>
  </si>
  <si>
    <t>0001630839014</t>
  </si>
  <si>
    <t>jimmynababan76@gmail.com, jimmy_nababan2000@yahoo.com</t>
  </si>
  <si>
    <t>Palembang, 18 Desember 1983</t>
  </si>
  <si>
    <t>0711 370459 / 081281002062 / 08983022000</t>
  </si>
  <si>
    <t>MANDIRI : 113-00-0465327-9</t>
  </si>
  <si>
    <t>1671015812830004</t>
  </si>
  <si>
    <t>69.658.307.9-307.000</t>
  </si>
  <si>
    <t>16042515714</t>
  </si>
  <si>
    <t>0001647482376</t>
  </si>
  <si>
    <t>redhati.maulisa@gmail.com, redhati_maulisa@yahoo.com</t>
  </si>
  <si>
    <t>OS1710106</t>
  </si>
  <si>
    <t>Rusdi Tamrin</t>
  </si>
  <si>
    <t>Palembang, 6 Oktober 1982</t>
  </si>
  <si>
    <t xml:space="preserve"> BS revisi prev 3 jt e_10/11/2017 (terlewat blm di update) ; Eff 1 Mar'18 laptop none prev 500 rb ; entitle laptop eff 1 Nov 2017</t>
  </si>
  <si>
    <t>Jl. Kadir TKR LR Beriang No. 1304 RT 37 / RW 09, Kel. 36 Ilir Kec. Gandus, Palembang</t>
  </si>
  <si>
    <t>0853-79015452</t>
  </si>
  <si>
    <t>MANDIRI : 1130007233632</t>
  </si>
  <si>
    <t>1671120610820001</t>
  </si>
  <si>
    <t>15043036746</t>
  </si>
  <si>
    <t>renokiapalembang@gmail.com, tamrin.rusdi88@gmail.com</t>
  </si>
  <si>
    <t>+6281375621009</t>
  </si>
  <si>
    <t>MANDIRI : '108-00-131-600-57</t>
  </si>
  <si>
    <t>30 Januari 1973</t>
  </si>
  <si>
    <t>Pre Implementation Lead</t>
  </si>
  <si>
    <t>Jl. Jelidro Makam Islam Kav. 16, Surabaya</t>
  </si>
  <si>
    <t>BT Allow. (transfer tgl 7)</t>
  </si>
  <si>
    <t xml:space="preserve">Update by Johny </t>
  </si>
  <si>
    <t>OS1401004</t>
  </si>
  <si>
    <t>Rose Anastha</t>
  </si>
  <si>
    <t>SM</t>
  </si>
  <si>
    <t>Telkomsel</t>
  </si>
  <si>
    <t>Project Support service A</t>
  </si>
  <si>
    <t>Jl. Poncol Jaya Rt/Rw.11/04 Kuningan Barat, Mampang Prapatan, Jakarta Selatan</t>
  </si>
  <si>
    <t>0899 0420529</t>
  </si>
  <si>
    <t>Mandiri : 1270002068136</t>
  </si>
  <si>
    <t>3174036911800009</t>
  </si>
  <si>
    <t>59.060.070.6.432.000</t>
  </si>
  <si>
    <t>r.anastha@gmail.com, rose.anastha@corphr-nokia.com</t>
  </si>
  <si>
    <t>extension contract until P3 2018</t>
  </si>
  <si>
    <t>OS1401013</t>
  </si>
  <si>
    <t>Netty Herawaty Edy</t>
  </si>
  <si>
    <t>Sengkang, 5 November 1978</t>
  </si>
  <si>
    <t>Vila Mutiara, Jl. Mutiara Elok 3/28 Rt.004 Rw.005 Kel. Bulurokeng Kec. Biring Kanaya, Makassar</t>
  </si>
  <si>
    <t>0812 42002383</t>
  </si>
  <si>
    <t>Mandiri : 152-00-0454423-1</t>
  </si>
  <si>
    <t>7371114511780006</t>
  </si>
  <si>
    <t>08.269.253.4-801.001</t>
  </si>
  <si>
    <t>0001260073631 - KELUARGA</t>
  </si>
  <si>
    <t>nettyedy@gmail.com, netty.edy@corphr-nokia.com</t>
  </si>
  <si>
    <t>OS1501033</t>
  </si>
  <si>
    <t>Andhy Ferdian</t>
  </si>
  <si>
    <t>Jakarta, 30 Juli 1986</t>
  </si>
  <si>
    <t>Bast Document</t>
  </si>
  <si>
    <t>adjust 10% 1 Apr'16 prev 6.5 jt</t>
  </si>
  <si>
    <t>Kp.Payangan No.58 RT/RW 006/007, Kelurahan Jatisari, Kecmatan Jatiasih</t>
  </si>
  <si>
    <t>0857 11228813 / 0813 81461204</t>
  </si>
  <si>
    <t>BCA : 2551248404</t>
  </si>
  <si>
    <t>87.609.328.7-432.000</t>
  </si>
  <si>
    <t>13004584390</t>
  </si>
  <si>
    <t>0001738832501 S</t>
  </si>
  <si>
    <t>andhy.ferdian@corphr-nokia.com, andhy.ferdian.ext@yahoo.com, andhyverdian@yahoo.com, andhy.ferdian@corphr-nokia.com</t>
  </si>
  <si>
    <t>terminated 30/6/2018</t>
  </si>
  <si>
    <t>OS1401003</t>
  </si>
  <si>
    <t>Tuminah</t>
  </si>
  <si>
    <t>UMP 2017 prev. 3,1jt; adjust 1 Jan'16 prev 2.7 jt ; adjust Jan'15 prev 2.5 jt</t>
  </si>
  <si>
    <t>Jl. Barkah No.15 Rt.09 Rw.005 Ciganjur, Jagakarsa, Jakarta Selatan</t>
  </si>
  <si>
    <t>0813 88151734</t>
  </si>
  <si>
    <t>Mandiri : 070-00-0671496-3</t>
  </si>
  <si>
    <t>67.040.674.3-411.000</t>
  </si>
  <si>
    <t>0001640200781 OK</t>
  </si>
  <si>
    <t>inahanika@yahoo.com, tuminah@corphr-nokia.com</t>
  </si>
  <si>
    <t>OS1509028</t>
  </si>
  <si>
    <t>Syifa Mustikawati</t>
  </si>
  <si>
    <t>Bogor, 14 Februari 1984</t>
  </si>
  <si>
    <t>OT lumpsum eff 1 Jun'17 prev yes 10 e_23/8/2017</t>
  </si>
  <si>
    <t>Jl. Lebak Para No. 43 RT. 002/002 Cijantung, Ps. Rebo Jakarta Timur</t>
  </si>
  <si>
    <t>BCA : 0950840251</t>
  </si>
  <si>
    <t>3175055402841001</t>
  </si>
  <si>
    <t>59.532.304.9-401.000</t>
  </si>
  <si>
    <t>0001457798951 - KELUARGA (SUAMI &amp; ANAK 1 MANDIRI)</t>
  </si>
  <si>
    <t>syifamustikawati@gmail.com</t>
  </si>
  <si>
    <t>OS1107092</t>
  </si>
  <si>
    <t>Kristin Agustina</t>
  </si>
  <si>
    <t>BALIKPAPAN</t>
  </si>
  <si>
    <t>Tsel</t>
  </si>
  <si>
    <t>entitle laptop allw 500k per 1 Sep '16 ; adjust 1 Jan'16 prev 5.180.587 ; adjust 5% Jan'15 prev 4.933.892</t>
  </si>
  <si>
    <t>Jl. Batin Batuah No.15 Rt.01 Rw.02 Kel. Pematang Pudu Kec. Mandau, Duri - Riau</t>
  </si>
  <si>
    <t>Mandiri : 131-00-0000605-8</t>
  </si>
  <si>
    <t>59.261.012.5-219.000</t>
  </si>
  <si>
    <t>kristin.agustina@gmail.com, kristin.agustina.ext@nsn.com, kristin.agustina@corphr-nokia.com</t>
  </si>
  <si>
    <t>OS1311018</t>
  </si>
  <si>
    <t>Angela Vita Sendow</t>
  </si>
  <si>
    <t>S0</t>
  </si>
  <si>
    <t>entitle laptop allw eff per 14 okt '16 e_071116 ; adjust 10% Jan'15 prev BS 4.697.525 CA none HB 2 jt ; Temporary Relocation</t>
  </si>
  <si>
    <t>Jl. Subur Gg. Merah Mandiri No. 18 Denpasar Bali</t>
  </si>
  <si>
    <t>0812 3887782</t>
  </si>
  <si>
    <t>Mandiri : 145-00-0491079-6 an Ancela Vita Sendow</t>
  </si>
  <si>
    <t>59.412.204.6-901.000</t>
  </si>
  <si>
    <t>shela.sendow@gmail.com, angela.sendow.ext@nsn.com, angela.sendow@corphr-nokia.com</t>
  </si>
  <si>
    <t>OS1311019</t>
  </si>
  <si>
    <t>Nia Ajeng Clara Shinta</t>
  </si>
  <si>
    <t>entitle laptop allw 500k per 1 Sep '16 ; adjust 1 Juli'15 prev 4.596.011 ; adjust 7% prev 4.295.337 ; OT 18 jam E 3/6/2014</t>
  </si>
  <si>
    <t>Mutiara Gading Timur 1, Blok D1 No. 20, Bekasi Timur</t>
  </si>
  <si>
    <t>0813 83122948</t>
  </si>
  <si>
    <t>BCA : 5020257697</t>
  </si>
  <si>
    <t>49.476.670.2-432.000</t>
  </si>
  <si>
    <t>0001628834321 OK</t>
  </si>
  <si>
    <t>niashinta52@gmail.com, nia.shinta.ext@nsn.com, nia.shinta@corphr-nokia.com</t>
  </si>
  <si>
    <t>OS1201116</t>
  </si>
  <si>
    <t>Fransisca Ediningsih</t>
  </si>
  <si>
    <t>entitle call allw eff per 1 jan '17</t>
  </si>
  <si>
    <t>Jl. Halim Golf Gg. Bunga No. 15 Rt.004 Rw.003 Makasar, Jakarta Timur</t>
  </si>
  <si>
    <t>0811800464 / 085885660229</t>
  </si>
  <si>
    <t>BCA :  2551282777</t>
  </si>
  <si>
    <t>47.245.028.7-005.000</t>
  </si>
  <si>
    <t>05J70004022</t>
  </si>
  <si>
    <t>0001744977813</t>
  </si>
  <si>
    <t>fransisca.ediningsih.ext@nsn.com, fransisca.ediningsih@corphr-nokia.com</t>
  </si>
  <si>
    <t>OS1406014</t>
  </si>
  <si>
    <t>Yunita Ardina Putri</t>
  </si>
  <si>
    <t>Mataram, 22 Januari 1984</t>
  </si>
  <si>
    <t>No =&gt; Yes</t>
  </si>
  <si>
    <t>entitle LA 500k per 1 Peb '17; adj BS eff per 1 Jan '16 prev. 6.512.500; adjust 1 Juli '15 prev 5.512.500 ; OT max 10 jam eff 1/6/2014</t>
  </si>
  <si>
    <t>Jl. Jawa No.150 Rt/Rw.04/08 Beji, Depok</t>
  </si>
  <si>
    <t>0819 15954052</t>
  </si>
  <si>
    <t>BCA : 2181563585</t>
  </si>
  <si>
    <t>5271056201840002</t>
  </si>
  <si>
    <t>78.451.978.7.911.000</t>
  </si>
  <si>
    <t>ardinabelle@gmail.com; yunitaputri221@yahoo.com</t>
  </si>
  <si>
    <t>OS1406018</t>
  </si>
  <si>
    <t>Fatmawaty BN</t>
  </si>
  <si>
    <t>Jeneponto, 16 Januari 1990</t>
  </si>
  <si>
    <t>adjust 1 Jan'16 prev 5 jt ; entitle laptop Jan'15 prev none ; adjust Okt'14 prev 4.000.000</t>
  </si>
  <si>
    <t>Jl. Tidung X/5 Rt/Rw.001/010 Mappala, Rappocini, Kota Makassar</t>
  </si>
  <si>
    <t>0823 46663456</t>
  </si>
  <si>
    <t>Mandiri : 9000006700455</t>
  </si>
  <si>
    <t>7371135601900016</t>
  </si>
  <si>
    <t>46.423.639.7.805.000</t>
  </si>
  <si>
    <t>0001628834725 OK</t>
  </si>
  <si>
    <t>fatmawatysangka@yahoo.com, fatmawatysangka@gmail.com</t>
  </si>
  <si>
    <t>OS1407006</t>
  </si>
  <si>
    <t>Devi Miftarachmi Adianti</t>
  </si>
  <si>
    <t>Jakarta, 20 aug 1984</t>
  </si>
  <si>
    <t xml:space="preserve"> Project Management Services</t>
  </si>
  <si>
    <t>entitle laptop eff 1 Mar'18 ; change mom E_2/9/2014 prev 6.055.500</t>
  </si>
  <si>
    <t>Cipinang Elok II Blok AH No.15, Jakarta 13420</t>
  </si>
  <si>
    <t>0856 91292004</t>
  </si>
  <si>
    <t>Mandiri : 006-00-0707742-7</t>
  </si>
  <si>
    <t>36.311.738.3-002.000</t>
  </si>
  <si>
    <t>devimifta@yahoo.com, devimifta@gmail.com</t>
  </si>
  <si>
    <t>OS1204013</t>
  </si>
  <si>
    <t>Rahmat Fauzi</t>
  </si>
  <si>
    <t>DKI Jakarta</t>
  </si>
  <si>
    <t>Level 1</t>
  </si>
  <si>
    <t>renewal contract ; UMP 2017 prev. 3,1jt; adjust 1 Jan'16 prev 2.7 jt ; UMP 2015 prev 2.441.000 ; UMP 2014 per Jan'14 prev 2.200.000 E 3/3/2014 ; adjust 1 Jan'13 prev Rp. 1.529.150 email 5/2/2013</t>
  </si>
  <si>
    <t>Asuransi max M2, OT max 25 jam</t>
  </si>
  <si>
    <t>Desa Pabuaran, Jl. Pajajaran Rt.01 Rw.04 Pabuaran, Bojong Gede, Bogor</t>
  </si>
  <si>
    <t>0838 707 84427</t>
  </si>
  <si>
    <t>Mandiri : 157-00-0155570-6</t>
  </si>
  <si>
    <t>70.923.529.5.403.000</t>
  </si>
  <si>
    <t>0001636167071 OK</t>
  </si>
  <si>
    <t>rahmat.fauzi02@gmail.com</t>
  </si>
  <si>
    <t>OS1606028</t>
  </si>
  <si>
    <t>Arnida Aras</t>
  </si>
  <si>
    <t>Abepura, 27 July 1991</t>
  </si>
  <si>
    <t>Jayapura</t>
  </si>
  <si>
    <t>YES 10</t>
  </si>
  <si>
    <t>Perumnas 2 Waena Gg. Jati 6 No. 87</t>
  </si>
  <si>
    <t>08114832712 / 082199755072</t>
  </si>
  <si>
    <t>Mandiri : 1540010292229</t>
  </si>
  <si>
    <t>9171056707910004</t>
  </si>
  <si>
    <t>0001144392333 dr evi toriki</t>
  </si>
  <si>
    <t>arnida.aras@vmail.com, arnida.aras@vmail.com</t>
  </si>
  <si>
    <t>OS1610025</t>
  </si>
  <si>
    <t>Dessy Hermayanti</t>
  </si>
  <si>
    <t>Jakarta, 31 Desember 1979</t>
  </si>
  <si>
    <t>TA</t>
  </si>
  <si>
    <t>Jl. Adisucipto KM 13,2 Gg. Janur No. 17, Pontianak 78391</t>
  </si>
  <si>
    <t>085654410353 / 087832007531</t>
  </si>
  <si>
    <t>BCA : 1710562870</t>
  </si>
  <si>
    <t>6112017112790014</t>
  </si>
  <si>
    <t>590599825701000</t>
  </si>
  <si>
    <t>dessy.hermayanti@yahoo.com</t>
  </si>
  <si>
    <t>OS1612041</t>
  </si>
  <si>
    <t>Riko Purnama Adji Lesmana</t>
  </si>
  <si>
    <t>Pasuruan, 12 Juni 1976</t>
  </si>
  <si>
    <t>Maluku</t>
  </si>
  <si>
    <t>BTS Engineer</t>
  </si>
  <si>
    <t>Ds.Gondangbaru RT 016/000 Kel.Gondang Kec. Gondang Kab. Sragen</t>
  </si>
  <si>
    <t>081359821976</t>
  </si>
  <si>
    <t>Mandiri : 1240006157813</t>
  </si>
  <si>
    <t>3522151206760005</t>
  </si>
  <si>
    <t>75.486.898.2-601.000</t>
  </si>
  <si>
    <t>rikopurnama@ymail.com</t>
  </si>
  <si>
    <t>no change of contract date</t>
  </si>
  <si>
    <t>OS1704001</t>
  </si>
  <si>
    <t>Aris Karangan</t>
  </si>
  <si>
    <t>Ujung Pandang, 24 Nov 1986</t>
  </si>
  <si>
    <t>Papua Maluku</t>
  </si>
  <si>
    <t>SOW Rollout Site Base – DC</t>
  </si>
  <si>
    <t>Jl. Toddopuli 2 Stp. 8 No. 361 Rt/Rw. 010/006 Pandang, Panakkukang, Kota Makassar</t>
  </si>
  <si>
    <t xml:space="preserve">Mandiri : 154-00-1409794-7   </t>
  </si>
  <si>
    <t xml:space="preserve">7371092411860004   </t>
  </si>
  <si>
    <t xml:space="preserve">15046792675   </t>
  </si>
  <si>
    <t xml:space="preserve">arka7777@gmail.com       </t>
  </si>
  <si>
    <t>OS1704004</t>
  </si>
  <si>
    <t>Nur Kholik</t>
  </si>
  <si>
    <t>Brebes 28 September 1978</t>
  </si>
  <si>
    <t>SOW Rollout Site Base – Log</t>
  </si>
  <si>
    <t>yes 18</t>
  </si>
  <si>
    <t>Jl. Misar RT.006 / RW.011 No. 42 Petukangan Utara Pesanggrahan, Jakarta Selatan</t>
  </si>
  <si>
    <t xml:space="preserve">081284121933  </t>
  </si>
  <si>
    <t>Mandiri : 1010007861089</t>
  </si>
  <si>
    <t>3174102809780002</t>
  </si>
  <si>
    <t>67.040.672.7.013.000</t>
  </si>
  <si>
    <t>0001647715757 kel petukangan Utara</t>
  </si>
  <si>
    <t xml:space="preserve">nur.kholik.ext@nokia.com, nur.kholik.nsn@gmail.com       </t>
  </si>
  <si>
    <t>OS1704005</t>
  </si>
  <si>
    <t>Yadi Hidayat</t>
  </si>
  <si>
    <t>Bandung, 17 Pebruari 1969</t>
  </si>
  <si>
    <t>SOW Rollout Site Base - Log</t>
  </si>
  <si>
    <t>Jl. Pancoran Barat IV-C No. 36 Rt.04/11 Kelurahan Pancoran, Jakarta Selatan 12780</t>
  </si>
  <si>
    <t xml:space="preserve">021 79189071   / 081385981526 / 081806370088  </t>
  </si>
  <si>
    <t>Mandiri : 0700006057710</t>
  </si>
  <si>
    <t>3174081702690002</t>
  </si>
  <si>
    <t>24.738.178.3.061.000</t>
  </si>
  <si>
    <t>0001653231262 kel pancoran</t>
  </si>
  <si>
    <t xml:space="preserve">yaddheeh@gmail.com, yaddheeh@yahoo.co.id       </t>
  </si>
  <si>
    <t>OS1704007</t>
  </si>
  <si>
    <t>Imam Sugiharto</t>
  </si>
  <si>
    <t>Sungai Deras, 09 April 1990</t>
  </si>
  <si>
    <t>SOW Rollout Site Base - DC</t>
  </si>
  <si>
    <t>Dusun Banjar Tengah RT. 018 RW.007 Kel. Rasau Jaya Dua, Kab. Kubu Raya, Prov. Kalimantan Barat 78382</t>
  </si>
  <si>
    <t>082351916761</t>
  </si>
  <si>
    <t>Bank Muamalat : 6210060508</t>
  </si>
  <si>
    <t>6171040904900003</t>
  </si>
  <si>
    <t>16.619.370.6.701.000</t>
  </si>
  <si>
    <t>0001645734688 siantan hilir</t>
  </si>
  <si>
    <t>imamfh08@gmail.com</t>
  </si>
  <si>
    <t>OS1704008</t>
  </si>
  <si>
    <t>M. Iqbal Muhti</t>
  </si>
  <si>
    <t>Medan, 14 September 1980</t>
  </si>
  <si>
    <t>Jl. Tomang B Kanal No 16 Rt/Rw 5/11 Grogol Petamburan, Jakarta Barat</t>
  </si>
  <si>
    <t>BCA : 2551272984</t>
  </si>
  <si>
    <t>1271211409800005</t>
  </si>
  <si>
    <t>54.717.299.9‐036.000</t>
  </si>
  <si>
    <t>0001772739663 klinik yasa husada</t>
  </si>
  <si>
    <t>m.iqbalmuhti@gmail.com</t>
  </si>
  <si>
    <t>OS1310004</t>
  </si>
  <si>
    <t>Nurul Yulianti</t>
  </si>
  <si>
    <t>Kalijati, 20 Januari 1977</t>
  </si>
  <si>
    <t>Jl. Pancoran Barat I No. 26 RT 003 RW 01 Pancoran Jaksel 12780</t>
  </si>
  <si>
    <t xml:space="preserve">021.79198582 / 083815479327 </t>
  </si>
  <si>
    <t>BCA : 4501267125</t>
  </si>
  <si>
    <t>3174086001770006</t>
  </si>
  <si>
    <t>57.875.800.5.061.000</t>
  </si>
  <si>
    <t>nurul.yulianti@gmail.com, nurul.yulianti.ext@nokia.com</t>
  </si>
  <si>
    <t>OS1704025</t>
  </si>
  <si>
    <t>Juni Hartono</t>
  </si>
  <si>
    <t>Jakarta 22 jun 1984</t>
  </si>
  <si>
    <t>Jl. Raya Tajur Ds.Pasir Angin Rt 01/01 Citeureup, Bogor</t>
  </si>
  <si>
    <t xml:space="preserve">085693140365  </t>
  </si>
  <si>
    <t xml:space="preserve">BCA : 5720511446   </t>
  </si>
  <si>
    <t>32.03.15.220684.01852</t>
  </si>
  <si>
    <t xml:space="preserve">247539042436000   </t>
  </si>
  <si>
    <t xml:space="preserve">juni.hartono22@gmail.com       </t>
  </si>
  <si>
    <t>terminated 30/4/2018</t>
  </si>
  <si>
    <t>OS1704026</t>
  </si>
  <si>
    <t>Kiki Febrasari Setyaningrum</t>
  </si>
  <si>
    <t>Jakarta 18 Februari 1982</t>
  </si>
  <si>
    <t>SOW Rollout Site Base – Pre Order</t>
  </si>
  <si>
    <t>Jl. Pedati No.21 Rt.009 Rw.01  Depok 2 Tengah 16411</t>
  </si>
  <si>
    <t xml:space="preserve">0813 8125 4191  </t>
  </si>
  <si>
    <t xml:space="preserve">Mandiri syariah : 7066195273   </t>
  </si>
  <si>
    <t xml:space="preserve">3276055802820005   </t>
  </si>
  <si>
    <t xml:space="preserve">89.374.160.3-412.000   </t>
  </si>
  <si>
    <t xml:space="preserve">10015597056   </t>
  </si>
  <si>
    <t xml:space="preserve">kikisari@yahoo.com       </t>
  </si>
  <si>
    <t>OS1704029</t>
  </si>
  <si>
    <t>Antonius Rafael</t>
  </si>
  <si>
    <t>Tana Toraja, 21 Juli 1982</t>
  </si>
  <si>
    <t>Quality</t>
  </si>
  <si>
    <t>BT ALLOW NONE EFF 1 JULI '17 ; entitle laptop eff Apr'17 prev NONE</t>
  </si>
  <si>
    <t>Jl Simo Gunung 1 No 55 Kel Sawahan Kec Banyu Urip Surabaya Jawa Timur</t>
  </si>
  <si>
    <t xml:space="preserve">0813-4359-9166  </t>
  </si>
  <si>
    <t xml:space="preserve">Mandiri : 140-00-1086086-5   </t>
  </si>
  <si>
    <t xml:space="preserve">3578062107820011   </t>
  </si>
  <si>
    <t xml:space="preserve">35.266.230.8-614.000   </t>
  </si>
  <si>
    <t>14000210964</t>
  </si>
  <si>
    <t xml:space="preserve">Tonyrafael.qsi@gmail.com, thorax21@yahoo.com       </t>
  </si>
  <si>
    <t>will be informed soon</t>
  </si>
  <si>
    <t>OS1704030</t>
  </si>
  <si>
    <t>Eka Primadona</t>
  </si>
  <si>
    <t>Lebak Banten, 10 Februari 1982</t>
  </si>
  <si>
    <t>BT ALLOW NONE EFF 1 JULI '17</t>
  </si>
  <si>
    <t>Candi Tengah Rt.01/Rw 07 Candirejo Tuntang Semarang Kode Pos 50773</t>
  </si>
  <si>
    <t xml:space="preserve">083838866222  </t>
  </si>
  <si>
    <t xml:space="preserve">BCA :   0130917712 </t>
  </si>
  <si>
    <t xml:space="preserve">3322061002820004   </t>
  </si>
  <si>
    <t xml:space="preserve">36.183.253.8.201.000   </t>
  </si>
  <si>
    <t>15060271895</t>
  </si>
  <si>
    <t>11060271895 Salatiga</t>
  </si>
  <si>
    <t>eka.primadona@gmail.com</t>
  </si>
  <si>
    <t>OS1704031</t>
  </si>
  <si>
    <t>Mulyadin</t>
  </si>
  <si>
    <t>Rasane, 10 Oktober 1978</t>
  </si>
  <si>
    <t>Bali Lombok</t>
  </si>
  <si>
    <t>Jl.Sadewa II No 10A Komp.Bpp RT24/003 Pemurus Baaru Banjarmasin Kalimantan Selatan</t>
  </si>
  <si>
    <t>081348688787</t>
  </si>
  <si>
    <t>Mandiri : 9000037863876</t>
  </si>
  <si>
    <t>5272021010780009</t>
  </si>
  <si>
    <t>892506049017000</t>
  </si>
  <si>
    <t>14000211301</t>
  </si>
  <si>
    <t>0001647480273 Pemurus Dalam</t>
  </si>
  <si>
    <t>mulyadin.wenggo@gmail.com</t>
  </si>
  <si>
    <t>OS1705020</t>
  </si>
  <si>
    <t>Edy Sunarko</t>
  </si>
  <si>
    <t>Sragen, 31 Mei 1983</t>
  </si>
  <si>
    <t>adj 1 Aug '17 BS prev. 6jt &amp; HB allw prev. 2jt</t>
  </si>
  <si>
    <t>Nglaran RT 29 / RW 18, Desa Gabus, Kec. Ngrampal Kab. Sragen, Jawa Tengah</t>
  </si>
  <si>
    <t xml:space="preserve">085769290165  </t>
  </si>
  <si>
    <t xml:space="preserve">BCA : 0095409925   </t>
  </si>
  <si>
    <t xml:space="preserve">3314083105830002   </t>
  </si>
  <si>
    <t xml:space="preserve">46.074.992.2-528.000   </t>
  </si>
  <si>
    <t>Kec. Ngrampal, Kab. Sragen</t>
  </si>
  <si>
    <t xml:space="preserve">eddy.soenarko9@gmail.com       </t>
  </si>
  <si>
    <t>OS1505013</t>
  </si>
  <si>
    <t>Isran Siregar</t>
  </si>
  <si>
    <t>Sitopayan, 08 Desember 1992</t>
  </si>
  <si>
    <t>Sitopayan, Kel. Sitopayan Kec. Portibi Kab. Padang Lawas Utara, Sumatera Utara</t>
  </si>
  <si>
    <t xml:space="preserve">082276202281   </t>
  </si>
  <si>
    <t>BCA : 8555010300 A.N ISRAN</t>
  </si>
  <si>
    <t xml:space="preserve">1220060812920002   </t>
  </si>
  <si>
    <t xml:space="preserve">16027069877 </t>
  </si>
  <si>
    <t xml:space="preserve">isran44@gmail.com       </t>
  </si>
  <si>
    <t>OS1706010</t>
  </si>
  <si>
    <t>Saleh Indrajaya</t>
  </si>
  <si>
    <t>Bukittinggi, 27 Juni 1986</t>
  </si>
  <si>
    <t>SSP Telkomsel Project</t>
  </si>
  <si>
    <t>Jl. Rawajati Timur II No.6 RT 005/02 Kec. Pancoran, Jakarta Selatan, Kodepos 12750</t>
  </si>
  <si>
    <t xml:space="preserve">021-7972669   / 08121088147  </t>
  </si>
  <si>
    <t xml:space="preserve">Bukopin :  0103050250 </t>
  </si>
  <si>
    <t xml:space="preserve">3174082706860006   </t>
  </si>
  <si>
    <t xml:space="preserve">641092630061000   </t>
  </si>
  <si>
    <t xml:space="preserve"> 13043606022 </t>
  </si>
  <si>
    <t xml:space="preserve"> 0001647669666 </t>
  </si>
  <si>
    <t xml:space="preserve">s_indrajaya182@yahoo.com       </t>
  </si>
  <si>
    <t>OS1706011</t>
  </si>
  <si>
    <t>Elmina</t>
  </si>
  <si>
    <t>Jakarta, 18 Juli 1977</t>
  </si>
  <si>
    <t>CSV</t>
  </si>
  <si>
    <t>Jl. Lampo Batang Timur I/6 Rt/Rw.005/023 Mojosongo, Jebres, Kota Surakarta, Jawa Tengah</t>
  </si>
  <si>
    <t xml:space="preserve">08174990777  </t>
  </si>
  <si>
    <t xml:space="preserve">CIMB Niaga : 296-01-00794-18-7   </t>
  </si>
  <si>
    <t xml:space="preserve">3372045807770005   </t>
  </si>
  <si>
    <t xml:space="preserve">59.060.071.4-526.000   </t>
  </si>
  <si>
    <t>07000394341</t>
  </si>
  <si>
    <t xml:space="preserve">0001641913626   </t>
  </si>
  <si>
    <t xml:space="preserve">emil18achir@yahoo.com       </t>
  </si>
  <si>
    <t>OS1803007</t>
  </si>
  <si>
    <t>Nirwana Rizky Ramadani</t>
  </si>
  <si>
    <t>Jayapura, 13 Februari 1996</t>
  </si>
  <si>
    <t>Papua</t>
  </si>
  <si>
    <t>tsel</t>
  </si>
  <si>
    <t>YES 18</t>
  </si>
  <si>
    <t>Komplek Klinik Hewan, Gg. Kemiri, Entrop</t>
  </si>
  <si>
    <t>081248779192</t>
  </si>
  <si>
    <t>MANDIRI  154 00 1477 4388</t>
  </si>
  <si>
    <t>9171025302960001</t>
  </si>
  <si>
    <t>nirwana_ramadhani@rocketmail.com</t>
  </si>
  <si>
    <t>OS1804022</t>
  </si>
  <si>
    <t>Tetry Agustina Sitohang</t>
  </si>
  <si>
    <t>Pematangsiantar, 5 Agustus 1995</t>
  </si>
  <si>
    <t>Jl. M Siregar Gg. Cantik Manis No. 62, Kel. Marihat Jaya Kec. Siantar Marimbun, Kota Pematangsiantar</t>
  </si>
  <si>
    <t>Mandiri 1450012129017</t>
  </si>
  <si>
    <t>1272084508950004</t>
  </si>
  <si>
    <t>KIS 0001828293366</t>
  </si>
  <si>
    <t>agustinatetry@gmail.com</t>
  </si>
  <si>
    <t>OS1701050</t>
  </si>
  <si>
    <t>Bernanda Purba</t>
  </si>
  <si>
    <t>Medan, 29 Oktober 1987</t>
  </si>
  <si>
    <t>Jakarta =&gt; Kalimantan</t>
  </si>
  <si>
    <t>HCPT =&gt; TKS</t>
  </si>
  <si>
    <t>BSC Engineer =&gt; Project Engineer</t>
  </si>
  <si>
    <t>change project 1 Mei'17 &amp; BS prev 8 jt &amp; entitle Hballow &amp; Transp prev none</t>
  </si>
  <si>
    <t>Jl. K.H. Royabi I No. 19 , Setiabudi, Jakarta selatan</t>
  </si>
  <si>
    <t>081221441576</t>
  </si>
  <si>
    <t>BCA : 2601247846</t>
  </si>
  <si>
    <t>1208292910870002</t>
  </si>
  <si>
    <t>796139285445000</t>
  </si>
  <si>
    <t>12007456648</t>
  </si>
  <si>
    <t>Bernanda.purba.s@gmail.com</t>
  </si>
  <si>
    <t>resign 31/7/2017 refuse extend</t>
  </si>
  <si>
    <t>OS1705018</t>
  </si>
  <si>
    <t>David Victor Martua Sitompul</t>
  </si>
  <si>
    <t>Pangkalan Branda, 19 Mei 1979</t>
  </si>
  <si>
    <t>Komp Timah Blok AA No.18 Rt/Rw.003/012 Tugu, Cimanggis, Kota Depok</t>
  </si>
  <si>
    <t xml:space="preserve">&amp;62 81260677459   </t>
  </si>
  <si>
    <t xml:space="preserve">BCA :  7865137621 </t>
  </si>
  <si>
    <t xml:space="preserve">3276021905790007   </t>
  </si>
  <si>
    <t>59.227.125.8 – 124.000</t>
  </si>
  <si>
    <t xml:space="preserve"> 08023227062 </t>
  </si>
  <si>
    <t xml:space="preserve">dav3.victory@gmail.com       </t>
  </si>
  <si>
    <t>resign 05/08/17 refuse extend</t>
  </si>
  <si>
    <t>OS1505028</t>
  </si>
  <si>
    <t>Imam Wahyudi</t>
  </si>
  <si>
    <t>Jakarta, 12 aug 1981</t>
  </si>
  <si>
    <t>adj 10.750 jt BS prev. 9.750.000 eff. 1 Aug '17</t>
  </si>
  <si>
    <t>Jalan Legoso Raya Rt.004 Rw.011 No.24 Pisangan Ciputat Timur Tnagerang Selatan 15419</t>
  </si>
  <si>
    <t>081286784600</t>
  </si>
  <si>
    <t>CIMB : 8360101532118</t>
  </si>
  <si>
    <t>3674051208820013</t>
  </si>
  <si>
    <t>69.789.990.4.411.000</t>
  </si>
  <si>
    <t>Puskesmas Pisangan Ciputat Timur</t>
  </si>
  <si>
    <t>imamw81@gmail.com</t>
  </si>
  <si>
    <t>resign 5/8/2017, refuse extend</t>
  </si>
  <si>
    <t>OS1705026</t>
  </si>
  <si>
    <t>Arie Kurniawan</t>
  </si>
  <si>
    <t>Jakarta, 26 Mei 1989</t>
  </si>
  <si>
    <t>IP Engineer</t>
  </si>
  <si>
    <t>Griya Bukit Jaya Blok F7/5 RT 02 RW 28, Kel. Tlajung Udik Kec. Gunung Putri, Kab. Bogor</t>
  </si>
  <si>
    <t xml:space="preserve">08561943991   </t>
  </si>
  <si>
    <t xml:space="preserve">BCA :  5735066487 </t>
  </si>
  <si>
    <t xml:space="preserve">3201022605890004   </t>
  </si>
  <si>
    <t xml:space="preserve">660836107403000   </t>
  </si>
  <si>
    <t>Klinik Permata Medika I</t>
  </si>
  <si>
    <t xml:space="preserve">arieku89@gmail.com       </t>
  </si>
  <si>
    <t>RESIGN 6/8/2017</t>
  </si>
  <si>
    <t>OS1505019</t>
  </si>
  <si>
    <t>M. Syaifuddin Muis Toekan</t>
  </si>
  <si>
    <t>Jakarta, 7 April 1986</t>
  </si>
  <si>
    <t>Jabo Banten =&gt; Kalimantan</t>
  </si>
  <si>
    <t>SF =&gt; HCPT =&gt; TKS</t>
  </si>
  <si>
    <t>Engineer =&gt; FLM =&gt; GNIC Engineer =&gt; Project Engineer</t>
  </si>
  <si>
    <t>yes 18 =&gt; No</t>
  </si>
  <si>
    <t>change project, HB, posisi per 1 Mei '17 BB prev 100 rb &amp; entitle flexi allow prev none &amp; transp allow prev 3 jt ; eff 1 Apr'17 change posisi, n/e OT prev 18 jam, other allow NONE prev 1 jt, entitle transport prev none  ;  entitle standby allow eff Okt '15 ; adjust 1 Okt '15 BS prev 5.5 jt broad prev 100 rb no OT</t>
  </si>
  <si>
    <t>Gg. Kunta No.38 Rt/Rw.006/003 Kel. Tengah Kec. Kramatjati, Jakarta Timur</t>
  </si>
  <si>
    <t>081287000074 / 082177237772</t>
  </si>
  <si>
    <t>Mandiri : 1010007111675</t>
  </si>
  <si>
    <t>3175040704860003</t>
  </si>
  <si>
    <t>87.895.7878.7.005.000</t>
  </si>
  <si>
    <t>0001658555223 OK</t>
  </si>
  <si>
    <t>muistoekan@gmail.com, muis.toekan.ext@nokia.com</t>
  </si>
  <si>
    <t>Resign dadakan 1/10/2017 balik jkt 24/9/2017, no reference</t>
  </si>
  <si>
    <t>OS1704028</t>
  </si>
  <si>
    <t>Andrianto</t>
  </si>
  <si>
    <t>Pariaman, 1 Januari 1980</t>
  </si>
  <si>
    <t>Jl. Nusa Indah No. 51 RT.037/RW.011, Kel. Lorok Pakjo, Kec. Ilir Barat I Kota Palembang - Sumatera Selatan</t>
  </si>
  <si>
    <t xml:space="preserve">0711 - 321571   / 0812-7812-7788  </t>
  </si>
  <si>
    <t xml:space="preserve">Mandiri : 113-00-0610236-6 </t>
  </si>
  <si>
    <t xml:space="preserve">1671040101800039   </t>
  </si>
  <si>
    <t xml:space="preserve">15.684.248.6-307.000   </t>
  </si>
  <si>
    <t>Puskesmas Kampus</t>
  </si>
  <si>
    <t xml:space="preserve">andrianto.ajho@gmail.com       </t>
  </si>
  <si>
    <t>OS1705016</t>
  </si>
  <si>
    <t>Mohamad Febiansyah Heddy Pratama</t>
  </si>
  <si>
    <t>Jakarta, 3 Februari 1982</t>
  </si>
  <si>
    <t>Jln. Palembang-Betung LK 1 RT.005 RW.001 Kek.Rimba Asam Kec.Betung Banyuasin Sumatera Selatan</t>
  </si>
  <si>
    <t xml:space="preserve">08811105032 / 081322044101  </t>
  </si>
  <si>
    <t xml:space="preserve">BCA : 8555012981 </t>
  </si>
  <si>
    <t xml:space="preserve">3205010302820000   </t>
  </si>
  <si>
    <t xml:space="preserve">89.307.795.8-443.000   </t>
  </si>
  <si>
    <t>16032382877</t>
  </si>
  <si>
    <t xml:space="preserve">0001451741769 </t>
  </si>
  <si>
    <t xml:space="preserve">febi.not.febri@gmail.com       </t>
  </si>
  <si>
    <t>OS1705025</t>
  </si>
  <si>
    <t>Anggian Deni Haikal Siagian</t>
  </si>
  <si>
    <t>Bandung, 6 Juni 1984</t>
  </si>
  <si>
    <t>Quality Controller</t>
  </si>
  <si>
    <t>Jl. Jend Sudirman Gg. Manunggal 2C Rt 01 / rw 10 Kel. Cijerah Kec. Bandung Kulon, Kota Bandung</t>
  </si>
  <si>
    <t xml:space="preserve">022 6124217   / 082315790348  </t>
  </si>
  <si>
    <t xml:space="preserve">BCA : 8380161886   </t>
  </si>
  <si>
    <t xml:space="preserve">3273150606840004   </t>
  </si>
  <si>
    <t>69.001.4527.-422.000</t>
  </si>
  <si>
    <t>GARUDA</t>
  </si>
  <si>
    <t xml:space="preserve">anggian.haikal@gmail.com, anggian_siagian@yahoo.co.id       </t>
  </si>
  <si>
    <t>OS1705027</t>
  </si>
  <si>
    <t>Carwin</t>
  </si>
  <si>
    <t>Jakarta, 29 Juni 1981</t>
  </si>
  <si>
    <t>Jl. Kapuk Rt/Rw.010/011 Kapuk, Cengkareng, Jakarta Barat</t>
  </si>
  <si>
    <t xml:space="preserve">089623010322  </t>
  </si>
  <si>
    <t xml:space="preserve">BCA : 2910383984 </t>
  </si>
  <si>
    <t xml:space="preserve">3173012906810006   </t>
  </si>
  <si>
    <t xml:space="preserve">793026402034000   </t>
  </si>
  <si>
    <t>15023110750</t>
  </si>
  <si>
    <t xml:space="preserve">carwin.carwin12@gmail.com       </t>
  </si>
  <si>
    <t>OS1705030</t>
  </si>
  <si>
    <t>Emyl Suparman</t>
  </si>
  <si>
    <t>Rappang, 2 Mei  1977</t>
  </si>
  <si>
    <t>Jl. Tamangapa Raya Komp BTN Ranggong Blok C4/7 Rt/Rw.011/003 Bangkala, Manggala, Kota Makassar</t>
  </si>
  <si>
    <t xml:space="preserve">0811461202  </t>
  </si>
  <si>
    <t xml:space="preserve">BRI :  4987-01-009540-53-4 </t>
  </si>
  <si>
    <t xml:space="preserve">7371120205770008   </t>
  </si>
  <si>
    <t>46.893.507.7-805.000</t>
  </si>
  <si>
    <t xml:space="preserve">emilshajji@gmail.com       </t>
  </si>
  <si>
    <t>OS1705039</t>
  </si>
  <si>
    <t>Sumanto</t>
  </si>
  <si>
    <t>Jakarta, 17 Juli 1986</t>
  </si>
  <si>
    <t>Jl. Pengadegan Utara Rt/Rw.001/008 Pengadegan, Pancoran, Jakarta Selatan</t>
  </si>
  <si>
    <t xml:space="preserve">081210433302  / 081807155529   </t>
  </si>
  <si>
    <t xml:space="preserve">BCA : 2551208577 </t>
  </si>
  <si>
    <t xml:space="preserve">3174081707860002   </t>
  </si>
  <si>
    <t xml:space="preserve">57.915.746.2.061.000   </t>
  </si>
  <si>
    <t>16032425460</t>
  </si>
  <si>
    <t xml:space="preserve">sumanto1707@gmail.com       </t>
  </si>
  <si>
    <t>OS1705052</t>
  </si>
  <si>
    <t>Wiryawan</t>
  </si>
  <si>
    <t>Surakarta, 10 aug 1976</t>
  </si>
  <si>
    <t>Jl. Mutiara IV no. 59 Perumahan Intan RT 04 RW 03 kel. Sambiroto kec. Tembalang Kota Semarang, Jawa Tengah 50276</t>
  </si>
  <si>
    <t xml:space="preserve">024 6713997   </t>
  </si>
  <si>
    <t xml:space="preserve">Mandiri :  1360005050841 </t>
  </si>
  <si>
    <t xml:space="preserve">3374101008760002   </t>
  </si>
  <si>
    <t xml:space="preserve">81.044.315.0-517.000   </t>
  </si>
  <si>
    <t xml:space="preserve"> 0001638137452 Kedung Mundu</t>
  </si>
  <si>
    <t xml:space="preserve">wirya1008@gmail.com       </t>
  </si>
  <si>
    <t>OS1705057</t>
  </si>
  <si>
    <t>Ririk Kuspriono</t>
  </si>
  <si>
    <t>Semarang, 26 aug 1976</t>
  </si>
  <si>
    <t>Jl. Warakas 3 Gg. 6 No.15A Rt/Rw.08/03 Kel. Warakas Kec. Tanjung Priok, Jakarta Utara 14340</t>
  </si>
  <si>
    <t>021 4371650 / 081280070092</t>
  </si>
  <si>
    <t>BCA : '4281258804</t>
  </si>
  <si>
    <t>3172022608760007</t>
  </si>
  <si>
    <t>59.060.018.5-042.000</t>
  </si>
  <si>
    <t>14039457016</t>
  </si>
  <si>
    <t>0001226284277</t>
  </si>
  <si>
    <t>ririk.kuspriono.ext@gmail.com</t>
  </si>
  <si>
    <t>OS1612032</t>
  </si>
  <si>
    <t>Gede Dharmawan</t>
  </si>
  <si>
    <t>Kupang, 22 Januari 1985</t>
  </si>
  <si>
    <t>NTS Engineer</t>
  </si>
  <si>
    <t>Jl. Soeharto 133 RT 06 / RW 03, Kel. Oepura Kec. Maulafa, Kota Kupang 85117</t>
  </si>
  <si>
    <t>Mandiri : 161-00-0115285-4</t>
  </si>
  <si>
    <t>5371042201850008</t>
  </si>
  <si>
    <t>14025144180</t>
  </si>
  <si>
    <t>ikut BPJS istri</t>
  </si>
  <si>
    <t>godambagoes@gmail.com</t>
  </si>
  <si>
    <t>terminated 20/12/2017</t>
  </si>
  <si>
    <t>Contract ended in P 12 2017</t>
  </si>
  <si>
    <t>OS1704032</t>
  </si>
  <si>
    <t>Vino Nofri Sandi</t>
  </si>
  <si>
    <t>Jakarta, 05 November 1988</t>
  </si>
  <si>
    <t>Jl. Terogong, RT.011/RW.010 Kel Cilandak Barat Kec Cilandak, Jakarta Selatan</t>
  </si>
  <si>
    <t xml:space="preserve">0821 2210 1081  </t>
  </si>
  <si>
    <t xml:space="preserve">Mandiri : 9000001492595   </t>
  </si>
  <si>
    <t xml:space="preserve">3174060511880009   </t>
  </si>
  <si>
    <t xml:space="preserve">89.627.278.8-016.000   </t>
  </si>
  <si>
    <t>vino.nofrisandi@gmail.com</t>
  </si>
  <si>
    <t>TERMINATED 31/12/2017, laptop hilang</t>
  </si>
  <si>
    <t>OS1705040</t>
  </si>
  <si>
    <t>Jodi Sasmito</t>
  </si>
  <si>
    <t>Sidoarjo, 3 Juni 1979</t>
  </si>
  <si>
    <t>Dsn Randuwatang Ds Randuwatang RT.01/01 Kec. Kudu Kab. Jombang Jawa timur</t>
  </si>
  <si>
    <t>081357964449 / 08983820363</t>
  </si>
  <si>
    <t>BCA : 0501807523</t>
  </si>
  <si>
    <t>3515010306790005</t>
  </si>
  <si>
    <t>69.075.827.1-602.000</t>
  </si>
  <si>
    <t>08017337802</t>
  </si>
  <si>
    <t>jodisasmi@gmail.com</t>
  </si>
  <si>
    <t>TERMINATED 31/12/2017</t>
  </si>
  <si>
    <t>OS1704027</t>
  </si>
  <si>
    <t>Agus Baban Mulyana</t>
  </si>
  <si>
    <t>Bandung, 4 aug 1978</t>
  </si>
  <si>
    <t>Jl. Raya Banjaran No. 345 RT.. 08 RW. 11 Kel. Andir Kec. Baleendah, Bandung 40375</t>
  </si>
  <si>
    <t xml:space="preserve">085353583341   </t>
  </si>
  <si>
    <t xml:space="preserve">CIMB Niaga : 703571563200   </t>
  </si>
  <si>
    <t xml:space="preserve">3204320408780026   </t>
  </si>
  <si>
    <t xml:space="preserve">25.243.694.4-445.000   </t>
  </si>
  <si>
    <t xml:space="preserve">14010272608   </t>
  </si>
  <si>
    <t xml:space="preserve">agus.baban@yahoo.co.id       </t>
  </si>
  <si>
    <t>OS1705014</t>
  </si>
  <si>
    <t>Sugianto Haloho</t>
  </si>
  <si>
    <t>Tigabolon, 9 aug 1982</t>
  </si>
  <si>
    <t>Jl. Setia Budi Gg. Sehati No.18 Tanjung Sari, Medan</t>
  </si>
  <si>
    <t>081260144561</t>
  </si>
  <si>
    <t>Mandiri : 070 00 05246165</t>
  </si>
  <si>
    <t>1208090908820002</t>
  </si>
  <si>
    <t>49.155.323.6-005.000</t>
  </si>
  <si>
    <t>haloho.sugi@gmail.com</t>
  </si>
  <si>
    <t>OS1705019</t>
  </si>
  <si>
    <t>Dwi Aribowo</t>
  </si>
  <si>
    <t>Jakarta, 25 Februari 1982</t>
  </si>
  <si>
    <t>Ds. Kali Tengah Rt/Rw.002/008 Kec. Delanggu Kel. Tlobong, Klaten, Jawa Tengah</t>
  </si>
  <si>
    <t xml:space="preserve">081370184722  </t>
  </si>
  <si>
    <t xml:space="preserve">BCA : 8205075557 </t>
  </si>
  <si>
    <t xml:space="preserve"> 3310162502820002   </t>
  </si>
  <si>
    <t xml:space="preserve">489533463525000   </t>
  </si>
  <si>
    <t xml:space="preserve">dwiaribowojk@gmail.com       </t>
  </si>
  <si>
    <t>OS1705021</t>
  </si>
  <si>
    <t>KW. Eko Yuliarso</t>
  </si>
  <si>
    <t>Yogyakarta, 02 Juli 1975</t>
  </si>
  <si>
    <t>Badran JT 1/544 Rt/Rw.50/11 Kel. Bumijo Kec. Jetis, Yogyakarta 55231</t>
  </si>
  <si>
    <t>0274.548917 / 085795135789 / 081250636789</t>
  </si>
  <si>
    <t>BCA : '1260640867</t>
  </si>
  <si>
    <t>3471020207750001</t>
  </si>
  <si>
    <t>68.726.708.8.541.000</t>
  </si>
  <si>
    <t>kw.eko.yuliarso@gmail.com</t>
  </si>
  <si>
    <t>OS1705029</t>
  </si>
  <si>
    <t>Yudi Putra</t>
  </si>
  <si>
    <t>Balai Tangah, 10 Nopember 1986</t>
  </si>
  <si>
    <t>Jorong Mudiak Lindan, Kel. Tepi Selo, Kec. Lintau Buo Utara, Kab. Tanah Datar, Prov. Sumatera Barat (27293)</t>
  </si>
  <si>
    <t>08118402219</t>
  </si>
  <si>
    <t>BCA : 1080571280</t>
  </si>
  <si>
    <t>1304131011860004</t>
  </si>
  <si>
    <t>79.302.618.8-118.000</t>
  </si>
  <si>
    <t>16014468967</t>
  </si>
  <si>
    <t>yudi.lintau@gmail.com</t>
  </si>
  <si>
    <t>OS1705031</t>
  </si>
  <si>
    <t>Ronny Irsan</t>
  </si>
  <si>
    <t>Jakarta, 08 Nopember 1976</t>
  </si>
  <si>
    <t>JL Kepodang Blok C3 No 11  , Komplek Walikota Sukapura , Cilincing Jakarta Utara 14140</t>
  </si>
  <si>
    <t xml:space="preserve">081381222153  </t>
  </si>
  <si>
    <t xml:space="preserve">Mandiri : 1010004430953 </t>
  </si>
  <si>
    <t xml:space="preserve">3172040811760013   </t>
  </si>
  <si>
    <t>68.752.232.6-045.000</t>
  </si>
  <si>
    <t>090003346419</t>
  </si>
  <si>
    <t xml:space="preserve">ronny.irsan13@gmail.com       </t>
  </si>
  <si>
    <t>OS1705032</t>
  </si>
  <si>
    <t>Roesman Tianto</t>
  </si>
  <si>
    <t>Malang, 19 Januari 1985</t>
  </si>
  <si>
    <t>Jl. Bareng Kulon VI/641A Rt/Rw.004/004 Bareng, Klojen, Kota Malang</t>
  </si>
  <si>
    <t>082266294292</t>
  </si>
  <si>
    <t>BCA :  385044614</t>
  </si>
  <si>
    <t xml:space="preserve">3273021901850003   </t>
  </si>
  <si>
    <t>15038361992</t>
  </si>
  <si>
    <t xml:space="preserve"> 0002050602456 klinik 24 jam griya bromo</t>
  </si>
  <si>
    <t xml:space="preserve">rosmantiyanto@gmail.com       </t>
  </si>
  <si>
    <t>OS1610009</t>
  </si>
  <si>
    <t>Karso</t>
  </si>
  <si>
    <t>Banyumas, 28 Oktober 1980</t>
  </si>
  <si>
    <t>Ds. Adisara RT 01 / RW 03 Kec. Jatilawang Kab. Banyumas, Jawa Tengah</t>
  </si>
  <si>
    <t>0813-2923-0990</t>
  </si>
  <si>
    <t>Mandiri : 139-00-1725125-1</t>
  </si>
  <si>
    <t>3302032810790003</t>
  </si>
  <si>
    <t>572061216004000</t>
  </si>
  <si>
    <t>15055705915</t>
  </si>
  <si>
    <t>0001775725648</t>
  </si>
  <si>
    <t>karso.fajri@gmail.com</t>
  </si>
  <si>
    <t>OS1412025</t>
  </si>
  <si>
    <t>Sri Hardinah</t>
  </si>
  <si>
    <t>Tegal, 26 Februari 1985</t>
  </si>
  <si>
    <t>Jl. Radio IV No.25 Rt/Rw.004/004 Kel. Kramat Pela Kec. Kebayoran Baru, Jakarta Selatan</t>
  </si>
  <si>
    <t>08567802111</t>
  </si>
  <si>
    <t>BCA : 6790173552</t>
  </si>
  <si>
    <t>3328056602850004</t>
  </si>
  <si>
    <t>74.186.372.4-019.000</t>
  </si>
  <si>
    <t>0001738832602</t>
  </si>
  <si>
    <t>srihardinah86@gmail.com</t>
  </si>
  <si>
    <t>UMP 2017 prev. 3,1jt; adjust 1 Jan'16 prev 2.7 jt ; UMP 2015 prev 2.441.000 ; UMP 2014 per Jan'14 prev 2.200.000 E 3/3/2014 ; adjust 1 Jan'13 prev Rp. 1.529.150 email 5/2/2013</t>
  </si>
  <si>
    <t xml:space="preserve">renewal </t>
  </si>
  <si>
    <t>OS1704010</t>
  </si>
  <si>
    <t>Nyoman Desi Sartika</t>
  </si>
  <si>
    <t>Maros Sulsel, 11 Juni 1991</t>
  </si>
  <si>
    <t>Br Pekandelan, Bedulu, Blahbatuh, Gianyar, Bali</t>
  </si>
  <si>
    <t>&amp;6281238140914</t>
  </si>
  <si>
    <t>Mandiri : 900.00.1008462.3</t>
  </si>
  <si>
    <t>5104025106910001</t>
  </si>
  <si>
    <t>97.818.665.8-908.000</t>
  </si>
  <si>
    <t>15046792683</t>
  </si>
  <si>
    <t>BPJS TK Lama'17029348376</t>
  </si>
  <si>
    <t>dessyjata@gmail.com</t>
  </si>
  <si>
    <t>terminated 28/2/2018</t>
  </si>
  <si>
    <t>Contrac ended on 14 Jan 2018</t>
  </si>
  <si>
    <t>OS1705015</t>
  </si>
  <si>
    <t>Agung Setyawan</t>
  </si>
  <si>
    <t>Malang, 26 Maret 1984</t>
  </si>
  <si>
    <t>Perumahan Graha Cibadak Blok A5 no 22 Kelurahan Pasirnangka Kec. Tigaraksa Kab. Tangerang</t>
  </si>
  <si>
    <t>0811989884 / 081510091213 / 02129017182</t>
  </si>
  <si>
    <t>Mandiri : 9000012117819</t>
  </si>
  <si>
    <t>3603172603840005</t>
  </si>
  <si>
    <t>577162431451000</t>
  </si>
  <si>
    <t>14025144081</t>
  </si>
  <si>
    <t>agung08arema@gmail.com</t>
  </si>
  <si>
    <t>plan terminated 28/2/2018</t>
  </si>
  <si>
    <t>0811461202</t>
  </si>
  <si>
    <t>MANDIRI 031-00-1202148-4</t>
  </si>
  <si>
    <t>7101050205770303</t>
  </si>
  <si>
    <t>17029348400</t>
  </si>
  <si>
    <t>0002104444956</t>
  </si>
  <si>
    <t>emilshajji@gmail.com</t>
  </si>
  <si>
    <t>terminated 15/2/2018</t>
  </si>
  <si>
    <t>OS1705017</t>
  </si>
  <si>
    <t>Binsar Erick Leonardo Girsang</t>
  </si>
  <si>
    <t>Pematangsiantar, 3 aug 1988</t>
  </si>
  <si>
    <t>Kp. Rawa Bugel No.14 Rt/Rw.008/026 Harapan Jaya, Bekasi Utara, Kota Bekasi 17124</t>
  </si>
  <si>
    <t xml:space="preserve">082122174909  </t>
  </si>
  <si>
    <t xml:space="preserve">BCA :  8255029785 </t>
  </si>
  <si>
    <t xml:space="preserve">1272010308880003   </t>
  </si>
  <si>
    <t xml:space="preserve">67.737.068.6-117.000   </t>
  </si>
  <si>
    <t>13041635494</t>
  </si>
  <si>
    <t xml:space="preserve">erickvandermeyde@gmail.com       </t>
  </si>
  <si>
    <t>refuse extend 31/03/2018</t>
  </si>
  <si>
    <t>OS1803008</t>
  </si>
  <si>
    <t>Billina Parama Artha</t>
  </si>
  <si>
    <t>Semarang, 15 Oktober 1989</t>
  </si>
  <si>
    <t>Jl. Hyangsangsi No.8 Br. Tubuh Batubulan, Denpasar</t>
  </si>
  <si>
    <t>3374025510890005</t>
  </si>
  <si>
    <t>artha_iyung@yahoo.co.id</t>
  </si>
  <si>
    <t>resign  16/03/2018</t>
  </si>
  <si>
    <t>OS1704003</t>
  </si>
  <si>
    <t>Noviandi</t>
  </si>
  <si>
    <t>Sum-bar, 1 Nopember 1970</t>
  </si>
  <si>
    <t>Jl. Duta Lestari II Blok C2 No.45 Rt/Rw.003/011 Harapan baru, Bekasi Utara, Kota Bekasi</t>
  </si>
  <si>
    <t>081386690907</t>
  </si>
  <si>
    <t>Mandiri : 1240004365087</t>
  </si>
  <si>
    <t>3275030111700017</t>
  </si>
  <si>
    <t>47.558.544.4.407.000</t>
  </si>
  <si>
    <t>0001651676534 klinik duta sehat</t>
  </si>
  <si>
    <t>noviandi.rusli@gmail.com</t>
  </si>
  <si>
    <t>terminated 30/04/2018</t>
  </si>
  <si>
    <t>OS1704006</t>
  </si>
  <si>
    <t>Arpen Yudi</t>
  </si>
  <si>
    <t>Padang, 23 April 1971</t>
  </si>
  <si>
    <t>adj OT per Mei 2017 prev 858.352 e_3/8/2017</t>
  </si>
  <si>
    <t>Jl. Kerja Bakti VII Rt 001/007 Kel. Makasar Kec. Makasar, Jakarta Timur</t>
  </si>
  <si>
    <t>081382218456</t>
  </si>
  <si>
    <t>BCA : 6871070251</t>
  </si>
  <si>
    <t xml:space="preserve">3175082304710005   </t>
  </si>
  <si>
    <t xml:space="preserve">472448919005000   </t>
  </si>
  <si>
    <t>arpen.yudi.nsn@gmail.com</t>
  </si>
  <si>
    <t>OS1704011</t>
  </si>
  <si>
    <t>Slamet Arifin</t>
  </si>
  <si>
    <t>Purbalingga, 15 aug 1976</t>
  </si>
  <si>
    <t>Pamulang Village Blok F No. 18, Bojongsari, Pondok Petir, Kota Depok</t>
  </si>
  <si>
    <t xml:space="preserve">021-29204238   / 0811173293  </t>
  </si>
  <si>
    <t xml:space="preserve">Mandiri : 0700006554674   </t>
  </si>
  <si>
    <t xml:space="preserve">3674061508760013   </t>
  </si>
  <si>
    <t xml:space="preserve">584778690411000   </t>
  </si>
  <si>
    <t>0000195308627 pamulang</t>
  </si>
  <si>
    <t xml:space="preserve">arifincoy@gmail.com       </t>
  </si>
  <si>
    <t>OS1705022</t>
  </si>
  <si>
    <t>Laurensius Yosef Lukmanto</t>
  </si>
  <si>
    <t>Jakarta, 28 November 1983</t>
  </si>
  <si>
    <t>Programmer</t>
  </si>
  <si>
    <t>Jl. Kayu Manis VIII No.51 Rt/Rw.016/007 Kayu Manis, Matraman, Jakarta Timur</t>
  </si>
  <si>
    <t xml:space="preserve">021-8565737   / 08176007196  </t>
  </si>
  <si>
    <t xml:space="preserve">BCA a/n Laurensius Yosef Lukmanto   342-257-8886   </t>
  </si>
  <si>
    <t xml:space="preserve">3175012811830003   </t>
  </si>
  <si>
    <t xml:space="preserve">68.837.113.7-001.000   </t>
  </si>
  <si>
    <t xml:space="preserve">11004891666   </t>
  </si>
  <si>
    <t xml:space="preserve">rendylyl@yahoo.com       </t>
  </si>
  <si>
    <t>resign 15/04/2018</t>
  </si>
  <si>
    <t>Extend</t>
  </si>
  <si>
    <t xml:space="preserve">Extend </t>
  </si>
  <si>
    <t>Position Allow</t>
  </si>
  <si>
    <t>Transport Allow</t>
  </si>
  <si>
    <t>Update by Johny</t>
  </si>
  <si>
    <t>OS1311032</t>
  </si>
  <si>
    <t>Daniel Darwis Krisharjanto</t>
  </si>
  <si>
    <t>Indosat</t>
  </si>
  <si>
    <t>Network Maintenance</t>
  </si>
  <si>
    <t>Yes 15</t>
  </si>
  <si>
    <t>adj eff 1 Jan'18 BS prev 7.056.000 laptop 500 rb BB 200 rb OT 10 jam ; adj BS eff 1 Jan '17 prev. 6.3jt; entitle laptop allw 500k per 1 Sep '16 ; entitle BB eff April 2016 e_30/5/2016 ; adjust 5% Des'15 prev 6 jt; change OT eff per Mar '15 prev 18jam, entitle OT 18 jam eff per Feb '15</t>
  </si>
  <si>
    <t>Jl. Rancho Indah No. 3 RT. 006/ 02, tanjung Barat, Jakarta Selatan 12530</t>
  </si>
  <si>
    <t>0815 8762533</t>
  </si>
  <si>
    <t>Mandiri : 129-000-787351-2</t>
  </si>
  <si>
    <t>89.627.348.9-017.000</t>
  </si>
  <si>
    <t>New</t>
  </si>
  <si>
    <t>0001371090791 -KELUARGA</t>
  </si>
  <si>
    <t xml:space="preserve">daniel.krisharjanto.ext@nsn.com, daniel.krisharjanto@corphr-nokia.com, daniel.krisharjanto.ext@nokia.com </t>
  </si>
  <si>
    <t>OS1401006</t>
  </si>
  <si>
    <t>Jupito Saragih</t>
  </si>
  <si>
    <t>Sumatera Utara</t>
  </si>
  <si>
    <t>BTS Engineer =&gt; Project Engineer</t>
  </si>
  <si>
    <t>adj 1 apr '18 prev BS 7.850rb, BB 200rb, OT 500rb; adj per 1 Okt'17 BS prev 7.350 OT prev none ; adjust 5% Des'15 prev 7 jt ; normal area</t>
  </si>
  <si>
    <t>Jl. Bunga Rinte Gg. Saudara No.23 Kel. Simpang Selayang Kec. Medan Tuntungan, Kota Medan</t>
  </si>
  <si>
    <t>0857 62908646 / 0812 10802955</t>
  </si>
  <si>
    <t>Mandiri : 156-00-0122556-6</t>
  </si>
  <si>
    <t>1271071510850002</t>
  </si>
  <si>
    <t>68.751.332.5-125.000</t>
  </si>
  <si>
    <t>0001738831948 -KELUARGA</t>
  </si>
  <si>
    <t>jupito.saragih@gmail.com, jupito.saragih@corphr-nokia.com</t>
  </si>
  <si>
    <t>OS1403004</t>
  </si>
  <si>
    <t>Eko Ribudi Santoso</t>
  </si>
  <si>
    <t>Pati, 1 Maret 1982</t>
  </si>
  <si>
    <t>adj  apr '18 prev BS 8jt, CA 500rb, Transp none; adj 1 Okt'17 prev BS 7.350 rb OT NO modem 200 rb ; entitle laptop allow eff Apr'17 prev none ; adjust 5% Des'15 prev 7 jt</t>
  </si>
  <si>
    <t>Jl. Mawar RT. 02 RW. 03 Desa Growong Kidul, Kec. Juwana, Pati</t>
  </si>
  <si>
    <t>0813 10011622 / 0858 65132226</t>
  </si>
  <si>
    <t>Mandiri : 1290005934043</t>
  </si>
  <si>
    <t>34.000.191.6.507.000</t>
  </si>
  <si>
    <t>0001628834534 OK</t>
  </si>
  <si>
    <t>ribudi82@gmail.com, eko.ribudi@corphr-nokia.com / KTP : 3318080103820001</t>
  </si>
  <si>
    <t>OS1502010</t>
  </si>
  <si>
    <t>Arief Wicaksono</t>
  </si>
  <si>
    <t>Care Engineer</t>
  </si>
  <si>
    <t>adj BS eff 1 jan '17 prev 5.3jt; entitle laptop allw 500k per 9 Sep '16; 
entitle OT eff per Mar '15</t>
  </si>
  <si>
    <t>Jl. Bangau Blok D No.117 Rt/Rw.04/04 Jaka Mulya, Bekasi Selatan 17146</t>
  </si>
  <si>
    <t>081256209744</t>
  </si>
  <si>
    <t>CIMB : 4200110511187</t>
  </si>
  <si>
    <t>3275043009830014</t>
  </si>
  <si>
    <t>70.288.599.7-432.000</t>
  </si>
  <si>
    <t>0001738832477 -KELUARGA</t>
  </si>
  <si>
    <t>arief.wicaksono85@gmail.com, arief.1.wicaksono.ext@nokia.com</t>
  </si>
  <si>
    <t>OS1503002</t>
  </si>
  <si>
    <t>Herry Heryana</t>
  </si>
  <si>
    <t>Jakarta, 14 April 1981</t>
  </si>
  <si>
    <t>adj BS eff 1 jan '17 prev. 7jt; entitle laptop allw 500k per 9 Sep '16 ;
 entitle BB eff April 2016 e_30/5/2016; entitle OT eff per Mar '15</t>
  </si>
  <si>
    <t>Jl. Lematang IV No. 189 Rt/Rw.001/004 Kel. Baktijaya Kec. Sukmajaya, Kota Depok</t>
  </si>
  <si>
    <t>0217713616 / 081283077073</t>
  </si>
  <si>
    <t>BCA : 6610509493</t>
  </si>
  <si>
    <t>3276051404810003</t>
  </si>
  <si>
    <t>77.675.646.2.412.000</t>
  </si>
  <si>
    <t>0001738832556 -KELUARGA</t>
  </si>
  <si>
    <t>herry_heryana@ymail.com, herry.heryana.ext@nokia.com</t>
  </si>
  <si>
    <t>OS1309023</t>
  </si>
  <si>
    <t>Julia Permata Sari</t>
  </si>
  <si>
    <t>Jakarta, 25 Juli 1989</t>
  </si>
  <si>
    <t>Project Administartion Services</t>
  </si>
  <si>
    <t>entitle laptop allw eff 2 Apr '18; adj 1 apr '18 prev BS 6.848.622, BB 250rb, OT 1.030rb; adj eff 1 Jan'18 BS prev 6.298.622 BB none OT 972.182 ; adj BS eff 1 jan '17 prev. 5.886.563; adjust 5% Des'15 prev 5.606.250 ; adjust 15% per 1 Jan'15 prev 4.875.000 ; only sept'14 entitle laptop prev 750rb ; eff 1 Jul '14 BS prev 4.125.000 CA prev 300rb meal 300rb trans 400rb ; adjust 1/5/2014 prev 2.750.000</t>
  </si>
  <si>
    <t>Jl. H. Sanusi No.34 Rt/Rw.002/013 Duri Kosambi, Cengkareng, Jakarta Barat 11750</t>
  </si>
  <si>
    <t>0815 19900187</t>
  </si>
  <si>
    <t>BCA : 6540137232</t>
  </si>
  <si>
    <t>88.087.534.9-034.000</t>
  </si>
  <si>
    <t>jladpo@gmail.com, julia.sari@corphr-nokia.com</t>
  </si>
  <si>
    <t>OS1309025</t>
  </si>
  <si>
    <t>Helda Agustina</t>
  </si>
  <si>
    <t>Bogor, 18 aug 1986</t>
  </si>
  <si>
    <t>PO - BAST Monitoring</t>
  </si>
  <si>
    <t>eff 1 April 2018 entitle Laptop; adj 1 apr '18 prev BS 4.773.500, CA 350rb; adj eff 1 Jan'18 BS prev 4.273.500 CA 250 rb OT 554.913 ; adj BS eff per 1 jan '17 prev. 3.885.000 &amp; entitle BA ; adjust 5% Des'15 prev 3.700.000 ; adjust 1 Mei'15 prev 3.2 jt e_27/5/2015 ; E_15/12/2014 rev extension ; eff 1 Jul '14 BS prev 2.500.000 CA prev 200rb meal 300rb trans 400rb OT 416.185 ; new salary per 1 Jan'14 prev Rp. 2.000.000</t>
  </si>
  <si>
    <t>Tegal Gundil Rt/Rw.005/018 Kel. Tegal Gundil Kec. Kota Bogor Utara, Kota Bogor</t>
  </si>
  <si>
    <t>083811274065</t>
  </si>
  <si>
    <t>BCA : 2551237496</t>
  </si>
  <si>
    <t>45.302.867.2.404.000</t>
  </si>
  <si>
    <t>0001628834253 OK</t>
  </si>
  <si>
    <t>heldaagustina@yahoo.com, helda.agustina@corphr-nokia.com</t>
  </si>
  <si>
    <t>OS1311028</t>
  </si>
  <si>
    <t>Elly Hutauruk</t>
  </si>
  <si>
    <t>Isat</t>
  </si>
  <si>
    <t>No =&gt; yes 10</t>
  </si>
  <si>
    <t>adj 1 apr '18 prev BS 4.614.375, BB 250rb; entitle BB &amp; OT per Agust'17 prev none ; entitle LA eff per 1 Jan '17; adjust 15% Des'15 BS prev 4.012.500 CA 250 rb</t>
  </si>
  <si>
    <t>Jl. P. Candranidi Gg. Sapta Jaya No. 10 RT/ RW. 001/ 009, Pontianak Kota, Sei Bangkong Pontianak 78116</t>
  </si>
  <si>
    <t>0811 560888</t>
  </si>
  <si>
    <t>Mandiri : 146-00-0466576-1</t>
  </si>
  <si>
    <t>58.477.916.9-701.000</t>
  </si>
  <si>
    <t>0001738832916 OK</t>
  </si>
  <si>
    <t>elly.hutauruk@yahoo.com, elly.hutauruk@corphr-nokia.com</t>
  </si>
  <si>
    <t>OS1510030</t>
  </si>
  <si>
    <t>Eko Santoso</t>
  </si>
  <si>
    <t>13 September 1982</t>
  </si>
  <si>
    <t>Field Manager =&gt; Pre Assembly Engineer</t>
  </si>
  <si>
    <t>change salary</t>
  </si>
  <si>
    <t xml:space="preserve">adj 1 apr '18 prev BS 13.500.000 BB 200rb, HB 2jt; entitle flexi allow per Apr'17 e_21/4/2017 ; change project eff 1 Jun'16 change posisi not entitle = HB prev 3 jt transp prev 2 jt </t>
  </si>
  <si>
    <t>Tuntungan UH3 No. 106B, RT/ RW. 42/10, Kel. Tahunan, Kec. Umbulharjo, Yogyakarta</t>
  </si>
  <si>
    <t>0816 46862086</t>
  </si>
  <si>
    <t>Mandiri : 124-00-0509169-0</t>
  </si>
  <si>
    <t>3471131309820004</t>
  </si>
  <si>
    <t>87.072.707.0-541.000</t>
  </si>
  <si>
    <t>0001738832005 OK</t>
  </si>
  <si>
    <t>eko_santoso@ymail.com, eko.santoso@corphr-nokia.com</t>
  </si>
  <si>
    <t>Jabo Banten =&gt; Pekanbaru</t>
  </si>
  <si>
    <t>TIS =&gt; Isat</t>
  </si>
  <si>
    <t>Project Coordinator =&gt; Coordinator =&gt; Project Engineer</t>
  </si>
  <si>
    <t>NO =&gt; 500.000</t>
  </si>
  <si>
    <t>RI&amp;RJ only empl. =&gt; YES</t>
  </si>
  <si>
    <t>move project, change HB &amp; posisi eff 20 Aug'17 BS prev 4.5 jt DA none prev 17 rb OA none prev 350 rb CA prev 400 rb ; eff 16 Aug'17 entitle BB Fleksi Transp &amp; OT ; eff 1 jan '17 entitle OA &amp; prev DA 20rb</t>
  </si>
  <si>
    <t>OS1607010</t>
  </si>
  <si>
    <t>Salman Siregar</t>
  </si>
  <si>
    <t>Sitopayan, 9 Februari 1987</t>
  </si>
  <si>
    <t>Jabo Banten =&gt; Jakarta 1 Sep 2017</t>
  </si>
  <si>
    <t>SF =&gt; Isat</t>
  </si>
  <si>
    <t xml:space="preserve">Jl. Tajem No. 40 RT 001/ RW 030, Manguwuharjo Depok, Sleman, Yogyakarta  </t>
  </si>
  <si>
    <t>081319768881</t>
  </si>
  <si>
    <t>BCA : 2531389893</t>
  </si>
  <si>
    <t>3175100902870009</t>
  </si>
  <si>
    <t>69.310.682.5.009.000</t>
  </si>
  <si>
    <t>14035444315</t>
  </si>
  <si>
    <t>0001644784018</t>
  </si>
  <si>
    <t>salman.sitopayan@gmail.com</t>
  </si>
  <si>
    <t>OS1701004</t>
  </si>
  <si>
    <t>Indra Suroto</t>
  </si>
  <si>
    <t>Pekanbaru =&gt; Palembang 1 Sep 2017</t>
  </si>
  <si>
    <t>Ds. Tulung Sari RT. 004 RW. 003 No. 40, Kel. Tulung Sari, Kec. Belitang Mulya Kab. Oku Timur, Sumatera Selatan</t>
  </si>
  <si>
    <t>085758999282 / 081382052058</t>
  </si>
  <si>
    <t>Mandiri : 900-00-0142755-9</t>
  </si>
  <si>
    <t>79.302.638.6-034.000</t>
  </si>
  <si>
    <t>indrala21@yahoo.co.id, indra.suroto.ext@nsn.com, indra.suroto@corphr-nokia.com</t>
  </si>
  <si>
    <t>OS1710052</t>
  </si>
  <si>
    <t>Audi Iswahyudiono</t>
  </si>
  <si>
    <t>Surabaya, 06 Mei 1985</t>
  </si>
  <si>
    <t>ISAT</t>
  </si>
  <si>
    <t>Gg. Duren No 32 RT 004 / RW 009 Utan Kayu Utara, Matraman, Jakarta Timur</t>
  </si>
  <si>
    <t>087889965006 / 08563336573</t>
  </si>
  <si>
    <t>CIMB NIAGA : 0330188912128</t>
  </si>
  <si>
    <t>3578240605850001</t>
  </si>
  <si>
    <t>256131749615000</t>
  </si>
  <si>
    <t>audi.iswahyudiono@gmail.com</t>
  </si>
  <si>
    <t>Jl. Lenteng Agung Raya No. 57A RT 05 / RW 02, Lenteng Agung, Jakarta Selatan</t>
  </si>
  <si>
    <t>BCA 0701549570</t>
  </si>
  <si>
    <t xml:space="preserve"> OS1705014</t>
  </si>
  <si>
    <t>Tigabolon, 9 Agustus 1982</t>
  </si>
  <si>
    <t>MANDIRI 070 00 05246165</t>
  </si>
  <si>
    <t xml:space="preserve"> OS1804021</t>
  </si>
  <si>
    <t>Humam Alif Shubhi</t>
  </si>
  <si>
    <t>Pekalongan, 3 November 1995</t>
  </si>
  <si>
    <t>Jl. Gumuk Asri No. 35 RT 01 / RW 11, Kel. Poncol Kec. Pekalongan Timur</t>
  </si>
  <si>
    <t>081510095992</t>
  </si>
  <si>
    <t>MANDIRI 9000019526608</t>
  </si>
  <si>
    <t>3326150311950004</t>
  </si>
  <si>
    <t>0000080225662</t>
  </si>
  <si>
    <t>humamalif9@gmail.com</t>
  </si>
  <si>
    <t>OS1311042</t>
  </si>
  <si>
    <t>Himawan Rosidi</t>
  </si>
  <si>
    <t>Semarang</t>
  </si>
  <si>
    <t>Network Design</t>
  </si>
  <si>
    <t>Jl. Moch. Kahfi I No. 2, RT. 06/04, Cipedak, Jakarsa</t>
  </si>
  <si>
    <t>0817 9559933 / 02178881463</t>
  </si>
  <si>
    <t>BCA : 7330729109</t>
  </si>
  <si>
    <t>49.200.025.2-003.000</t>
  </si>
  <si>
    <t>0001628834016 OK</t>
  </si>
  <si>
    <t>himawan.semarang@gmail.com, himawan.rosidi@corphr-nokia.com</t>
  </si>
  <si>
    <t>terminated 10/5/2016, ADA EKSES KLAIM (sdh dibayar 27/10/16)</t>
  </si>
  <si>
    <t>OS1509015</t>
  </si>
  <si>
    <t>Melisara BR Pinem</t>
  </si>
  <si>
    <t>Jl. B Sedap Malam III D No.27 Sempakata, Medan Selayang, Kota Medan</t>
  </si>
  <si>
    <t>BRI : 108801000921530</t>
  </si>
  <si>
    <t>73.774.436.7-121.000</t>
  </si>
  <si>
    <t>13042742539</t>
  </si>
  <si>
    <t>0001738831959 OK</t>
  </si>
  <si>
    <t>mellysara.pinem@gmail.com</t>
  </si>
  <si>
    <t>terminated 31/5/2016</t>
  </si>
  <si>
    <t>OS1201219</t>
  </si>
  <si>
    <t>Putut Adhi Sasongko</t>
  </si>
  <si>
    <t>Flexi Assign / Surabaya =&gt; Semarang =&gt; Jakarta</t>
  </si>
  <si>
    <t>adjust 3% Des'15 prev 14.252.625 ; flexi eff 10 Sep'14 3hr btr reg.</t>
  </si>
  <si>
    <t>Cipinang Kebembem No.20, Jakarta Timur 13240</t>
  </si>
  <si>
    <t>0815 53742317</t>
  </si>
  <si>
    <t>BCA : 006-023-6313</t>
  </si>
  <si>
    <t>44.627515.8.525.000</t>
  </si>
  <si>
    <t>0001628022993 OK</t>
  </si>
  <si>
    <t>putut.adhi_sasongko.ext@nsn.com, adhiputut@gmail.com, putut.sasongko@corphr-nokia.com</t>
  </si>
  <si>
    <t>not extend 31/12/16</t>
  </si>
  <si>
    <t>OS1105002</t>
  </si>
  <si>
    <t>Juvian Candra Febriko Sirait</t>
  </si>
  <si>
    <t>adjust 7% Des'15 prev 7.5 jt ; flexi normal eff 1 Juli'14 prev 2jt ; Temporary Relocation</t>
  </si>
  <si>
    <t>Jl. H. Ten IV No.43 Rt/Rw.006/003 Kel. Rawamangun Kec. Pulo Gadung, Jakarta Timur --- Perumahan Mega Regency Blok H26 No.16 Cikarang</t>
  </si>
  <si>
    <t>081537565827 / 085214303227</t>
  </si>
  <si>
    <t>BCA : 0948482978</t>
  </si>
  <si>
    <t>15.039.940.0-216.000</t>
  </si>
  <si>
    <t>09002979244</t>
  </si>
  <si>
    <t>0001630839093 OK</t>
  </si>
  <si>
    <t>Vian_sirait@yahoo.co.id, juvian.sirait@corphr-nokia.com</t>
  </si>
  <si>
    <t>not extend 31/12/16, ada ekses klaim</t>
  </si>
  <si>
    <t>OS1612042</t>
  </si>
  <si>
    <t>Arthur Wijaya</t>
  </si>
  <si>
    <t>Jl. Bangau 117 RT/ RW. 004/004, Kel. Jaka Mulya, Kec. Bekasi Selatan</t>
  </si>
  <si>
    <t>0857 80097494 / 0813 83725248</t>
  </si>
  <si>
    <t>Mandiri : 156-000-393-5543</t>
  </si>
  <si>
    <t>3275040504860029</t>
  </si>
  <si>
    <t>59.517.958.1-432.000</t>
  </si>
  <si>
    <t>15017048958</t>
  </si>
  <si>
    <t>aa.arthur86@gmail.com, arthur.wijaya.ext@nsn.com, arthur.wijaya@corphr-nokia.com</t>
  </si>
  <si>
    <t>only 1 month</t>
  </si>
  <si>
    <t>OS1710112</t>
  </si>
  <si>
    <t>Roy Suzman</t>
  </si>
  <si>
    <t>Indragiri Hulu, 29 Mei 1981</t>
  </si>
  <si>
    <t>Ciledug Indah II D.2/ 18 RT 03 / RW 09, Kel. Pedurenan Kec. Karang Tengah, Kota Tangerang</t>
  </si>
  <si>
    <t>08159211581</t>
  </si>
  <si>
    <t>MANDIRI : 0700005947317</t>
  </si>
  <si>
    <t>3671062905810004</t>
  </si>
  <si>
    <t>05J60461398</t>
  </si>
  <si>
    <t>0001637211824</t>
  </si>
  <si>
    <t>roy.suzman@gmail.com</t>
  </si>
  <si>
    <t>terminated 22/11/2017</t>
  </si>
  <si>
    <t>OS1311030</t>
  </si>
  <si>
    <t>Junaedi</t>
  </si>
  <si>
    <t>entitle Laptop Allw per 16 Aug '16; adjust 5% Des'15 prev 8.215.000</t>
  </si>
  <si>
    <t>Perum Kedaung Blok AH No. 02, RT. 006/006, Kel. Kutajaya, Kec. Pasar Kemis, Tangerang</t>
  </si>
  <si>
    <t>0858-80685885 / 021-5903634</t>
  </si>
  <si>
    <t>Mandiri : 118-00-0312124-0</t>
  </si>
  <si>
    <t>59.143.069.9-418.000</t>
  </si>
  <si>
    <t>06002139043</t>
  </si>
  <si>
    <t>0001636167126 OK</t>
  </si>
  <si>
    <t>junaedisie@yahoo.com, junaedi.junaedi.ext@nsn.com, junaedi@corphr-nokia.com</t>
  </si>
  <si>
    <t>Actual Join Date</t>
  </si>
  <si>
    <t>Other Allow.</t>
  </si>
  <si>
    <t>Update by Johny Okt</t>
  </si>
  <si>
    <t>OS1107001</t>
  </si>
  <si>
    <t>Rina</t>
  </si>
  <si>
    <t>eff  5 Mar '18 entitle Laptop; adjust Okt'15 prev BS 5.395.654 CA 250 rb BB none</t>
  </si>
  <si>
    <t>Jl. Kayu Tinggi Gg. Dahlia 1 No.21 Rt.003 Rw.05 Cakung, Jakarta Timur 13910</t>
  </si>
  <si>
    <t>02146827278 / 081311518527</t>
  </si>
  <si>
    <t>Mandiri : 070-00-0453771-3</t>
  </si>
  <si>
    <t>59.059.935.3-006.000</t>
  </si>
  <si>
    <t>hizkya@yahoo.com, rina.rina.ext@nokia.com, rina@corphr-nokia.com</t>
  </si>
  <si>
    <t>OS1107011</t>
  </si>
  <si>
    <t>Ade Wahyudi</t>
  </si>
  <si>
    <t>entitle laptop allw Jun '16 e_09/08/16, adjust Okt'15 prev BS 5.317.366CA 250 rb BB none</t>
  </si>
  <si>
    <t>Perum. Depok Maharaja Blok M4 /12 Rt.04 Rw.16 Kel. Rangkapan Jaya, Kec. Pancoran Mas, Depok 16435</t>
  </si>
  <si>
    <t>081384486000</t>
  </si>
  <si>
    <t>BCA : 2551155767</t>
  </si>
  <si>
    <t>25.145.551.5.412.000</t>
  </si>
  <si>
    <t>0001848296294 OK</t>
  </si>
  <si>
    <t>ade.wahyudi.ext@nokia.com, ade.wahyudi@corphr-nokia.com</t>
  </si>
  <si>
    <t>OS1406007</t>
  </si>
  <si>
    <t>Ajeng Diah Ivana Mohede</t>
  </si>
  <si>
    <t>Jakarta, 26 Januari 1981</t>
  </si>
  <si>
    <t>adjust Okt'15 prev BS 5.750 jt CA 550 rb BB none</t>
  </si>
  <si>
    <t>Bali Matraman Gg. Sadar Rt/Rw.008/003 Manggarai Selatan, Tebet, Jakarta Selatan</t>
  </si>
  <si>
    <t>0858 13821155</t>
  </si>
  <si>
    <t>BCA : 5750138260</t>
  </si>
  <si>
    <t>3174016601810006</t>
  </si>
  <si>
    <t>24.841.594.5.015.000</t>
  </si>
  <si>
    <t>0001628833948 -KELUARGA</t>
  </si>
  <si>
    <t>ajeng.mohede.ext@nsn.com</t>
  </si>
  <si>
    <t>OS1406008</t>
  </si>
  <si>
    <t>Ameria Giriyanti</t>
  </si>
  <si>
    <t>Bandung, 17 April 1977</t>
  </si>
  <si>
    <t>entitle laptop allow eff Maret'17 ; adjust Okt'15 prev BS 8.531.317CA 300 rb BB none</t>
  </si>
  <si>
    <t>Graha Raya Bintaro Jaya Cluster Fedora J20/16 Rt/Rw.006/015 Kel. Pakujaya Kec. Serpong Utara, Tangerang Selatan</t>
  </si>
  <si>
    <t>71076606 / 08999551777</t>
  </si>
  <si>
    <t>BCA : 4501236751</t>
  </si>
  <si>
    <t>3674025704770010</t>
  </si>
  <si>
    <t>57.875.805.4.016.000</t>
  </si>
  <si>
    <t>ameria.giriyanti@gmail.com</t>
  </si>
  <si>
    <t>OS1406009</t>
  </si>
  <si>
    <t>Arief Vera Aprilia</t>
  </si>
  <si>
    <t>Jakarta, 19 April 1966</t>
  </si>
  <si>
    <t>adjust Okt'15 prev BS 7.016.159 BB none</t>
  </si>
  <si>
    <t>Perum. Gema Pesona Blok AF/3 Jl. Tole Iskandar No.45, Depok II Tengah</t>
  </si>
  <si>
    <t>77832010 / 08551055591</t>
  </si>
  <si>
    <t>BII : 1121204334</t>
  </si>
  <si>
    <t>3276055904660002</t>
  </si>
  <si>
    <t>45.769.961.9.412.000</t>
  </si>
  <si>
    <t>0001630839341 -OK</t>
  </si>
  <si>
    <t>arief.vera@yahoo.com, arief.vera.ext@nokia.com</t>
  </si>
  <si>
    <t>OS1406012</t>
  </si>
  <si>
    <t>Linda Prameswari Maharani</t>
  </si>
  <si>
    <t>Cirebon, 18 April 1980</t>
  </si>
  <si>
    <t>reimburse max 300.000</t>
  </si>
  <si>
    <t>adjust Okt'15 prev BS 7.5 jt CA none ; entitle broadband reimb e_28/7/2015 ; fix berubah 7.5jt eff 1 Jun'14 E20/8/2014 prev 6.304.666</t>
  </si>
  <si>
    <t>Jl. Tanah Merdeka No.16 Komp. Perumahan Nuansa Baru Kav.11, Jakarta Timur 13830</t>
  </si>
  <si>
    <t>8415677 / 08121087120</t>
  </si>
  <si>
    <t>BCA : 3740493921</t>
  </si>
  <si>
    <t>3175095804800010</t>
  </si>
  <si>
    <t>59.060.016.9.009.000</t>
  </si>
  <si>
    <t>0001628834073 OK</t>
  </si>
  <si>
    <t>linda.murniati.ext@nsn.com, linda.prameswari@gmail.com</t>
  </si>
  <si>
    <t>OS1412026</t>
  </si>
  <si>
    <t>Yovita Rahardianty</t>
  </si>
  <si>
    <t>Jakarta, 17 September 1977</t>
  </si>
  <si>
    <t>Project Support RSO</t>
  </si>
  <si>
    <t>adjust 1 Apr'16 prev 9.5 jt ; adjust Okt'15 prev 9.264.829 ; entitle laptop allow Mei'15 ; adjust Jan'15 BS prev 8.753.801 &amp; CA 500 rb</t>
  </si>
  <si>
    <t>Jl. Mesjid Darul Falah Rt/Rw.005/003 Petukangan Utara, Pesanggrahan, Jakarta Selatan</t>
  </si>
  <si>
    <t>082124090807 / 082114076203</t>
  </si>
  <si>
    <t>Mandiri : 102-00-0604033-8</t>
  </si>
  <si>
    <t>3174105709770009</t>
  </si>
  <si>
    <t>24.723.280.4.013.000</t>
  </si>
  <si>
    <t>0001371134687 OK</t>
  </si>
  <si>
    <t>yovitar@hotmail.com, yovita.rahardianty.ext@nokia.com</t>
  </si>
  <si>
    <t>OS1110013</t>
  </si>
  <si>
    <t>Juki Mardika</t>
  </si>
  <si>
    <t>Level 3</t>
  </si>
  <si>
    <t>adj Jan'17 prev 3.267.000 e_16/3/2017 ; adj Okt'15 prev 2.970 jt ; adj 1 Jan'15 prev 2.673.879 ; adjust 1 Apr'14 prev 2.408.900 E 4/4/2014 ; adjust 1 Jan'13 prev Rp. 1.853.000 email 23/1/2012 ; change sal per 1 Apr'12 prev Rp.1.700.000 &amp; Rp.130.000</t>
  </si>
  <si>
    <t>Jl. H. Katim No.46 Rt.004 Rw.001 Kel. Meruyung Kec. Limo, Depok 16515</t>
  </si>
  <si>
    <t>0857 19468941</t>
  </si>
  <si>
    <t>BCA : 2551217410</t>
  </si>
  <si>
    <t>25.6092354412.000</t>
  </si>
  <si>
    <t>0001628834398 OK</t>
  </si>
  <si>
    <t>jmardika@yahoo.com</t>
  </si>
  <si>
    <t>renewal contract</t>
  </si>
  <si>
    <t>OS1110035</t>
  </si>
  <si>
    <t>Imam Santoso</t>
  </si>
  <si>
    <t>adj Jan'17 prev 3.267.000 e_16/3/2017 ; adj Okt'15 prev 2.970 jt ; adj 1 Apr'15 prev 2.941.267 ; adjust 1 Okt'14 prev 2.673.879 ; adjust 1 Jan'14 prev 2.408.900 E 26/3/2014 ; adjust 1 Jan'13 prev 1.853.000 ; change sal per 1 Apr'12 prev Rp.1.700.000 &amp; Rp.130.000</t>
  </si>
  <si>
    <t>Kp. Siluman Rt.001 Rw.001 Ds. Mangunjaya Kec. Tambun Selatan, Bekasi</t>
  </si>
  <si>
    <t>0813 10427969</t>
  </si>
  <si>
    <t>BCA : 2551240331</t>
  </si>
  <si>
    <t>0001628834242 OK</t>
  </si>
  <si>
    <t>imamsentosa@gmail.com</t>
  </si>
  <si>
    <t>OS1112012</t>
  </si>
  <si>
    <t>Siti Sumartini</t>
  </si>
  <si>
    <t>Project Suppot</t>
  </si>
  <si>
    <t>break</t>
  </si>
  <si>
    <t>adjust Okt'15 prev CA 300 rb BB none</t>
  </si>
  <si>
    <t>Komp. Peruri, Jl. Yayasan II No.44 Kav.91 Rt.002 Rw.010 Kel. Sudimara Timur, Ciledug, Tangerang</t>
  </si>
  <si>
    <t>021.7316829 / 08170071188</t>
  </si>
  <si>
    <t>BCA : 3451695442</t>
  </si>
  <si>
    <t>24.681.036.0-416.000</t>
  </si>
  <si>
    <t>0001628834668 OK</t>
  </si>
  <si>
    <t>menik.sumartini.ext@nsn.com</t>
  </si>
  <si>
    <t>OS1201016</t>
  </si>
  <si>
    <t>Pujianto</t>
  </si>
  <si>
    <t>adj Jan'17 prev 3.267.000 e_16/3/2017 ; adj Okt'15 prev 2.970 jt ; adj 1 Jan'15 prev 2.673.879 ; adjust 1 Jan'14 prev 2.408.900 E     ; adjust 1 Jan'13 prev 1.700.000 &amp; 130.000 e 11/3/2013</t>
  </si>
  <si>
    <t>Batu Ampar RT 10/ RW 05 Kelurahan Batu Ampar Kecamatan Kramat Jati - Jakarta Timur</t>
  </si>
  <si>
    <t>0813 14799324</t>
  </si>
  <si>
    <t>BCA : 2551116443</t>
  </si>
  <si>
    <t>47.245.001.4.005.000</t>
  </si>
  <si>
    <t>0001630839137 OK</t>
  </si>
  <si>
    <t>antopujianto55@yahoo.co.id</t>
  </si>
  <si>
    <t>OS1201237</t>
  </si>
  <si>
    <t>Rochmadi</t>
  </si>
  <si>
    <t>adj Jan'17 prev 3.267.000 e_16/3/2017 ; adj Okt'15 prev 2.970 jt ; adj 1 Jan'15 prev 2.673.879 ; adjust 1 Jan'14 prev 2.408.900 E 25/2/2014 ; adjust 1 Jan'13 prev Rp. 1.853.000</t>
  </si>
  <si>
    <t>Jl. Haji Muslim Rt.007 Rw.010 Pondok Labu, Cilandak, Jakarta Selatan</t>
  </si>
  <si>
    <t>0812 8946191</t>
  </si>
  <si>
    <t>BCA : 2551156852</t>
  </si>
  <si>
    <t>36.572.455.8.016.000</t>
  </si>
  <si>
    <t>0001630839058 OK</t>
  </si>
  <si>
    <t>rochmadi.rochmadi09@gmail.com</t>
  </si>
  <si>
    <t>OS1201238</t>
  </si>
  <si>
    <t>Wandy Cahyono</t>
  </si>
  <si>
    <t>Jl. H. Joan Rt.001 Rw.004 No.12 Pondok Karya, Pondok Aren, Bintaro, Tangerang Selatan</t>
  </si>
  <si>
    <t>0813 87209679</t>
  </si>
  <si>
    <t>Mandiri : 1240000030628</t>
  </si>
  <si>
    <t>78.525.520.9.411.000</t>
  </si>
  <si>
    <t>0001630839521 M3</t>
  </si>
  <si>
    <t>wandy_cahyono@yahoo.com</t>
  </si>
  <si>
    <t>OS1201240</t>
  </si>
  <si>
    <t>Fudoli</t>
  </si>
  <si>
    <t>adj Jan'17 prev 3.267.000 e_16/3/2017 ; adj Okt'15 prev 2.970 jt ; adj 1 Apr'15 prev 2.673.879 ; adjust 1 Jan '14 prev 2.408.900 E 26/2/2014 ; adjust 1 Jan'13 prev Rp. 1.853.000</t>
  </si>
  <si>
    <t>Jl. Pemuda No.68 Rt.002 Rw.004 Kranji, Bekasi Barat, Kota Bekasi</t>
  </si>
  <si>
    <t>0857 80733030</t>
  </si>
  <si>
    <t>Mandiri : 0700004837501</t>
  </si>
  <si>
    <t>73.664.279.4-407.000</t>
  </si>
  <si>
    <t>07K10025867</t>
  </si>
  <si>
    <t>dolliahmad@rocketmail.com, a.dolli@yahoo.com</t>
  </si>
  <si>
    <t>OS1202013</t>
  </si>
  <si>
    <t>Muhamad Fahrudi</t>
  </si>
  <si>
    <t>adj Jan'17 prev 3.267.000 e_16/3/2017 ; adj Okt'15 prev 2.970 jt ; adj 1 Jan'15 prev 2.673.879 ; adjust 1 Apr'14 prev 2.408.900 E 4/4/2014 ; adjust 1 Feb'13 prev Rp. 1.853.000</t>
  </si>
  <si>
    <t>Perum Bojong Depok Baru Blok NE 8C Bojonggede, Bogor</t>
  </si>
  <si>
    <t>0857 11651249</t>
  </si>
  <si>
    <t>BCA : 2551264213</t>
  </si>
  <si>
    <t>58.167.669.9.039.000</t>
  </si>
  <si>
    <t>0001628834141 OK</t>
  </si>
  <si>
    <t>rudi99911@yahoo.com</t>
  </si>
  <si>
    <t>OS1206003</t>
  </si>
  <si>
    <t>Kemas Sani</t>
  </si>
  <si>
    <t>adj Jan'17 prev 3.238.704 e_16/3/2017 ; adjust Jan 2016 prev 3.024.000 jt ; adjust Okt'15 prev 2.7 jt ; UMP 2015 per Jan'15 prev 2.441.000 ; UMP 2014 per Jan'14 &amp; status per Mar'14 prev 2.200.000 E 12/3/2014 ; adjust 1 Jan'13 prev Rp. 1.529.150 e 11/3/2013</t>
  </si>
  <si>
    <t>Bendungan Udik Rt/Rw.002/004 Karet Semanggi, Setia Budi, Jakarta Selatan</t>
  </si>
  <si>
    <t>0856-9166-7980 / 021 97198176</t>
  </si>
  <si>
    <t>BCA : 8690932564</t>
  </si>
  <si>
    <t>72.238.248.8.063.000</t>
  </si>
  <si>
    <t>0001628022633 OK</t>
  </si>
  <si>
    <t>kemassani@gmail.com</t>
  </si>
  <si>
    <t>OS1312092</t>
  </si>
  <si>
    <t>Heri Prabowo</t>
  </si>
  <si>
    <t>Doc. Scanning Service</t>
  </si>
  <si>
    <t>adj 10% eff Jan'17 prev 3.726.000 ; adj Jul '16 prev BS 3.240.000, ajd Okt'15 prev BS 2.7 jt meal 154 rb trnsprt 325 rb ; adjust 1 Jun'14 BS prev 2.5 jt &amp; CA prev 0 ; new salary per 1 Jan'14 prev Rp. 2.200.000</t>
  </si>
  <si>
    <t>Jl. Al Mutaqin No.43 Rt/Rw.001/005 Kel. Kreo Selatan Kec. Larangan, Kota Tangerang</t>
  </si>
  <si>
    <t>0815 11167901</t>
  </si>
  <si>
    <t>Mandiri : 070-00-0466281-8</t>
  </si>
  <si>
    <t>24.681.730.8-416.000</t>
  </si>
  <si>
    <t>0001738832804 -KELUARGA</t>
  </si>
  <si>
    <t>heri_prabowo85@yahoo.com</t>
  </si>
  <si>
    <t>OS1502011</t>
  </si>
  <si>
    <t>Enggal Suwiknyo</t>
  </si>
  <si>
    <t>Bogor, 5 Juni 1995</t>
  </si>
  <si>
    <t>General</t>
  </si>
  <si>
    <t>adj Jan'17 prev 3.180.870 e_16/3/2017 ; adjust Jan 2016 prev 2.970.000 ; Adjust Okt'15 prev 2.7 jt</t>
  </si>
  <si>
    <t>Kp. Sumurwangi Rt/Rw.002/007 Kel. Kayumanis Kec. Tanah Sareal, Kota Bogor</t>
  </si>
  <si>
    <t>089608855862</t>
  </si>
  <si>
    <t>BCA : 2551276297</t>
  </si>
  <si>
    <t>3271060506950019</t>
  </si>
  <si>
    <t>70.804.321.1.404.000</t>
  </si>
  <si>
    <t>0001640200577 OK</t>
  </si>
  <si>
    <t>enggal.suwiknyo@yahoo.com, mochamad.januar@corphr-nokia.com</t>
  </si>
  <si>
    <t>OS1611010</t>
  </si>
  <si>
    <t>Mariska</t>
  </si>
  <si>
    <t>Jakarta, 4 Juni 1979</t>
  </si>
  <si>
    <t>CT BD</t>
  </si>
  <si>
    <t>Project Assistant</t>
  </si>
  <si>
    <t>entitle call allow per Okt'17 prev none</t>
  </si>
  <si>
    <t>Jl. Wijaya Kusuma Raya No. 4 RT 04/ RW 06, Depok 1</t>
  </si>
  <si>
    <t>62811869645</t>
  </si>
  <si>
    <t>BCA : 7150259686</t>
  </si>
  <si>
    <t>3276014406790001</t>
  </si>
  <si>
    <t>24.680.956.0-412.000</t>
  </si>
  <si>
    <t>mariska.mariska.ext@nokia.com</t>
  </si>
  <si>
    <t>OS1704002</t>
  </si>
  <si>
    <t>Astri Ferani</t>
  </si>
  <si>
    <t>Jakarta, 29 Juli 1976</t>
  </si>
  <si>
    <t>cover anak</t>
  </si>
  <si>
    <t>adj Apr '18 prev 9jt</t>
  </si>
  <si>
    <t>Jl. Gunung Balong I/16D Rt/Rw.009/004 Lebak Bulus, Cilandak, Jakarta Selatan</t>
  </si>
  <si>
    <t>08174857221</t>
  </si>
  <si>
    <t>BCA :  6080217992</t>
  </si>
  <si>
    <t>3174066907760003</t>
  </si>
  <si>
    <t>astri.ferani@nokia.com</t>
  </si>
  <si>
    <t>OS1512024</t>
  </si>
  <si>
    <t>Ika Maya Damayanti</t>
  </si>
  <si>
    <t>Surabaya, 7 Mei 1986</t>
  </si>
  <si>
    <t>Lidah Harapan Blok AF-05 Rt/Rw.001/005 Lidah Wetan, Lakar Santri, Kota Surabaya</t>
  </si>
  <si>
    <t>089632342001</t>
  </si>
  <si>
    <t>MANDIRI: 1410010990356</t>
  </si>
  <si>
    <t>3578184705860001</t>
  </si>
  <si>
    <t>terminated 27 maret 2016</t>
  </si>
  <si>
    <t>OS1602077</t>
  </si>
  <si>
    <t>Sonia Viantiana</t>
  </si>
  <si>
    <t>Jakarta, 18 aug 1988</t>
  </si>
  <si>
    <t>Admin Quality</t>
  </si>
  <si>
    <t>JL.Gas Alam Komplek Departemen Koperasi Blok B No:1 RT/RW:01/09 Cimanggis Depok</t>
  </si>
  <si>
    <t>0856 97787102</t>
  </si>
  <si>
    <t>Mandiri : 1570002811231</t>
  </si>
  <si>
    <t>3276025808880014</t>
  </si>
  <si>
    <t>69.432.506.9-412.000</t>
  </si>
  <si>
    <t>11042879228</t>
  </si>
  <si>
    <t>sonia_viantiana@yahoo.com, sonia.viantiana@corphr-nokia.com</t>
  </si>
  <si>
    <t>terminated 15 Maret 2016</t>
  </si>
  <si>
    <t>sudah lebih dr 5th</t>
  </si>
  <si>
    <t>adj Okt'15 prev 2.970 jt ; adj 1 Jan'15 prev 2.673.879 ; adjust 1 Apr'14 prev 2.408.900 E 4/4/2014 ; adjust 1 Jan'13 prev Rp. 1.853.000 email 23/1/2012 ; change sal per 1 Apr'12 prev Rp.1.700.000 &amp; Rp.130.000</t>
  </si>
  <si>
    <t>renewal contract 31/01/16</t>
  </si>
  <si>
    <t>adj Okt'15 prev 2.970 jt ; adj 1 Apr'15 prev 2.941.267 ; adjust 1 Okt'14 prev 2.673.879 ; adjust 1 Jan'14 prev 2.408.900 E 26/3/2014 ; adjust 1 Jan'13 prev 1.853.000 ; change sal per 1 Apr'12 prev Rp.1.700.000 &amp; Rp.130.000</t>
  </si>
  <si>
    <t>adj Okt'15 prev 2.970 jt ; adj 1 Jan'15 prev 2.673.879 ; adjust 1 Jan'14 prev 2.408.900 E 25/2/2014 ; adjust 1 Jan'13 prev Rp. 1.853.000</t>
  </si>
  <si>
    <t>renewal contract 28/02/16</t>
  </si>
  <si>
    <t>Ahmad Fudoli</t>
  </si>
  <si>
    <t>adj Okt'15 prev 2.970 jt ; adj 1 Apr'15 prev 2.673.879 ; adjust 1 Jan '14 prev 2.408.900 E 26/2/2014 ; adjust 1 Jan'13 prev Rp. 1.853.000</t>
  </si>
  <si>
    <t>adj Okt'15 prev 2.970 jt ; adj 1 Jan'15 prev 2.673.879 ; adjust 1 Jan'14 prev 2.408.900 E     ; adjust 1 Jan'13 prev 1.700.000 &amp; 130.000 e 11/3/2013</t>
  </si>
  <si>
    <t>adj Okt'15 prev 2.970 jt ; adj 1 Jan'15 prev 2.673.879 ; adjust 1 Apr'14 prev 2.408.900 E 4/4/2014 ; adjust 1 Feb'13 prev Rp. 1.853.000</t>
  </si>
  <si>
    <t>adjust Jan 2016 prev 3.024.000 jt ; adjust Okt'15 prev 2.7 jt ; UMP 2015 per Jan'15 prev 2.441.000 ; UMP 2014 per Jan'14 &amp; status per Mar'14 prev 2.200.000 E 12/3/2014 ; adjust 1 Jan'13 prev Rp. 1.529.150 e 11/3/2013</t>
  </si>
  <si>
    <t>OS1511015</t>
  </si>
  <si>
    <t>Ahmad Juandi</t>
  </si>
  <si>
    <t>Cianjur, 14 Desember 1982</t>
  </si>
  <si>
    <t>Project Support Warehouse Management</t>
  </si>
  <si>
    <t>Jl. Mariwati No. D49  Gg. Dewi Sri, Kp. Balakang Kidul Rt.01/02 Sindanglaya Cipanas - Cianjur 43253</t>
  </si>
  <si>
    <t>0812 91252633</t>
  </si>
  <si>
    <t>BCA : 5735130045</t>
  </si>
  <si>
    <t>3203281412820005</t>
  </si>
  <si>
    <t>55.829.549.9.406.000</t>
  </si>
  <si>
    <t>15030281420</t>
  </si>
  <si>
    <t>ahmad.juandi@nokia.com, ahmad.juandi.ext@nokia.com, ahmadjuandi_adji@yahoo.com, adjiblueboy@gmail.com</t>
  </si>
  <si>
    <t>not extend 28/02/17</t>
  </si>
  <si>
    <t>Customer Coordinator CDS</t>
  </si>
  <si>
    <t>adjust Okt'15 prev 7.5 jt CA 250 rb trnsprt none BB none</t>
  </si>
  <si>
    <t>Jl. Pancoran Barat I No. 26 RT/RW:003/001 Pancoran, Jakarta Selatan 12780</t>
  </si>
  <si>
    <t>083815479327</t>
  </si>
  <si>
    <t>57.875.800.5-061.000</t>
  </si>
  <si>
    <t>nurul.yulianti@gmail.com, nurul.yulianti.ext@nsn.com</t>
  </si>
  <si>
    <t>resign 15/2/2017</t>
  </si>
  <si>
    <t>OS1611011</t>
  </si>
  <si>
    <t>Dewi Kurniasari</t>
  </si>
  <si>
    <t>11 Maret 1975</t>
  </si>
  <si>
    <t>CT Telkomsel</t>
  </si>
  <si>
    <t>Kharisma Residence No. A 10, Jl. Pangkalan Jati 1, Gandul Cinere</t>
  </si>
  <si>
    <t>021 7512326 / 0811 858856</t>
  </si>
  <si>
    <t>BCA : 071 105 1201</t>
  </si>
  <si>
    <t>3276045103750004</t>
  </si>
  <si>
    <t>24.757.221.7-412.000</t>
  </si>
  <si>
    <t>13043605081000</t>
  </si>
  <si>
    <t>dewi.kurniasari@nokia.com</t>
  </si>
  <si>
    <t>move to nokia 1/6/2017 info inung?</t>
  </si>
  <si>
    <t>P9 2017</t>
  </si>
  <si>
    <t>OS1201004</t>
  </si>
  <si>
    <t>Anisa Agustin</t>
  </si>
  <si>
    <t>FNC</t>
  </si>
  <si>
    <t>eff 1 Mar '18 entitle Laptop; adjust 20% eff 16/5/2014 prev 3.750.000</t>
  </si>
  <si>
    <t>Jl. Trunojoyo Gg. Wijaya Kusuma No.26 Ngawi 63217</t>
  </si>
  <si>
    <t>(0351) 746074 / 085643260722</t>
  </si>
  <si>
    <t>BCA : 2551227636</t>
  </si>
  <si>
    <t>3251095108870002</t>
  </si>
  <si>
    <t>77.339.407.7-646.000</t>
  </si>
  <si>
    <t>0000106188254 OK</t>
  </si>
  <si>
    <t>anisa.agustin.ext@nsn.com, anicha.agustine@ymail.com, anisa.agustin@corphr-nokia.com</t>
  </si>
  <si>
    <t>OS1106024</t>
  </si>
  <si>
    <t>Lendi Lesmana</t>
  </si>
  <si>
    <t>eff 1 Mar '18 entitle Laptop; adjust 20% eff 16/5/2014 prev 3.000.000</t>
  </si>
  <si>
    <t>Kp. Selagedang Rt.01 Rw.10 Kel./Kec. Cibatu Kab. Garut</t>
  </si>
  <si>
    <t>087782224282 / 02624260656/ 0813-23092375</t>
  </si>
  <si>
    <t>Mandiri : 124-00-0547284-1</t>
  </si>
  <si>
    <t>97.344.184.3-443.000</t>
  </si>
  <si>
    <t>09025930422</t>
  </si>
  <si>
    <t>0001848290242 -KELUARGA</t>
  </si>
  <si>
    <t>lendi.lesmana.ext@nokia.com, lendi.lesmana.ext@nsn.com, lendi.lesmana@corphr-nokia.com</t>
  </si>
  <si>
    <t>OS1112007</t>
  </si>
  <si>
    <t>Mahidin</t>
  </si>
  <si>
    <t>adjust 20% eff 16/5/2014 prev 3.750.000</t>
  </si>
  <si>
    <t>Jl. RM Kahfi I Rt.001 Rw.006 No.18 Ciganjur, Jagakarsa, Jakarta Selatan</t>
  </si>
  <si>
    <t>(021) 96670798 / 087876494931</t>
  </si>
  <si>
    <t>Mandiri : 070-00-0511327-4</t>
  </si>
  <si>
    <t>09.542.284.6.017.000</t>
  </si>
  <si>
    <t>07008979176</t>
  </si>
  <si>
    <t>0001212636014 OK</t>
  </si>
  <si>
    <t>idin.mahidin.ext@nsn.com, mahidin@corphr-nokia.com</t>
  </si>
  <si>
    <t xml:space="preserve">MONTHLY REPORT </t>
  </si>
  <si>
    <t>LIST OF EMPLOYEE PLACED AT FRESENIUS INDONESIA</t>
  </si>
  <si>
    <t>SEX</t>
  </si>
  <si>
    <t>STATUS</t>
  </si>
  <si>
    <t>HOMEBASE</t>
  </si>
  <si>
    <t>BASIC SALARY</t>
  </si>
  <si>
    <t>Mealtransp_allow</t>
  </si>
  <si>
    <t>CALL ALLOW</t>
  </si>
  <si>
    <t>JAMSOSTEK</t>
  </si>
  <si>
    <t>BPJS Kesehatan</t>
  </si>
  <si>
    <t>EMAIL</t>
  </si>
  <si>
    <t>OS1603001</t>
  </si>
  <si>
    <t>Nanda</t>
  </si>
  <si>
    <t>Jakarta, 5 Juli 1992</t>
  </si>
  <si>
    <t>Receptionist</t>
  </si>
  <si>
    <t>entitle asuransi RI RJ eff 1 Mar'18 ; BPJS kesehatan</t>
  </si>
  <si>
    <t>adj eff 1 Mar'18 prev 3.750 rb ; adj eff Jan'17 prev 3.5 jt</t>
  </si>
  <si>
    <t>Jl. Nusa I Rt/Rw.007/003 Kramat Jati, Jakarta Timur</t>
  </si>
  <si>
    <t>081212180792</t>
  </si>
  <si>
    <t>3175044507920006</t>
  </si>
  <si>
    <t>46.887.844.2-005.000</t>
  </si>
  <si>
    <t>0001671955885 OK</t>
  </si>
  <si>
    <t>BCA: 5055053461</t>
  </si>
  <si>
    <t>receptionist.id@fmc-asia.com, nanda.mingga@yahoo.com</t>
  </si>
  <si>
    <t>LIST OF EMPLOYEE PLACED AT PT GSM Tower</t>
  </si>
  <si>
    <t>BASIC SALARY (NETT)</t>
  </si>
  <si>
    <t>CALL ALLOWANCE</t>
  </si>
  <si>
    <t>ASURANSI</t>
  </si>
  <si>
    <t>OS1703056</t>
  </si>
  <si>
    <t>I Putu Suardika</t>
  </si>
  <si>
    <t>Jakarta, 30 Januari 1981</t>
  </si>
  <si>
    <t>Project Controller =&gt; Project Manager</t>
  </si>
  <si>
    <t>BNI LIFE 400 employee only</t>
  </si>
  <si>
    <t>adj eff 1 Apr '18 prev BS 10jt; change posisi 1 Jun'17 BS prev 6 jt CA prev none</t>
  </si>
  <si>
    <t>Jl. Darussalam No.50C, Kel. Babura Kec. Medan Baru, Sumatera Utara</t>
  </si>
  <si>
    <t xml:space="preserve">&amp;6281213962688  </t>
  </si>
  <si>
    <t>3174053001810006</t>
  </si>
  <si>
    <t>48.286.165.5.013.000</t>
  </si>
  <si>
    <t xml:space="preserve">BCA : 8330104016   </t>
  </si>
  <si>
    <t xml:space="preserve">bli_futhu@yahoo.co.id       </t>
  </si>
  <si>
    <t>OS1703065</t>
  </si>
  <si>
    <t>Alit Subagio</t>
  </si>
  <si>
    <t>Jakarta, 3 Maret 1981</t>
  </si>
  <si>
    <t>CME Supervisor</t>
  </si>
  <si>
    <t>adj eff 1 Jun '18 prev BS 6jt</t>
  </si>
  <si>
    <t>Bendan, Ds. Bendan Kel. Banyudono Rt/Rw.015/003 Pengging, Boyolali, Jawa Tengah</t>
  </si>
  <si>
    <t>0813 – 8503-3846/ 0878-1410- 0581</t>
  </si>
  <si>
    <t xml:space="preserve">3174080303810004   </t>
  </si>
  <si>
    <t xml:space="preserve">254621873061000   </t>
  </si>
  <si>
    <t>0001624545652 dr. Fx Kristandiyoko</t>
  </si>
  <si>
    <t xml:space="preserve">BRI : 664901017759539   </t>
  </si>
  <si>
    <t>algio_81@yahoo.co.id</t>
  </si>
  <si>
    <t>OS1703066</t>
  </si>
  <si>
    <t>Charma Felisius Bogar</t>
  </si>
  <si>
    <t>Bolaangmongondow, 16 Mei 1972</t>
  </si>
  <si>
    <t>adj 1 May '18 prev 6jt</t>
  </si>
  <si>
    <t>Perum. Puri Sentosa Blok H, Jl. Curug Agung Kel. Tanah Baru Kec. Beji, Depok</t>
  </si>
  <si>
    <t>&amp;6281381102077</t>
  </si>
  <si>
    <t xml:space="preserve">3174081605720004   </t>
  </si>
  <si>
    <t>19.318.327.4.617.000</t>
  </si>
  <si>
    <t>15027580255</t>
  </si>
  <si>
    <t>BCA : 0710061653</t>
  </si>
  <si>
    <t>felixbogar@hotmail.com, felixbogar@gmail.com</t>
  </si>
  <si>
    <t>plan terminated info menyusul</t>
  </si>
  <si>
    <t>OS1706015</t>
  </si>
  <si>
    <t>Abdul Muiz</t>
  </si>
  <si>
    <t>Brebes, 16 April 1974</t>
  </si>
  <si>
    <t>Project Documentation</t>
  </si>
  <si>
    <t>Perumahan Villa Pamulang Blok CG2 No. 24, Kel. Pondok Benda RT 04 / RW 17, Kec. Pamulang, Tangerang Selatan, Banten</t>
  </si>
  <si>
    <t>08777 2469849</t>
  </si>
  <si>
    <t>3174061604740008</t>
  </si>
  <si>
    <t>28.184.408.4.016.000</t>
  </si>
  <si>
    <t>Mandiri Syariah : 7015303985</t>
  </si>
  <si>
    <t>muiz.adj@gmail.com, abd.muiz@gmail.com</t>
  </si>
  <si>
    <t>OS1707025</t>
  </si>
  <si>
    <t>Sendy Elviera Lilipaly</t>
  </si>
  <si>
    <t>Jakarta, 7 Oktober 1971</t>
  </si>
  <si>
    <t>HRD Head</t>
  </si>
  <si>
    <t>adj 1 Feb '18 prev 20 jt</t>
  </si>
  <si>
    <t>Perum Graha Pajajaran Blok B/12, Kel. Katulampa, Bogor Timur 16144</t>
  </si>
  <si>
    <t>81288747059</t>
  </si>
  <si>
    <t>3271024710710011</t>
  </si>
  <si>
    <t>73.671.771.1-404.000</t>
  </si>
  <si>
    <t>BCA : 0953548396</t>
  </si>
  <si>
    <t>elvierasendy@gmail.com</t>
  </si>
  <si>
    <t>OS1707026</t>
  </si>
  <si>
    <t>I Gusti Putu Mertayasa</t>
  </si>
  <si>
    <t>Mengwi, 23 Juni 1970</t>
  </si>
  <si>
    <t>Site Controller</t>
  </si>
  <si>
    <t>adj 1 Jun '18 prev 6jt</t>
  </si>
  <si>
    <t>Pasekan Kidul RT 02 / RW 01, Kel. Balecatur Kec. Gamping, Sleman</t>
  </si>
  <si>
    <t>081310409899</t>
  </si>
  <si>
    <t>5102062306700002</t>
  </si>
  <si>
    <t>89.128.176.3.908.000</t>
  </si>
  <si>
    <t>BCA : 1420291376</t>
  </si>
  <si>
    <t>ngurah_gx@yahoo.com</t>
  </si>
  <si>
    <t>OS1707027</t>
  </si>
  <si>
    <t>Tidar Munandar Priyaji</t>
  </si>
  <si>
    <t>Jakarta, 8 Januari 1982</t>
  </si>
  <si>
    <t>Perum Graha Indah Blok D 11 No. 27 RT 06 / RW 10, Kel. Jakamulya Kec. Bekasi Selatan, Kota Bekasi</t>
  </si>
  <si>
    <t>081 218 506 534</t>
  </si>
  <si>
    <t>3275040801820020</t>
  </si>
  <si>
    <t>57 067.448.1-432.000</t>
  </si>
  <si>
    <t>16059981338</t>
  </si>
  <si>
    <t>Mandiri : 900-000-9795-064 a/n Tidar Munandar Priyaji</t>
  </si>
  <si>
    <t>tidarmp.tm@gmail.com</t>
  </si>
  <si>
    <t>OS1707036</t>
  </si>
  <si>
    <t>Charles Birohy</t>
  </si>
  <si>
    <t>Makassar, 17 Januari 1980</t>
  </si>
  <si>
    <t>Tateli Dua Jaga III, Kel. Tateli Kec. Pineleng, Minahasa</t>
  </si>
  <si>
    <t>085823508685 / 085340066198</t>
  </si>
  <si>
    <t>7102131701800003</t>
  </si>
  <si>
    <t>733038731823000</t>
  </si>
  <si>
    <t>BCA : 0262070652</t>
  </si>
  <si>
    <t>Bireycharles@gmail.com</t>
  </si>
  <si>
    <t>not extend 04/06/2018</t>
  </si>
  <si>
    <t>OS1708045</t>
  </si>
  <si>
    <t>Ifon Shyrgia</t>
  </si>
  <si>
    <t>Ujung Pandang, 21 Januari 1974</t>
  </si>
  <si>
    <t>Project Administration</t>
  </si>
  <si>
    <t>adj eff 1 Jun '18 prev BS 5jt</t>
  </si>
  <si>
    <t>Jl. Jaha No. 6 RT 01 / RW 01, Cilandak Timur, Jakarta Selatan 12550</t>
  </si>
  <si>
    <t>3174046101740009</t>
  </si>
  <si>
    <t>788120574017000</t>
  </si>
  <si>
    <t>BCA : 733 077 6581
Ifon Shyrgia</t>
  </si>
  <si>
    <t>ifonshyrgia@gmail.com</t>
  </si>
  <si>
    <t>OS1708046</t>
  </si>
  <si>
    <t>Emma Ruth L Siahaan</t>
  </si>
  <si>
    <t>Jakarta, 1 Oktober 1974</t>
  </si>
  <si>
    <t>Head of Logistics &amp; Procurement</t>
  </si>
  <si>
    <t>adj eff 1 Jun '18 prev BS 20jt</t>
  </si>
  <si>
    <t>Jl. Cikajang No. 5 RT 01 / RW 05, Kel. Petogogan Kec. Kebayoran Baru, Jakarta Selatan</t>
  </si>
  <si>
    <t>0217666187 / 08999999017</t>
  </si>
  <si>
    <t>3174074110740001</t>
  </si>
  <si>
    <t>49.562.953.7-064.000</t>
  </si>
  <si>
    <t>BCA : '0060230269</t>
  </si>
  <si>
    <t>emma.siahaan@gmail.com</t>
  </si>
  <si>
    <t>OS1709005</t>
  </si>
  <si>
    <t>Ahmad Aziz</t>
  </si>
  <si>
    <t>Bandar Lampung, 11 November 1973</t>
  </si>
  <si>
    <t>Accounting Officer</t>
  </si>
  <si>
    <t>adj eff 1 Jun '18 prev BS 15jt</t>
  </si>
  <si>
    <t>Jl. Haji Rean No. 20 RT 01 / RW 02, Kel. Benda Baru Kec. Pamulang - Tangerang Selatan 15416</t>
  </si>
  <si>
    <t>08128551909 / 085710775245</t>
  </si>
  <si>
    <t>1871061111730006</t>
  </si>
  <si>
    <t>494416423016000</t>
  </si>
  <si>
    <t>Bank Mandiri: 164-00-0220109-5; a/n: AHMAD AZIZ</t>
  </si>
  <si>
    <t>alaziz_sbs@yahoo.com</t>
  </si>
  <si>
    <t>OS1802049</t>
  </si>
  <si>
    <t>Bandung, 13 Nopember 1985</t>
  </si>
  <si>
    <t>SITAC Coordinator</t>
  </si>
  <si>
    <t>Jl. Cilengkrang II, RT 03 RW 02, Kel. Palasari, Kec. Cibiru, Kota Bandung</t>
  </si>
  <si>
    <t>081320314995</t>
  </si>
  <si>
    <t>3273154409880001</t>
  </si>
  <si>
    <t>35.860.296.9-423.000</t>
  </si>
  <si>
    <t>0001723945645</t>
  </si>
  <si>
    <t>BCA  2830732147</t>
  </si>
  <si>
    <t>daim_nnuralip@yahoo.co.id</t>
  </si>
  <si>
    <t>OS1803004</t>
  </si>
  <si>
    <t>Muhammad Thoriq Ikhwan ST</t>
  </si>
  <si>
    <t>Surabaya, 27 November 1987</t>
  </si>
  <si>
    <t>Structural Engineer</t>
  </si>
  <si>
    <t>Jl. Anggur 261 Bangil, Pasuruan, Jawa Timur</t>
  </si>
  <si>
    <t>08563681161</t>
  </si>
  <si>
    <t>3506152711870003</t>
  </si>
  <si>
    <t>449880392655000</t>
  </si>
  <si>
    <t>12039298489</t>
  </si>
  <si>
    <t>Mandiri : 9000012435724 a.n Muhammad Thoriq ikhwan</t>
  </si>
  <si>
    <t>THORIQ.IKHWAN@GMAIL.COM</t>
  </si>
  <si>
    <t>OS1803036</t>
  </si>
  <si>
    <t>Inda Belgrade Latukolan</t>
  </si>
  <si>
    <t>Ambon, 19 Agustus 1989</t>
  </si>
  <si>
    <t>Procurement Assistant</t>
  </si>
  <si>
    <t>Harapan Mulya, Cluster Dahlia, Tarumajaya, Bekasi Utara</t>
  </si>
  <si>
    <t xml:space="preserve">081315604904  </t>
  </si>
  <si>
    <t xml:space="preserve">3172035908890001   </t>
  </si>
  <si>
    <t xml:space="preserve">361481195045000   </t>
  </si>
  <si>
    <t>0001653576355</t>
  </si>
  <si>
    <t xml:space="preserve">BCA 6300843741 </t>
  </si>
  <si>
    <t>indabelgrade@gmail.com</t>
  </si>
  <si>
    <t>Cancel Resign</t>
  </si>
  <si>
    <t>OS1805014</t>
  </si>
  <si>
    <t>Evelinda Rotua BR S</t>
  </si>
  <si>
    <t>Medan, 12 November 1970</t>
  </si>
  <si>
    <t>Finance Controller</t>
  </si>
  <si>
    <t>Jl. Kesatrian VIII/L-29, Matraman, Jakarta Timur 13150</t>
  </si>
  <si>
    <t>3175015211700002</t>
  </si>
  <si>
    <t>25.161.659.5-001.000</t>
  </si>
  <si>
    <t>0001638391173</t>
  </si>
  <si>
    <t>Mandiri 0700098928455</t>
  </si>
  <si>
    <t>evelindasigalingging@yahoo.com</t>
  </si>
  <si>
    <t xml:space="preserve"> OS1805015</t>
  </si>
  <si>
    <t>Firmansyah</t>
  </si>
  <si>
    <t>Indramayu, 18 Februari 1982</t>
  </si>
  <si>
    <t>Warehouse Coordinator</t>
  </si>
  <si>
    <t>Jl. Imam Bonjol No. 26 RT 01 / RW 02, Cibeber Barat, Cilegon 42423</t>
  </si>
  <si>
    <t>081906467400</t>
  </si>
  <si>
    <t>3672021802820003</t>
  </si>
  <si>
    <t>54.873.640.4-417.000</t>
  </si>
  <si>
    <t>0001590509575</t>
  </si>
  <si>
    <t>BNI 0714673919</t>
  </si>
  <si>
    <t>loginto_firman@yahoo.co.id</t>
  </si>
  <si>
    <t>Nama</t>
  </si>
  <si>
    <t>TTL</t>
  </si>
  <si>
    <t>Alamat</t>
  </si>
  <si>
    <t>Posisi</t>
  </si>
  <si>
    <t>Tgl_bergabung</t>
  </si>
  <si>
    <t>Tgl_Akhir</t>
  </si>
  <si>
    <t>Gaji</t>
  </si>
  <si>
    <t>Gaji Lama</t>
  </si>
  <si>
    <t>Call_All</t>
  </si>
  <si>
    <t>lokasi</t>
  </si>
  <si>
    <t>4486</t>
  </si>
  <si>
    <t>Nasoka</t>
  </si>
  <si>
    <t>Cilacap, 1 Januari 1978</t>
  </si>
  <si>
    <t>Jl. Sunter Muara No. 49 RT 20 / RW 05, Kel. Sunter Agung Kec. Tanjung Priok, Jakarta Utara 14350</t>
  </si>
  <si>
    <t>25 Juni 2018</t>
  </si>
  <si>
    <t>24 Desember 2018</t>
  </si>
  <si>
    <t>Rp. 15.000.000,- (lima belas juta rupiah)</t>
  </si>
  <si>
    <t>Rp. 1.000.000,- (satu juta rupiah)</t>
  </si>
  <si>
    <t>Deden Budiman SW</t>
  </si>
  <si>
    <t>Bandung, 17 September 1979</t>
  </si>
  <si>
    <t>2 April 2017</t>
  </si>
  <si>
    <t>Jl. Perkebunan Komp Pesona Ciwastra Permai Blok D3 No.22 Rt/Rw.009/017 Ds. Margasari Kec. Buahbatu, Bandung 40286</t>
  </si>
  <si>
    <t>0813 2194 8181 / 0878 2133 1919</t>
  </si>
  <si>
    <t xml:space="preserve">3204381709790003   </t>
  </si>
  <si>
    <t xml:space="preserve">67.928.707.8-445.000   </t>
  </si>
  <si>
    <t>16059981098</t>
  </si>
  <si>
    <t xml:space="preserve">Mandiri : 130-00-0430348-6   </t>
  </si>
  <si>
    <t>budiman.cme@gmail.com</t>
  </si>
  <si>
    <t>cancel join, blacklist</t>
  </si>
  <si>
    <t>Muhamad Darman</t>
  </si>
  <si>
    <t>26 Januari 1976</t>
  </si>
  <si>
    <t>25 Maret 2017</t>
  </si>
  <si>
    <t>Jl. Jati Kramat II No.9 Rt/Rw.004/011 Kel. Jati Kramat Kec. Jati Asih, Bekasi 17421</t>
  </si>
  <si>
    <t>(021) 848 5189 / 081286966663</t>
  </si>
  <si>
    <t xml:space="preserve">3275092601760005   </t>
  </si>
  <si>
    <t>48.615.774.6.407.000</t>
  </si>
  <si>
    <t xml:space="preserve">12011915878   </t>
  </si>
  <si>
    <t>Mandiri : 1460004229048</t>
  </si>
  <si>
    <t>muhamad.darman2015@gmail.com</t>
  </si>
  <si>
    <t>resign 31/5/2017</t>
  </si>
  <si>
    <t>OS1704019</t>
  </si>
  <si>
    <t>Donny Saputra</t>
  </si>
  <si>
    <t>Padang, 12 Pebruari 1979</t>
  </si>
  <si>
    <t>Project Manager</t>
  </si>
  <si>
    <t>Villa Inti Persada B-6 / 21 RT. 001 / RW. 028 Kel. Pamulang Timur, Kec. Pamulang, Tangerang Selatan</t>
  </si>
  <si>
    <t>3674061202790001</t>
  </si>
  <si>
    <t>590945077009000</t>
  </si>
  <si>
    <t>12032736386</t>
  </si>
  <si>
    <t>0001771092729 puskesmas pamulang</t>
  </si>
  <si>
    <t>CIMB Niaga : 700247810700</t>
  </si>
  <si>
    <t>donnysaputra@gmail.com</t>
  </si>
  <si>
    <t>not extend 30/06/17</t>
  </si>
  <si>
    <t>085340066198</t>
  </si>
  <si>
    <t>Cuma 1 bln</t>
  </si>
  <si>
    <t>OS1704020</t>
  </si>
  <si>
    <t>RESIGN 30/11/2017 E_14/12/2017</t>
  </si>
  <si>
    <t>OS1703068</t>
  </si>
  <si>
    <t>Gokma Panjaitan</t>
  </si>
  <si>
    <t>P. Siantar, 27 Juni 1967</t>
  </si>
  <si>
    <t>Sindas 02/09 Pancuran Mas Kec. Secang, Magelang, Jawa Tengah</t>
  </si>
  <si>
    <t>081392182711</t>
  </si>
  <si>
    <t>3174012706670001</t>
  </si>
  <si>
    <t>69.583.550.9.015.000</t>
  </si>
  <si>
    <t>Mandiri : 1010005372691</t>
  </si>
  <si>
    <t>gokmapanjaitan67@gmail.com</t>
  </si>
  <si>
    <t>resign 28/2/2018</t>
  </si>
  <si>
    <t>OS1704024</t>
  </si>
  <si>
    <t>Dimas Andelane Riau</t>
  </si>
  <si>
    <t>Batam, 21 September 1987</t>
  </si>
  <si>
    <t>Procurement</t>
  </si>
  <si>
    <t>Jl. Kemuning I No.8 Blok C Rt/Rw.003/017 Cibabat, Cimahi Utara, Kota Cimahi, Jawa Barat</t>
  </si>
  <si>
    <t xml:space="preserve">0811-238971  </t>
  </si>
  <si>
    <t xml:space="preserve">3277032109870018   </t>
  </si>
  <si>
    <t xml:space="preserve">25.845.749.8-421.000   </t>
  </si>
  <si>
    <t xml:space="preserve">0001654841103 Luhur Medica Cimahi   </t>
  </si>
  <si>
    <t xml:space="preserve">CIMB Niaga : 7008 7251 6000   </t>
  </si>
  <si>
    <t xml:space="preserve">dimas.andelane@gmail.com       </t>
  </si>
  <si>
    <t>OS1707028</t>
  </si>
  <si>
    <t>Teguh Gunawan Sechoni</t>
  </si>
  <si>
    <t>9 Juli 1972</t>
  </si>
  <si>
    <t>Perum Taman Indo Kaliwadas Blok D No. 8 RT 13 / 02, Kaliwadas Adiwerna - Tegal Jawa Tengah</t>
  </si>
  <si>
    <t>02833448211 / 085725067281 / 087821025050</t>
  </si>
  <si>
    <t>332811090772009</t>
  </si>
  <si>
    <t>24110201050100</t>
  </si>
  <si>
    <t>0001454430699</t>
  </si>
  <si>
    <t>Mandiri : 1390010940827</t>
  </si>
  <si>
    <t>tgunawan97@gmail.com, teguh_gun72@yahoo.com</t>
  </si>
  <si>
    <t>LIST OF EMPLOYEE PLACED AT ESERVGLOBAL INDONESIA</t>
  </si>
  <si>
    <t>OS1602079</t>
  </si>
  <si>
    <t>Muhammad Irfan</t>
  </si>
  <si>
    <t>Jakarta, 20 Januari 1987</t>
  </si>
  <si>
    <t>Cleaning Service</t>
  </si>
  <si>
    <t>BPJS KES</t>
  </si>
  <si>
    <t>adj Jan'18 prev ump Jan'17 3.355.750 ; UMP 2017 prev. 3,1jt</t>
  </si>
  <si>
    <t>Jl. Rasamala III Rt/Rw.004/013 Menteng Dalam, Tebet, Jakarta Selatan</t>
  </si>
  <si>
    <t>083873866227</t>
  </si>
  <si>
    <t>0001298436974 OK</t>
  </si>
  <si>
    <t>MANDIRI: 9000020995156</t>
  </si>
  <si>
    <t>mirfan200187@gmail.com</t>
  </si>
  <si>
    <t>LIST OF EMPLOYEE PLACED AT PT KALTIM METHANOL INUSTRI</t>
  </si>
  <si>
    <t>Meal Allw</t>
  </si>
  <si>
    <t>OS1702116</t>
  </si>
  <si>
    <t>Shanty Mandasari</t>
  </si>
  <si>
    <t>Jakarta, 13 Maret 1985</t>
  </si>
  <si>
    <t xml:space="preserve">Office Girl </t>
  </si>
  <si>
    <t>adj BS eff 1 Jan'18 prev 2.520.000 OT prev 291.329</t>
  </si>
  <si>
    <t>Jl. Timor Timur Dalam No 4B RT 11 / RW 10, Kel. Gedong Kec. Pasar Rebo Jakarta Timur</t>
  </si>
  <si>
    <t>081212340950</t>
  </si>
  <si>
    <t>3171035303850001</t>
  </si>
  <si>
    <t>98.462.739.8-005.000</t>
  </si>
  <si>
    <t>09002953637</t>
  </si>
  <si>
    <t>Mandiri : 122.000.517.8903</t>
  </si>
  <si>
    <t>sh4nty,mandasari@gmail.com</t>
  </si>
  <si>
    <t>LIST OF EMPLOYEE PLACED AT LIPPOMALL</t>
  </si>
  <si>
    <t>USER</t>
  </si>
  <si>
    <t>Extension</t>
  </si>
  <si>
    <t>Tunjangan Insentif</t>
  </si>
  <si>
    <t>OS1703007</t>
  </si>
  <si>
    <t>Nur Widayatini</t>
  </si>
  <si>
    <t>Wonogiri, 17 Mei 1985</t>
  </si>
  <si>
    <t>Customer Service</t>
  </si>
  <si>
    <t>JAMSOSTEK, BPJS KES</t>
  </si>
  <si>
    <t>eff 1 Mar '18 prev BS 3.854.978 insentif 350rb</t>
  </si>
  <si>
    <t>Jl. Gunung Indah VII No.6 B Rt/Rw.003/003 Cireundeu, Ciputat Timur, Kota Tangerang Selatan</t>
  </si>
  <si>
    <t>081213131399</t>
  </si>
  <si>
    <t>3674055705850006</t>
  </si>
  <si>
    <t>81.360.960.9.453.000</t>
  </si>
  <si>
    <t>MANDIRI : 1270005893209</t>
  </si>
  <si>
    <t>WHIDYANUR@GMAIL.COM</t>
  </si>
  <si>
    <t>unpaid full agustus</t>
  </si>
  <si>
    <t>OS1703010</t>
  </si>
  <si>
    <t>Max Everd Zen</t>
  </si>
  <si>
    <t>Jakarta, 22 April 1990</t>
  </si>
  <si>
    <t>eff 1 Mar '18 prev BS 3.832.620 insentif 350rb</t>
  </si>
  <si>
    <t>Komp. AL Jl. Teluk Banten No.73B Rt/Rw.005/008 Pasar Minggu, Jakarta Selatan</t>
  </si>
  <si>
    <t>08979972367</t>
  </si>
  <si>
    <t>3174042204900003</t>
  </si>
  <si>
    <t>80.247.856.0.017.000</t>
  </si>
  <si>
    <t>NOBU BANK : 17811010005</t>
  </si>
  <si>
    <t>MAXIEVERD22@GMAIL.COM</t>
  </si>
  <si>
    <t>OS1703017</t>
  </si>
  <si>
    <t>Muhamad Nur</t>
  </si>
  <si>
    <t>Tangerang, 22 November 1988</t>
  </si>
  <si>
    <t>Doorman</t>
  </si>
  <si>
    <t>eff 1 Mar '18 prev BS 3.355.750 insentif 350rb</t>
  </si>
  <si>
    <t>Jl. Angsana I Rt/Rw.001/008 Pamulang Timur, Pamulang, Kota Tangerang Selatan</t>
  </si>
  <si>
    <t>081287144658</t>
  </si>
  <si>
    <t>3674061211880007</t>
  </si>
  <si>
    <t>69.857.198.1.411.000</t>
  </si>
  <si>
    <t>NOBU BANK : 17811008418</t>
  </si>
  <si>
    <t>MUHAMADNUR.6179@YAHOO.CO.ID</t>
  </si>
  <si>
    <t>OS1703019</t>
  </si>
  <si>
    <t>Virgy Oktora Putra</t>
  </si>
  <si>
    <t>Depok, 7 Oktober 1993</t>
  </si>
  <si>
    <t>eff 1 Mar '18 prev BS 3.410.000 insentif 300rb</t>
  </si>
  <si>
    <t>Jl. Kemulyaan Rt/Rw.005/001 Mekar Jaya, Sukma Jaya, Kota Depok</t>
  </si>
  <si>
    <t>089669890631</t>
  </si>
  <si>
    <t>3276050710930017</t>
  </si>
  <si>
    <t>44.728.472.0.412.000</t>
  </si>
  <si>
    <t>NOBU BANK : 17811335648</t>
  </si>
  <si>
    <t>VIRGIOCTORA@GMAIL.COM</t>
  </si>
  <si>
    <t>OS1703022</t>
  </si>
  <si>
    <t>Ahyar Suharyadi</t>
  </si>
  <si>
    <t>Garut, 6 Juni 1988</t>
  </si>
  <si>
    <t>Cikarang Rt/Rw.002/009 Cikelet, Garut, Jawa Barat</t>
  </si>
  <si>
    <t>08588 2406410 / 081293535344</t>
  </si>
  <si>
    <t>3205300606880004</t>
  </si>
  <si>
    <t>16013878091</t>
  </si>
  <si>
    <t>NOBU BANK : 17811009805</t>
  </si>
  <si>
    <t>SUHARYADIAHYAR@GMAIL.COM</t>
  </si>
  <si>
    <t>OS1703024</t>
  </si>
  <si>
    <t>Rendy Yulyartha</t>
  </si>
  <si>
    <t>Jakarta, 13 Juli 1984</t>
  </si>
  <si>
    <t>Marcom Vallet</t>
  </si>
  <si>
    <t>eff 1 Mar '18 prev BS 3.355.750 insentif 300rb</t>
  </si>
  <si>
    <t>Kemanggisan Rt/Rw. 004/015 Palmerah, Jakarta Barat</t>
  </si>
  <si>
    <t>3173071307840003</t>
  </si>
  <si>
    <t>gak bisa kebaca</t>
  </si>
  <si>
    <t>Nobu Bank : 17811006393 a.n Rendy Yulyartha</t>
  </si>
  <si>
    <t>OS1703025</t>
  </si>
  <si>
    <t>Heri</t>
  </si>
  <si>
    <t>Cianjur, 7 Maret 1992</t>
  </si>
  <si>
    <t>Gang Asem Rt/Rw.001/005 Mekarsari, Cianjur, Jawa Barat 43251</t>
  </si>
  <si>
    <t>3203010703920017</t>
  </si>
  <si>
    <t>16013877861</t>
  </si>
  <si>
    <t>NOBU BANK : 17811006326</t>
  </si>
  <si>
    <t>OS1703026</t>
  </si>
  <si>
    <t>Devand De Permindo</t>
  </si>
  <si>
    <t>Padang, 29 Januari 1991</t>
  </si>
  <si>
    <t>Jl. Kedondong Rt/Rw. 002/006 Sudimara Jaya, Ciledug, Kota Tangerang 15151</t>
  </si>
  <si>
    <t>3671132901910005</t>
  </si>
  <si>
    <t>0001339276948 CILEDUG</t>
  </si>
  <si>
    <t>NOBU BANK : 17811291918</t>
  </si>
  <si>
    <t>OS1703027</t>
  </si>
  <si>
    <t>Imam Syamsudin</t>
  </si>
  <si>
    <t>Surabaya, 1 Mei 1969</t>
  </si>
  <si>
    <t>eff 1 Mar '18 prev BS 3.410rb insentif 300rb</t>
  </si>
  <si>
    <t>Jl. Swadarma I Dalam No.17 Rt/Rw.005/009 Petukangan Utara, Pesanggrahan, Jakarta Selatan</t>
  </si>
  <si>
    <t>3174100105690006</t>
  </si>
  <si>
    <t>59.503.281.4.013.000</t>
  </si>
  <si>
    <t>16013877986</t>
  </si>
  <si>
    <t>0001477452418 KLINIK SANGRILA</t>
  </si>
  <si>
    <t>NOBU BANK : 17811006172</t>
  </si>
  <si>
    <t>OS1703074</t>
  </si>
  <si>
    <t>Viviane Oktarina Anita Umboh</t>
  </si>
  <si>
    <t>Tomohon, 29 Oktober 1991</t>
  </si>
  <si>
    <t>Jl. Slanag Kel. Kolongan Satu, Lingkungan 3 Kec. Tomohon Tengah, Kota Tomohon, Sulawesi Utara</t>
  </si>
  <si>
    <t>0816239994</t>
  </si>
  <si>
    <t>7173026910910002</t>
  </si>
  <si>
    <t>75.340.725.6.821.000</t>
  </si>
  <si>
    <t>14004278215</t>
  </si>
  <si>
    <t>Mandiri : 1500010331740</t>
  </si>
  <si>
    <t>viviane_umboh@yahoo.com</t>
  </si>
  <si>
    <t>OS1709006</t>
  </si>
  <si>
    <t>Hamonangan Manullang</t>
  </si>
  <si>
    <t>Medan, 17 November 1992</t>
  </si>
  <si>
    <t>Jl. Aman II No. 70 Medan, Kel. Teladan Barat Kec. Medan Kota</t>
  </si>
  <si>
    <t>0813 98099345</t>
  </si>
  <si>
    <t>1271011711920003</t>
  </si>
  <si>
    <t>BNI : 0258042243 a.n Ernalita Manullang</t>
  </si>
  <si>
    <t>trisanm17@gmail.com</t>
  </si>
  <si>
    <t>OS1709025</t>
  </si>
  <si>
    <t>Erio Anggara</t>
  </si>
  <si>
    <t>Jakarta, 17 Agustus 1988</t>
  </si>
  <si>
    <t>Jl. Kemang IB dekat dengan MCD</t>
  </si>
  <si>
    <t>08121977099 / 087777341699</t>
  </si>
  <si>
    <t>3674051708880002</t>
  </si>
  <si>
    <t>822695235453000</t>
  </si>
  <si>
    <t>Nobu Bank : 17811881189</t>
  </si>
  <si>
    <t>raci6benjamin@gmail.com</t>
  </si>
  <si>
    <t>OS1709026</t>
  </si>
  <si>
    <t>Shinta Adhelia Savira</t>
  </si>
  <si>
    <t>Jakarta, 30 Mei 1999</t>
  </si>
  <si>
    <t>Jl. Cilandak KKO Gg. Mandala RT 08 / RW 05 No. 36</t>
  </si>
  <si>
    <t>0895348307542</t>
  </si>
  <si>
    <t>3174047005990006</t>
  </si>
  <si>
    <t>828611673017000</t>
  </si>
  <si>
    <t>0002100026463</t>
  </si>
  <si>
    <t>Nobu Bank : 11911300598</t>
  </si>
  <si>
    <t>shintacantik220@gmail.com</t>
  </si>
  <si>
    <t>OS1802008</t>
  </si>
  <si>
    <t>Santi Oftafia</t>
  </si>
  <si>
    <t>Tangerang, 30 Oktober 1995</t>
  </si>
  <si>
    <t>Jl. Bima I No. 35 RT 11 / RW 01, Bintaro, Pesanggrahan, Jakarta</t>
  </si>
  <si>
    <t>3174107010950001</t>
  </si>
  <si>
    <t>14005577896</t>
  </si>
  <si>
    <t>0001310960305</t>
  </si>
  <si>
    <t>BCA  5315077106 A.N SANTI OFTAFIA</t>
  </si>
  <si>
    <t>shantyoktavia29@gmail.com</t>
  </si>
  <si>
    <t>OS1803062</t>
  </si>
  <si>
    <t>Citra Dona Sitanggang</t>
  </si>
  <si>
    <t>Jambi, 24 April 1988</t>
  </si>
  <si>
    <t>1272066404880002</t>
  </si>
  <si>
    <t>menyusul</t>
  </si>
  <si>
    <t>BCA 5660341937</t>
  </si>
  <si>
    <t>citradona@rocketmail.com</t>
  </si>
  <si>
    <t>OS1803063</t>
  </si>
  <si>
    <t>Rini Marestiani</t>
  </si>
  <si>
    <t>Jakarta, 24 Maret 1997</t>
  </si>
  <si>
    <t>3174096403970008</t>
  </si>
  <si>
    <t>84.340.179.5-017.000</t>
  </si>
  <si>
    <t>NOBU Bank 178-11-24397-2</t>
  </si>
  <si>
    <t>OS1803064</t>
  </si>
  <si>
    <t>Irwansyah Lubis</t>
  </si>
  <si>
    <t>Jakarta, 2 Agustus 1994</t>
  </si>
  <si>
    <t>3175020208940007</t>
  </si>
  <si>
    <t>akan buat</t>
  </si>
  <si>
    <t>BRI 3313-01-001998-50-3</t>
  </si>
  <si>
    <t>OS1803065</t>
  </si>
  <si>
    <t>Rivaldi Ardiansyah P. N.</t>
  </si>
  <si>
    <t>Depok, 31 Mei 1993</t>
  </si>
  <si>
    <t>Driver Shuttle</t>
  </si>
  <si>
    <t>entitle OT</t>
  </si>
  <si>
    <t>entitle OT eff 1 Mar '18</t>
  </si>
  <si>
    <t>3276053105930001</t>
  </si>
  <si>
    <t>NOBU Bank 17811315931</t>
  </si>
  <si>
    <t>OS1803066</t>
  </si>
  <si>
    <t>Raynaldi Hadiansyah</t>
  </si>
  <si>
    <t>Bogor, 28 Juni 1994</t>
  </si>
  <si>
    <t>3276112806940001</t>
  </si>
  <si>
    <t>84.356.172.1-448.000</t>
  </si>
  <si>
    <t>NOBU Bank 17811286949</t>
  </si>
  <si>
    <t>OS1803067</t>
  </si>
  <si>
    <t>Erlangga</t>
  </si>
  <si>
    <t>K. Simpang, 19 Mei 1986</t>
  </si>
  <si>
    <t>3175041905860003</t>
  </si>
  <si>
    <t>75.102.634.5-005.000</t>
  </si>
  <si>
    <t>Mandiri 1240006081708</t>
  </si>
  <si>
    <t>OS1803068</t>
  </si>
  <si>
    <t>Bachrul Ulum</t>
  </si>
  <si>
    <t>Bogor, 15 Mei 1997</t>
  </si>
  <si>
    <t>3276041505970002</t>
  </si>
  <si>
    <t>73.945.813.1-412.000</t>
  </si>
  <si>
    <t>0001627748739</t>
  </si>
  <si>
    <t>NOBU BANK 17811150591</t>
  </si>
  <si>
    <t>ulumb1544@gmail.com</t>
  </si>
  <si>
    <t xml:space="preserve"> OS1805003</t>
  </si>
  <si>
    <t>Jakarta, 13 Januari 1995</t>
  </si>
  <si>
    <t>Jl. Pupan No. 22 RT 06 / RW 08, Pondok Pinang Kec. Kebayoran Lama, Jakarta Selatan</t>
  </si>
  <si>
    <t>085959614959</t>
  </si>
  <si>
    <t>3174051301950001</t>
  </si>
  <si>
    <t>761626654013000</t>
  </si>
  <si>
    <t>Mandiri 9000037224012</t>
  </si>
  <si>
    <t>poepan21@gmail.com</t>
  </si>
  <si>
    <t xml:space="preserve"> OS1805019</t>
  </si>
  <si>
    <t>Shara Dita Toebagus</t>
  </si>
  <si>
    <t>Jakarta, 4 Agutus 1993</t>
  </si>
  <si>
    <t>Jl. Pasar Inpres Kelapa Gading Timur RT 06 / RW 06, Kelapa Gading Jakarta</t>
  </si>
  <si>
    <t>081317190301</t>
  </si>
  <si>
    <t>3175034408930004</t>
  </si>
  <si>
    <t>720693936002000</t>
  </si>
  <si>
    <t>Mandiri 1250013328786</t>
  </si>
  <si>
    <t>Sharadita92@gmail.com</t>
  </si>
  <si>
    <t>Abd Rajib Baharudin</t>
  </si>
  <si>
    <t>Depok, 25 Agustus 1989</t>
  </si>
  <si>
    <t>Jl. Program 5 RT 06 / RW 04, Kel. Pancoran Mas, Kota Depok</t>
  </si>
  <si>
    <t>rajibgandi1989@gmail.com</t>
  </si>
  <si>
    <t>Irvana Hardy</t>
  </si>
  <si>
    <t>Diana Fatimah Azzahra</t>
  </si>
  <si>
    <t>Muhamad Ariyanto</t>
  </si>
  <si>
    <t>Dimas Agung Nugroho</t>
  </si>
  <si>
    <t>Jakarta, 12 Desember 1988</t>
  </si>
  <si>
    <t>Cipinang Bali II No.28 Rt/Rw. 007/013 Cipinang Muara, Jatinegara, Jakarta Timur</t>
  </si>
  <si>
    <t>081316064355</t>
  </si>
  <si>
    <t>3175031212880004</t>
  </si>
  <si>
    <t>CIMB NIAGA : 703548501600</t>
  </si>
  <si>
    <t>DIMASSAMID1882@GMAIL.COM</t>
  </si>
  <si>
    <t>terminated 7/3/2017 PHK</t>
  </si>
  <si>
    <t>OS1703020</t>
  </si>
  <si>
    <t>Bambang Arif Firmanto</t>
  </si>
  <si>
    <t>Jakarta, 27 Januari 1994</t>
  </si>
  <si>
    <t>Teluk Gong Rt/Rw.004/009 Penjagalan, Penjaringan, Jakarta Utara</t>
  </si>
  <si>
    <t>081514436255</t>
  </si>
  <si>
    <t>3172012701940010</t>
  </si>
  <si>
    <t>16031102763</t>
  </si>
  <si>
    <t>0001306745728</t>
  </si>
  <si>
    <t>NOBU BANK : 17811144451</t>
  </si>
  <si>
    <t>BAMBANGARIFFIRMANTO176@GMAIL.COM</t>
  </si>
  <si>
    <t>kabur 20/6/2017</t>
  </si>
  <si>
    <t>OS1703016</t>
  </si>
  <si>
    <t>Prisillia Semestanti</t>
  </si>
  <si>
    <t>Bogor, 7 April 1995</t>
  </si>
  <si>
    <t>Kp. Sindangkarsa No.11 Rt/Rw.005/015 Sukamaju Baru, Tapos, Kota Depok</t>
  </si>
  <si>
    <t>083808823210</t>
  </si>
  <si>
    <t>3276024704950004</t>
  </si>
  <si>
    <t>BCA : 6040588734</t>
  </si>
  <si>
    <t>PRISILIAST@GMAIL.COM</t>
  </si>
  <si>
    <t>SP 1, resign 31/7/2017</t>
  </si>
  <si>
    <t>OS1703013</t>
  </si>
  <si>
    <t>Dion Aswandityo</t>
  </si>
  <si>
    <t>Jakarta, 20 Juni 1990</t>
  </si>
  <si>
    <t>Pulo Gebang Permai Blok B4/26 Rt/Rw.002/010 Pulo Gebang, Cakung, Jakarta Timur</t>
  </si>
  <si>
    <t>021.4600411 / 082299441794</t>
  </si>
  <si>
    <t>3175062006900013</t>
  </si>
  <si>
    <t>BNI : 0239612605</t>
  </si>
  <si>
    <t>ASWANDITYO@GMAIL.COM</t>
  </si>
  <si>
    <t>resign 31/08/107</t>
  </si>
  <si>
    <t>OS1706014</t>
  </si>
  <si>
    <t>Amelia Riske Musak</t>
  </si>
  <si>
    <t>Manado, 28 Mei 1991</t>
  </si>
  <si>
    <t>Apartemen Mediterania Boulevard Kemayoran</t>
  </si>
  <si>
    <t>085299922668</t>
  </si>
  <si>
    <t>7171076805910002</t>
  </si>
  <si>
    <t>72.930.432.9-821.000</t>
  </si>
  <si>
    <t>Mandiri : 1500010603734</t>
  </si>
  <si>
    <t>amel_musak@yahoo.com</t>
  </si>
  <si>
    <t>terminated 6/9/2017</t>
  </si>
  <si>
    <t>OS1703012</t>
  </si>
  <si>
    <t>Herma Yuniar</t>
  </si>
  <si>
    <t>Jakarta, 27 Juni 1988</t>
  </si>
  <si>
    <t>Jl. Melati Raya No.63 Jatiwarna, Bekasi</t>
  </si>
  <si>
    <t>081931174081</t>
  </si>
  <si>
    <t>3201056706880007</t>
  </si>
  <si>
    <t>739707081402000</t>
  </si>
  <si>
    <t>16043241104</t>
  </si>
  <si>
    <t>0002195888804 JATIRAHAYU</t>
  </si>
  <si>
    <t>NOBU BANK : 17811270686</t>
  </si>
  <si>
    <t>YUNIARHERMA@YAHOO.COM</t>
  </si>
  <si>
    <t xml:space="preserve">Resign 19/11/2017 </t>
  </si>
  <si>
    <t>OS1703014</t>
  </si>
  <si>
    <t>Indra Galathia</t>
  </si>
  <si>
    <t>Jl. Matahari No.47 Rt/Rw.002/006 Sudimara Pinang, Pinang, Kota Tangerang</t>
  </si>
  <si>
    <t>3671111604890011</t>
  </si>
  <si>
    <t>64.305.665.416.000</t>
  </si>
  <si>
    <t>BCA : 2180066309</t>
  </si>
  <si>
    <t>Resign 31/10/2017, SP 3</t>
  </si>
  <si>
    <t>OS1705006</t>
  </si>
  <si>
    <t>Muhamad Adam</t>
  </si>
  <si>
    <t>Jakarta, 1 Mei 1997</t>
  </si>
  <si>
    <t>Kp. Jawa Rawasari Rt/Rw.005/008 Rawasari, Cempaka Putih, Jakarta Pusat</t>
  </si>
  <si>
    <t xml:space="preserve">085888311079  </t>
  </si>
  <si>
    <t xml:space="preserve">3171050105970003   </t>
  </si>
  <si>
    <t xml:space="preserve">73.140.833-2-024.000   </t>
  </si>
  <si>
    <t>Mandiri : 1230007307525</t>
  </si>
  <si>
    <t xml:space="preserve">adam.m37@yahoo.com       </t>
  </si>
  <si>
    <t>kabur 25/12/2017, tdk hadir sejak 26 Des</t>
  </si>
  <si>
    <t>OS1703008</t>
  </si>
  <si>
    <t>Lilis Suherti</t>
  </si>
  <si>
    <t>Jakarta, 26 November 1992</t>
  </si>
  <si>
    <t>Gg. Asal Rt/Rw.008/003 Rawajati, Pancoran, Jakarta Selatan</t>
  </si>
  <si>
    <t>087880171792</t>
  </si>
  <si>
    <t>3174086611920005</t>
  </si>
  <si>
    <t>70.053.474.6.061.000</t>
  </si>
  <si>
    <t>BCA : 6220373485</t>
  </si>
  <si>
    <t>LIIZLILIZ92@GMAIL.COM</t>
  </si>
  <si>
    <t>OS1703037</t>
  </si>
  <si>
    <t>Febe Eodia Valentina S</t>
  </si>
  <si>
    <t>Jakarta, 14 Februari 1997</t>
  </si>
  <si>
    <t>Jl. Binakarya Rt/Rw.04/04 Pondok Kopi, Duren Sawit, Jakarta</t>
  </si>
  <si>
    <t>3216025402970008</t>
  </si>
  <si>
    <t>BCA : 6330877942</t>
  </si>
  <si>
    <t>audiavalenttina@yahoo.com</t>
  </si>
  <si>
    <t>OS1707029</t>
  </si>
  <si>
    <t>Amni Nadya</t>
  </si>
  <si>
    <t>Jakarta, 20 Januari 1992</t>
  </si>
  <si>
    <t>Jl. Setu Baru RT 03 / 06, Kel. Sukamaju Kec. Cilodong, Kota Depok</t>
  </si>
  <si>
    <t>082113330351</t>
  </si>
  <si>
    <t>3276056001920004</t>
  </si>
  <si>
    <t>721388106412000</t>
  </si>
  <si>
    <t>BCA : 7650409196</t>
  </si>
  <si>
    <t>nadya.amnii@gmail.com</t>
  </si>
  <si>
    <t>mangkir sejak 25/1/2018 e_31/1/2018</t>
  </si>
  <si>
    <t>Galih Al Taher</t>
  </si>
  <si>
    <t>Jakarta, 9 Januari 1994</t>
  </si>
  <si>
    <t>Jl. Mindi Blok O Gg V No. 18 RT 06 / RW 06, Kel. Lagoa Kec. Koja, Jakarta Utara 14270</t>
  </si>
  <si>
    <t>OS1703009</t>
  </si>
  <si>
    <t>Dedy Rosadi</t>
  </si>
  <si>
    <t>Jakarta, 16 Oktober 1985</t>
  </si>
  <si>
    <t>Jl. Peninggilan Timur I No.53 Rt/Rw.004/09 Kebayoran Lama, Jakarta Selatan</t>
  </si>
  <si>
    <t>021.98212942 / 08567598282</t>
  </si>
  <si>
    <t>3174051610850007</t>
  </si>
  <si>
    <t>34.678.402.0.013.000</t>
  </si>
  <si>
    <t>0001631196909 kel kebayoran lama utara</t>
  </si>
  <si>
    <t>Nobu Bank : 17811008345</t>
  </si>
  <si>
    <t>dedyrosadi32@gmail.com</t>
  </si>
  <si>
    <t>OS1703018</t>
  </si>
  <si>
    <t>Feranda Intan Kurnia</t>
  </si>
  <si>
    <t>Jakarta, 1 Januari 1994</t>
  </si>
  <si>
    <t>Jl. Kelapa Puan No.32 E Rt/Rw.006/003 Jagakarsa, Jakarta Selatan</t>
  </si>
  <si>
    <t>081291075150</t>
  </si>
  <si>
    <t>3174094101940007</t>
  </si>
  <si>
    <t>76.927.179.2.017.000</t>
  </si>
  <si>
    <t>16013878281</t>
  </si>
  <si>
    <t>0000042023867 KEC. JAGAKARSA</t>
  </si>
  <si>
    <t>NOBU BANK : 17811009872</t>
  </si>
  <si>
    <t>FERANDAINTAN@YAHOO.COM</t>
  </si>
  <si>
    <t>OS1706016</t>
  </si>
  <si>
    <t>Padang, 17 September 1992</t>
  </si>
  <si>
    <t>Jl. Cidodol No. 57 RT 01 / RW 13, Kebayoran 12220</t>
  </si>
  <si>
    <t xml:space="preserve">082170393340  </t>
  </si>
  <si>
    <t xml:space="preserve">1371045070970004   </t>
  </si>
  <si>
    <t xml:space="preserve">75.046.706.0-036.000   </t>
  </si>
  <si>
    <t xml:space="preserve">BCA :  5486005820 </t>
  </si>
  <si>
    <t xml:space="preserve">ladydiana.azzahra@gmail.com       </t>
  </si>
  <si>
    <t>OS1802007</t>
  </si>
  <si>
    <t>Rachel Juniel</t>
  </si>
  <si>
    <t>Wajo, 3 Maret 1993</t>
  </si>
  <si>
    <t>Jl. Kalibaru Barat VII/6 RT 6 RW 15, Kel. Kalibaru Kec. Cilincing, Jakarta Utara</t>
  </si>
  <si>
    <t>089509824830</t>
  </si>
  <si>
    <t>3172044303931013</t>
  </si>
  <si>
    <t>MANDIRI  1250013123724</t>
  </si>
  <si>
    <t>racheljuniel93@gmail.com</t>
  </si>
  <si>
    <t>OS1711018</t>
  </si>
  <si>
    <t>Aldini Septia Puteri</t>
  </si>
  <si>
    <t>Jakarta, 29 September 1997</t>
  </si>
  <si>
    <t>Jl. SPG VII RT 07 / RW 09, Kel. Lubang Buaya Kec. Cipayung, Jakarta Timur</t>
  </si>
  <si>
    <t>081213138515</t>
  </si>
  <si>
    <t>3175106909970007</t>
  </si>
  <si>
    <t>MANDIRI : 167-00-0162856-8</t>
  </si>
  <si>
    <t>aldinip204@gmail.com</t>
  </si>
  <si>
    <t>resign 11/04/2018</t>
  </si>
  <si>
    <t>LIST OF EMPLOYEE PLACED AT WINCOR</t>
  </si>
  <si>
    <t>Tunjangan Tetap (Mealtransp_allow)</t>
  </si>
  <si>
    <t>T. Jabatan</t>
  </si>
  <si>
    <t>T. Kendaraan</t>
  </si>
  <si>
    <t>T. Bensin &amp; Parkir</t>
  </si>
  <si>
    <t>T. Servis Kendaraan</t>
  </si>
  <si>
    <t>Variable Target Income  per year</t>
  </si>
  <si>
    <t>T. Kesehatan</t>
  </si>
  <si>
    <t>OS1602003</t>
  </si>
  <si>
    <t>Mohamad Syariffudin Latif</t>
  </si>
  <si>
    <t>Jakarta, 12 Januari 1989</t>
  </si>
  <si>
    <t>Admin Repair =&gt; SUPPORT ENGINEER</t>
  </si>
  <si>
    <t>Ridwan</t>
  </si>
  <si>
    <t>BS&amp;MEALTRANS * 100%</t>
  </si>
  <si>
    <t>RI RJ 250 KCMT 300</t>
  </si>
  <si>
    <t>adj 1 Jan 18 BS prev 2808750 ; UMP 2017 eff 1 jan '17 prev. BS 2.346.000</t>
  </si>
  <si>
    <t>Jl. Srengseng Sawah No.11 Rt/Rw.010/006 Srengseng Sawah, Jagakarsa, Jakarta Selatan</t>
  </si>
  <si>
    <t>08990729223</t>
  </si>
  <si>
    <t>3174091201890001</t>
  </si>
  <si>
    <t>98.068.521.8-017.000</t>
  </si>
  <si>
    <t>BUAT BARU</t>
  </si>
  <si>
    <t>0001743305883 OK</t>
  </si>
  <si>
    <t xml:space="preserve">MANDIRI: 9000036845346 </t>
  </si>
  <si>
    <t>syariffudinlatif89@gmail.com</t>
  </si>
  <si>
    <t>OS1602004</t>
  </si>
  <si>
    <t>Jakarta, 10 Desember 1989</t>
  </si>
  <si>
    <t>Admin Repair</t>
  </si>
  <si>
    <t>adj 1 Jan 18 BS prev 2835000 ; UMP 2017 eff 1 jan '17 prev. BS 2.346.000</t>
  </si>
  <si>
    <t>Kp. Rawabelut Rt/Rw.003/006 Cileungsi Kidul, Cileungsi, Kab. Bogor</t>
  </si>
  <si>
    <t>08569043283</t>
  </si>
  <si>
    <t>3201071012890007</t>
  </si>
  <si>
    <t>72.445.611.6-436.000</t>
  </si>
  <si>
    <t>0001743305894 istri PBI APBN</t>
  </si>
  <si>
    <t xml:space="preserve">MANDIRI: 9000036845288 </t>
  </si>
  <si>
    <t>rianhdyt17@yahoo.co.id, 
Rian.hidayat@service-division.com</t>
  </si>
  <si>
    <t>OS1602005</t>
  </si>
  <si>
    <t>Adhi Suryo Nugroho</t>
  </si>
  <si>
    <t>Jakarta, 8 Juni 1990</t>
  </si>
  <si>
    <t>Repair Engineer</t>
  </si>
  <si>
    <t>Paninggilan Permai Blok D-10 Rt/Rw.001/004 Parung Serab, Ciledug, Kota Tangerang</t>
  </si>
  <si>
    <t>08998322577</t>
  </si>
  <si>
    <t>367106080690002</t>
  </si>
  <si>
    <t>55.322.861.0-416.000</t>
  </si>
  <si>
    <t>0001892479691 OK</t>
  </si>
  <si>
    <t>BCA: 3450069841</t>
  </si>
  <si>
    <t>adhisuryonugroho@rocketmail.com</t>
  </si>
  <si>
    <t>OS1602006</t>
  </si>
  <si>
    <t>Bayu Waluyo</t>
  </si>
  <si>
    <t>Kebumen, 23 September 1989</t>
  </si>
  <si>
    <t>Jl. Cluster V Blok H No.02 Cluster Bumi Asri Rt/Rw.010/009 Kel. Kutabaru Kec. Pasar Kemis, Kab. Tangerang</t>
  </si>
  <si>
    <t>085697716546</t>
  </si>
  <si>
    <t>3603122309890006</t>
  </si>
  <si>
    <t>66358.365.6-418.000</t>
  </si>
  <si>
    <t>0001335505048 OK</t>
  </si>
  <si>
    <t xml:space="preserve">MANDIRI: 1240007369540
</t>
  </si>
  <si>
    <t>bayu_ec@yahoo.com</t>
  </si>
  <si>
    <t>OS1602007</t>
  </si>
  <si>
    <t>Dian Perdana Harris</t>
  </si>
  <si>
    <t>Brebes, 5 Mei 1979</t>
  </si>
  <si>
    <t>QC Engineer</t>
  </si>
  <si>
    <t>UMP 2017 eff 1 jan '17 prev. BS 2.958.000</t>
  </si>
  <si>
    <t>Komp. Pamulang Elok Blok K. 1A No. 23 RT 04 / RW 14, Kel. Pondok Petir, Kec. Bojongsari, Depok</t>
  </si>
  <si>
    <t>085313832454</t>
  </si>
  <si>
    <t>3674060505790007</t>
  </si>
  <si>
    <t>68.873.826.9-429.000</t>
  </si>
  <si>
    <t>0000205906318/0001743305736 
-KELUARGA</t>
  </si>
  <si>
    <t>BCA: 2040194285 A/N DIAN PERDANA HARRIS</t>
  </si>
  <si>
    <t>dian.ph79@yahoo.com.sg</t>
  </si>
  <si>
    <t>OS1602008</t>
  </si>
  <si>
    <t>Arif Rudianto</t>
  </si>
  <si>
    <t>Kebumen, 1 Januari 1989</t>
  </si>
  <si>
    <t>Repair Engineer =&gt; SUPPORT ENGINEER 5/10/2017</t>
  </si>
  <si>
    <t>adj 1 Jan 18 BS prev 2835000 ; UMP 2017 eff 1 jan '17 prev. BS 2.330.000</t>
  </si>
  <si>
    <t>Kopek, RT. 002 RW. 006, Sikayu, Buayan, Kebumen</t>
  </si>
  <si>
    <t>087886639137</t>
  </si>
  <si>
    <t>3305020101890008</t>
  </si>
  <si>
    <t>55.131.700.152.3.000</t>
  </si>
  <si>
    <t>10004860317</t>
  </si>
  <si>
    <t>0001743305826 -KELUARGA</t>
  </si>
  <si>
    <t xml:space="preserve">MANDIRI: 9000036845395
</t>
  </si>
  <si>
    <t>arif.rudianto01@gmail.com</t>
  </si>
  <si>
    <t>OS1602010</t>
  </si>
  <si>
    <t>Hendri Setiawan</t>
  </si>
  <si>
    <t>Jakarta, 4 Juni 1986</t>
  </si>
  <si>
    <t>Senior Repair Engineer</t>
  </si>
  <si>
    <t>adj 1 Jan 18 BS prev 2837640 ; UMP 2017 eff 1 jan '17 prev. BS 2.652.000</t>
  </si>
  <si>
    <t>Kp. Kepupu Rt/Rw.003/013 Kel. Rangkapan Jaya Kec. Pancoran Mas, Kota Depok</t>
  </si>
  <si>
    <t>08569062225</t>
  </si>
  <si>
    <t>3276010406860008</t>
  </si>
  <si>
    <t>26.047.363.2.412.000</t>
  </si>
  <si>
    <t>15022135154</t>
  </si>
  <si>
    <t>0001339129394 OK</t>
  </si>
  <si>
    <t>Mandiri: 1240007368740</t>
  </si>
  <si>
    <t>hndr_setiawan@yahoo.co.id</t>
  </si>
  <si>
    <t>OS1602011</t>
  </si>
  <si>
    <t>Heru Aris Prabowo</t>
  </si>
  <si>
    <t>Jakarta, 6 Desember 1986</t>
  </si>
  <si>
    <t>adj 1 Jan 18 BS prev 2782500 ; UMP 2017 eff 1 jan '17 prev. BS 2.346.000</t>
  </si>
  <si>
    <t>Jl. Sumber Pelita Rt/Rw.005/001 Sumur Batu, Kemayoran, Jakarta Pusat</t>
  </si>
  <si>
    <t>089692422568</t>
  </si>
  <si>
    <t>3171030612860002</t>
  </si>
  <si>
    <t>54.688.517.9-027.000</t>
  </si>
  <si>
    <t>0001383127841 istri ttp memilih mandiri</t>
  </si>
  <si>
    <t>BCA: 8770354511</t>
  </si>
  <si>
    <t>hru4ris86@gmail.com</t>
  </si>
  <si>
    <t>OS1602012</t>
  </si>
  <si>
    <t>Ichsan Ramadhan</t>
  </si>
  <si>
    <t>Balikpapan, 19 Maret 1992</t>
  </si>
  <si>
    <t>adj 1 Jan 18 BS prev 2808750 ; UMP 2017 eff 1 jan '17 prev. BS 2.448.000</t>
  </si>
  <si>
    <t>Jl. Mulawarman Gg. Wonorame No. 48A RT 23, Kel. Manggar Kec. Balikpapan Timur</t>
  </si>
  <si>
    <t>081347637367</t>
  </si>
  <si>
    <t>6471051903920001</t>
  </si>
  <si>
    <t>70.802.415.3-017.000</t>
  </si>
  <si>
    <t>14024895592</t>
  </si>
  <si>
    <t>0001743305771 OK</t>
  </si>
  <si>
    <t>MANDIRI: 1240007368716</t>
  </si>
  <si>
    <t>ichsan.r92@gmail.com</t>
  </si>
  <si>
    <t>OS1602013</t>
  </si>
  <si>
    <t>Jejet Maulana</t>
  </si>
  <si>
    <t>Subang, 12 Mei 1983</t>
  </si>
  <si>
    <t>adj 1 Jan 18 BS prev 2808750 ; UMP 2017 eff 1 jan '17 prev. BS 2.330.000</t>
  </si>
  <si>
    <t>Blok Sukawening Rt/Rw.062/020 Cigadung, Subang, Kab. Subang</t>
  </si>
  <si>
    <t>0895320879249</t>
  </si>
  <si>
    <t>3213031205830009</t>
  </si>
  <si>
    <t>0001743305837 - KELUARGA</t>
  </si>
  <si>
    <t xml:space="preserve">MANDIRI: 9000036845338 </t>
  </si>
  <si>
    <t>jejet_m@yahoo.com</t>
  </si>
  <si>
    <t>OS1602014</t>
  </si>
  <si>
    <t>Kholil Kamal Mubarok</t>
  </si>
  <si>
    <t>Bogor, 06 Juli 1987</t>
  </si>
  <si>
    <t>adj 1 Jan 18 BS prev 2865460 ; UMP 2017 eff 1 jan '17 prev. BS 2.678.000</t>
  </si>
  <si>
    <t>Kp. Babakan RT 06 / RW 06, Kel. Lenteng Agung Kec. Jagakarsa</t>
  </si>
  <si>
    <t>085691078060</t>
  </si>
  <si>
    <t>3174090607870006</t>
  </si>
  <si>
    <t>57.849.989.9-017.000</t>
  </si>
  <si>
    <t>0001212667828 OK</t>
  </si>
  <si>
    <t>BCA: 8690836786 A/N KHOLIL KAMAL MUBAROK</t>
  </si>
  <si>
    <t>kholil.kamal@yahoo.co.id</t>
  </si>
  <si>
    <t>OS1602015</t>
  </si>
  <si>
    <t>Kuridi</t>
  </si>
  <si>
    <t>Jakarta, 25 April 1969</t>
  </si>
  <si>
    <t>Leader Repair Engineer</t>
  </si>
  <si>
    <t>UMP 2017 eff 1 jan '17 prev. BS 3.468.000</t>
  </si>
  <si>
    <t>Jl. H Rijin No.194 Rt/Rw.001/009 Jatimakmur, Pondokgede, Kota Bekasi</t>
  </si>
  <si>
    <t>08159521022</t>
  </si>
  <si>
    <t>3275082504690024</t>
  </si>
  <si>
    <t>55.121.128.7-432.000</t>
  </si>
  <si>
    <t>0001743305949 OK</t>
  </si>
  <si>
    <t>BCA: 4591161517 A/N KURIDI</t>
  </si>
  <si>
    <t>muhammad.kuridi@gmail.com, muhammad.kuridi@yahoo.com</t>
  </si>
  <si>
    <t>OS1602016</t>
  </si>
  <si>
    <t>Martin Erryduan</t>
  </si>
  <si>
    <t>Jakarta, 12 Maret 1984</t>
  </si>
  <si>
    <t>UMP 2017 eff 1 jan '17 prev. BS 2.987.000</t>
  </si>
  <si>
    <t>Vila Mutiara Gading 2 Blok Y 16 No. 25 RT 01 / RW 16, Karang Satria, Tambun Utara</t>
  </si>
  <si>
    <t>085717585868</t>
  </si>
  <si>
    <t>3216051203840006</t>
  </si>
  <si>
    <t>54.355.477.8-435.000</t>
  </si>
  <si>
    <t>0001154918261 -KELUARGA</t>
  </si>
  <si>
    <t>BCA: 7390854743 A/N MARTIN ERRYDUAN</t>
  </si>
  <si>
    <t>erryduan@gmail.com</t>
  </si>
  <si>
    <t>OS1602017</t>
  </si>
  <si>
    <t>Muhammad Ade Syahputra</t>
  </si>
  <si>
    <t>Jakarta, 28 Maret 1987</t>
  </si>
  <si>
    <t>Jl. Kembang III RT 07 / RW 01, Kel. Kwitang Kec. Senen</t>
  </si>
  <si>
    <t>081381715004</t>
  </si>
  <si>
    <t>3171042803870003</t>
  </si>
  <si>
    <t>35.247.198.1-023.000</t>
  </si>
  <si>
    <t>tunggakan e_23/3/2016</t>
  </si>
  <si>
    <t xml:space="preserve">BANK MANDIRI: 1030005560442 </t>
  </si>
  <si>
    <t>muh.adesyahputra@ymail.com</t>
  </si>
  <si>
    <t>OS1602019</t>
  </si>
  <si>
    <t>Radityo Luberto Aprianto</t>
  </si>
  <si>
    <t>Depok, 30 April 1982</t>
  </si>
  <si>
    <t>Jl. Kemiri Jaya No.100 Rt/Rw.007/001 Kel. Beji Kec. Beji, Kota Depok</t>
  </si>
  <si>
    <t>082122027174</t>
  </si>
  <si>
    <t>3276063004820001</t>
  </si>
  <si>
    <t>34.785.630.4-412.000</t>
  </si>
  <si>
    <t>0001301720422 OK</t>
  </si>
  <si>
    <t>BANK MANDIRI: 1570004864246</t>
  </si>
  <si>
    <t>radityoluberto@gmail.com</t>
  </si>
  <si>
    <t>OS1602020</t>
  </si>
  <si>
    <t>Rahmat Hariyadi</t>
  </si>
  <si>
    <t>Jakarta, 10 Juni 1987</t>
  </si>
  <si>
    <t>adj 1 Jan 18 BS prev 2782500 ; UMP 2017 eff 1 jan '17 prev. BS 2.330.000</t>
  </si>
  <si>
    <t>Jl. Raden Sombo No.1 Rt/Rw.009/020 Harapan Jaya, Bekasi Utara, Kota Bekasi</t>
  </si>
  <si>
    <t>085711103501</t>
  </si>
  <si>
    <t>3275031006870017</t>
  </si>
  <si>
    <t>72.915.234.8-407.000</t>
  </si>
  <si>
    <t>0001743306006 OK</t>
  </si>
  <si>
    <t>MANDIRI: 1240007368682</t>
  </si>
  <si>
    <t>rahmathariyadi75@rocketmail.com</t>
  </si>
  <si>
    <t>OS1602021</t>
  </si>
  <si>
    <t>Rezky Firmansyah</t>
  </si>
  <si>
    <t>Jakarta, 7 September 1992</t>
  </si>
  <si>
    <t>Jl. Jelita Utara No.10 E Rt/Rw.007/010 Rawamangun, Pulogadung, Jakarta Timur</t>
  </si>
  <si>
    <t>081212240070</t>
  </si>
  <si>
    <t>3175020709920004</t>
  </si>
  <si>
    <t>64.142.454.4-003.000</t>
  </si>
  <si>
    <t>0001217253868 OK</t>
  </si>
  <si>
    <t>BANK MANDIRI: 1570002703339 A/N REZKY FIRMANSYAH</t>
  </si>
  <si>
    <t>rezky.firmansyah7@gmail.com</t>
  </si>
  <si>
    <t>OS1602022</t>
  </si>
  <si>
    <t>Rudy Zulkarnaen Sarwo Jatmiko</t>
  </si>
  <si>
    <t>Bogor, 20 aug 1990</t>
  </si>
  <si>
    <t>BTN Leuwiliang Permai Blok E/8 Rt/Rw.003/001 Leuwiliang, Leuwiliang, Kab. Bogor</t>
  </si>
  <si>
    <t>0857710788339</t>
  </si>
  <si>
    <t>3201142008900009</t>
  </si>
  <si>
    <t>44.367.971.7-434.000</t>
  </si>
  <si>
    <t>0001743305995 OK</t>
  </si>
  <si>
    <t xml:space="preserve">BCA: 0952963102 </t>
  </si>
  <si>
    <t>ruddypresident@yahoo.co.id</t>
  </si>
  <si>
    <t>OS1602024</t>
  </si>
  <si>
    <t>Witdi Sudjati</t>
  </si>
  <si>
    <t>Jakarta, 29 Maret 1987</t>
  </si>
  <si>
    <t>Kp. Pertanian Selatan No. 23 RT 05 / RW 03, Kel. Klender Kec. Duren Sawit</t>
  </si>
  <si>
    <t>085781238712</t>
  </si>
  <si>
    <t>3175072903870009</t>
  </si>
  <si>
    <t>54.792.636.0-008.000</t>
  </si>
  <si>
    <t>0001743305758 -KELUARGA</t>
  </si>
  <si>
    <t xml:space="preserve">MANDIRI: 9000036845221
</t>
  </si>
  <si>
    <t>witdi.sudjati@yahoo.com</t>
  </si>
  <si>
    <t>OS1602025</t>
  </si>
  <si>
    <t>Zihid Nirwanto</t>
  </si>
  <si>
    <t>Karawang, 23 Maret 1985</t>
  </si>
  <si>
    <t>Jl. Lebak Bulus I RT 03 / RW 04, Cilandak Barat, Jakarta Selatan</t>
  </si>
  <si>
    <t>081905950012</t>
  </si>
  <si>
    <t>3174062303851002</t>
  </si>
  <si>
    <t>25.476.798.1-408.000</t>
  </si>
  <si>
    <t>0001209425275 -KELUARGA</t>
  </si>
  <si>
    <t>BNI: 0090127511 A/N ZIHID NIRWANTO</t>
  </si>
  <si>
    <t>ziit_prakal@yahoo.com</t>
  </si>
  <si>
    <t>OS1602026</t>
  </si>
  <si>
    <t>Anggie Pramudita</t>
  </si>
  <si>
    <t>Jakarta, 24 Januari 1991</t>
  </si>
  <si>
    <t xml:space="preserve">Field Engineer </t>
  </si>
  <si>
    <t>Nahar</t>
  </si>
  <si>
    <t>UMP 2017 eff 1 jan '17 prev. BS 2.376.600</t>
  </si>
  <si>
    <t>Jl. Tenggiri III No.226 Rt/Rw.002/010 Depok Jaya, Pancoran Mas, Kota Depok</t>
  </si>
  <si>
    <t>085775952556 /
 087876058665</t>
  </si>
  <si>
    <t>3276012401910015</t>
  </si>
  <si>
    <t>55.820.983.9-412.000</t>
  </si>
  <si>
    <t>Mandiri : 157-00-0537520-0  A/N ANGGIE PRAMUDITA</t>
  </si>
  <si>
    <t>anggie.pramudita@gmail.com</t>
  </si>
  <si>
    <t>OS1602027</t>
  </si>
  <si>
    <t>Arie Anhar Febriansyah</t>
  </si>
  <si>
    <t>Jakarta, 4 Pebruari 1990</t>
  </si>
  <si>
    <t>UMP 2017 eff 1 jan '17 prev. BS 2.330.000</t>
  </si>
  <si>
    <t>Jl. Raya Lenteng Agung, Gg. Camat Gabun II RT 03 / RW 08 No. 6, Lenteng Agung, Jagakarsa, Jakarta Selatan</t>
  </si>
  <si>
    <t>085691559166</t>
  </si>
  <si>
    <t>3174090402900003</t>
  </si>
  <si>
    <t>72.965.457.4-017.000</t>
  </si>
  <si>
    <t xml:space="preserve">15038026538
</t>
  </si>
  <si>
    <t>0001743305804 OK</t>
  </si>
  <si>
    <t>BCA: 5405097866</t>
  </si>
  <si>
    <t>anhararieee@gmail.com</t>
  </si>
  <si>
    <t>OS1602028</t>
  </si>
  <si>
    <t>Arif Alfa Farqi</t>
  </si>
  <si>
    <t>Bojonegoro, 8 Juni 1987</t>
  </si>
  <si>
    <t>Kp. Ujung Harapan Rt/Rw.003/042 Bahagia, Babelan, Kab. Bekasi</t>
  </si>
  <si>
    <t>085692611055</t>
  </si>
  <si>
    <t>3216020806870005</t>
  </si>
  <si>
    <t>54.592.038.1-435.000</t>
  </si>
  <si>
    <t>0001663082425 -KELUARGA</t>
  </si>
  <si>
    <t>BCA: 8640073226 A/N ARIF ALFA FARQI</t>
  </si>
  <si>
    <t>apla1987@gmail.com</t>
  </si>
  <si>
    <t>OS1602029</t>
  </si>
  <si>
    <t>Arif Setiawan</t>
  </si>
  <si>
    <t>Jakarta, 1 Pebruari 1987</t>
  </si>
  <si>
    <t>Jl. Makmur RT 03 / RW 07 No. 102, Kel. Lubang Buaya, Kec. Cipayung, Jakarta Timur 13810</t>
  </si>
  <si>
    <t>08567676554</t>
  </si>
  <si>
    <t>3175100102870001</t>
  </si>
  <si>
    <t>57.089.999.7-009.000</t>
  </si>
  <si>
    <t>13022588746</t>
  </si>
  <si>
    <t>0001217690943 OK</t>
  </si>
  <si>
    <t>BCA : 2310096957 A/N ANTI AGUSTIN CAB PURWAKARTA</t>
  </si>
  <si>
    <t>ariefsetiawan2@yahoo.com / 
arif.setiawan@service-division.com</t>
  </si>
  <si>
    <t>OS1602031</t>
  </si>
  <si>
    <t>Budi Setiadi</t>
  </si>
  <si>
    <t>Tasikmalaya, 28 Juli 1989</t>
  </si>
  <si>
    <t>Perum Griya Setia Asri Blok D8 Rt/Rw.003/003 Setiamulya, Tamansari, Kota Tasikmalaya</t>
  </si>
  <si>
    <t>082244461606</t>
  </si>
  <si>
    <t>3278072807890003</t>
  </si>
  <si>
    <t>0001620840363 OK</t>
  </si>
  <si>
    <t xml:space="preserve">MANDIRI: 9000036845387
</t>
  </si>
  <si>
    <t>budiseptiadi1989@yahoo.com, 
budisetiadi1989@yahoo.com</t>
  </si>
  <si>
    <t>OS1602032</t>
  </si>
  <si>
    <t>Derajat Bibit Pramono</t>
  </si>
  <si>
    <t>Jakarta, 20 April 1989</t>
  </si>
  <si>
    <t>Bulak Perwira No. 45 RT 01 / RW 15, Kel. Perwira Kec. Bekasi Utara</t>
  </si>
  <si>
    <t>08979987503</t>
  </si>
  <si>
    <t>3275032004890013</t>
  </si>
  <si>
    <t>72.683.033.4-407.000</t>
  </si>
  <si>
    <t>0001743305703 OK</t>
  </si>
  <si>
    <t>BCA: 0663221482 A/N DERAJAD BIBIT PRAMONO</t>
  </si>
  <si>
    <t>bibitpramono@gmail.com</t>
  </si>
  <si>
    <t>OS1602033</t>
  </si>
  <si>
    <t>Desmon Aryanto Marpaung</t>
  </si>
  <si>
    <t>Sijungkit, 17 Desember 1989 / CHRIST</t>
  </si>
  <si>
    <t>Pd Ungu Permai Sektor V K2 / 15 Rt/Rw.001/026 Bahagia, Babelan, Kab. Bekasi</t>
  </si>
  <si>
    <t>081233401217</t>
  </si>
  <si>
    <t>3216021712880002</t>
  </si>
  <si>
    <t>59.763.338.7-435.000</t>
  </si>
  <si>
    <t>0001743305872 OK</t>
  </si>
  <si>
    <t xml:space="preserve">MANDIRI: 9000036845361 </t>
  </si>
  <si>
    <t>desmontbriliant@gmail.com, 
desmonbriliant@gmail.com</t>
  </si>
  <si>
    <t>OS1602034</t>
  </si>
  <si>
    <t>Dimas Jaya Rukmana</t>
  </si>
  <si>
    <t>Jakarta, 20 Juni 1989</t>
  </si>
  <si>
    <t>Jl. Kalisari Asri RT 12 / RW 03 No. 15, Kel. Pasar Rebo, Jakarta Timur</t>
  </si>
  <si>
    <t>081218894555</t>
  </si>
  <si>
    <t>3175052006890004</t>
  </si>
  <si>
    <t>55.635.102.1-009.000</t>
  </si>
  <si>
    <t>0001743305769 OK</t>
  </si>
  <si>
    <t xml:space="preserve">MANDIRI: 9000036845320 </t>
  </si>
  <si>
    <t>dimasjayarukmana89@gmail.com</t>
  </si>
  <si>
    <t>OS1602035</t>
  </si>
  <si>
    <t>Djati Suwantoro</t>
  </si>
  <si>
    <t>Jakarta, 17 Juli 1984</t>
  </si>
  <si>
    <t>Field Engineer =&gt; Pre-Stagging 1/1/2018</t>
  </si>
  <si>
    <t>entitle t.jab eff 1 Jan'18 prev none ; UMP 2017 eff 1 jan '17 prev. BS 2.872.670</t>
  </si>
  <si>
    <t>Gg. Langgar Rt/Rw.006/003 Makasar, Makasar, Jakarta Timur</t>
  </si>
  <si>
    <t>08561926655</t>
  </si>
  <si>
    <t>3175081707840002</t>
  </si>
  <si>
    <t>35.111.495.4-005.000</t>
  </si>
  <si>
    <t>0001390873522 ok</t>
  </si>
  <si>
    <t>BCA: 1652483377 A/N DJATI SUWANTORO</t>
  </si>
  <si>
    <t>jatsfumi@gmail.com</t>
  </si>
  <si>
    <t>OS1602036</t>
  </si>
  <si>
    <t>Faizul Rokhman</t>
  </si>
  <si>
    <t>Tegal, 10 September 1990</t>
  </si>
  <si>
    <t>Jl. Kemang Raya No.10 Rt/Rw.001/002 Jaticempaka, Pondokgede, Kota Bekasi</t>
  </si>
  <si>
    <t>0856472749792</t>
  </si>
  <si>
    <t>3275081009900026</t>
  </si>
  <si>
    <t>45.122.085.9.432.000</t>
  </si>
  <si>
    <t>0001464150486</t>
  </si>
  <si>
    <t>0001464150486 OK</t>
  </si>
  <si>
    <t>BCA: 2300438400</t>
  </si>
  <si>
    <t>faizul.rokhma.fr@gmail.com, 
faizul.rokhman.fr@gmail.com, 
faizul.rokhman.fr@gmail.com</t>
  </si>
  <si>
    <t>OS1602037</t>
  </si>
  <si>
    <t>Gamal Abdul Nasser</t>
  </si>
  <si>
    <t>Jakarta, 28 Oktober 1986</t>
  </si>
  <si>
    <t>Jl. Datuk Ibrahim RT 05 / RW 04 No. 42F, Condet, Jakarta Timur</t>
  </si>
  <si>
    <t>081281536601</t>
  </si>
  <si>
    <t>3175042810860006</t>
  </si>
  <si>
    <t>54.765.298.2.005.000</t>
  </si>
  <si>
    <t>BCA: 2181704472 A/N GAMAL ABDUL NASSER</t>
  </si>
  <si>
    <t>gamal.nasser_tsg@yahoo.com</t>
  </si>
  <si>
    <t>OS1602038</t>
  </si>
  <si>
    <t>Karolus Kowe</t>
  </si>
  <si>
    <t>Mbangga, 3 Juni 1985 / CHRIST</t>
  </si>
  <si>
    <t>Kp. Sawah Rt/Rw.001/004 Jatimelati, Pondok Melati, Kota Bekasi</t>
  </si>
  <si>
    <t>081285930724</t>
  </si>
  <si>
    <t>3275120306850007</t>
  </si>
  <si>
    <t>46.765.216.0-432.000</t>
  </si>
  <si>
    <t>0001743306107 OK</t>
  </si>
  <si>
    <t>BCA: 6870736736 A/N KAROLUS KOWE</t>
  </si>
  <si>
    <t>karoluskowe@gmail.com</t>
  </si>
  <si>
    <t>OS1602039</t>
  </si>
  <si>
    <t>Lulus Defiantho</t>
  </si>
  <si>
    <t>Jakarta, 21 Desember 1987</t>
  </si>
  <si>
    <t>Jl. SPG VII No.38 Rt/Rw.004/009 Lubang Buaya, Cipayung, Jakarta Timur</t>
  </si>
  <si>
    <t>081286110216</t>
  </si>
  <si>
    <t>3175102112870003</t>
  </si>
  <si>
    <t>25.718.001.8-009.000</t>
  </si>
  <si>
    <t>0001620837281 -KELUARGA</t>
  </si>
  <si>
    <t>BCA: 8770485321 A/N SITI SOFIA</t>
  </si>
  <si>
    <t>lulusdefianto@yahoo.co.id</t>
  </si>
  <si>
    <t>OS1602041</t>
  </si>
  <si>
    <t>Mulyanto</t>
  </si>
  <si>
    <t>Bandung, 2 Februari 1992</t>
  </si>
  <si>
    <t>Field Engineer =&gt; Field Rollout 1/1/2018</t>
  </si>
  <si>
    <t>entitle t.jab eff 1 Jan'18 prev none ; UMP 2017 eff 1 jan '17 prev. BS 2.330.000</t>
  </si>
  <si>
    <t>Jl. Ciputat Raya Rt/Rw.011/001 Kebayoran Lama Selatan, Kebayoran Lama, Jakarta Selatan</t>
  </si>
  <si>
    <t>085695533344</t>
  </si>
  <si>
    <t>3310060202920001</t>
  </si>
  <si>
    <t>79.163.764.8.525.000</t>
  </si>
  <si>
    <t xml:space="preserve">0001256744891 OK
</t>
  </si>
  <si>
    <t>Mandiri 9000010857879</t>
  </si>
  <si>
    <t>mulyanto.jakstik@gmail.com</t>
  </si>
  <si>
    <t>OS1602042</t>
  </si>
  <si>
    <t>Nana Supriatna</t>
  </si>
  <si>
    <t>Bekasi, 3 Maret 1985</t>
  </si>
  <si>
    <t>Perum Taman Aster Blok A1 No.273 Rt/Rw.008/007 Telaga Asih, Cikarang Barat, Kab. Bekasi</t>
  </si>
  <si>
    <t>08562010100</t>
  </si>
  <si>
    <t>3216080303850008</t>
  </si>
  <si>
    <t>0001435682608 -KELUARGA</t>
  </si>
  <si>
    <t>BCA: 3431091699 A/N NANA SUPRIATNA</t>
  </si>
  <si>
    <t>napriatna@gmail.com</t>
  </si>
  <si>
    <t>OS1602043</t>
  </si>
  <si>
    <t>Panji Wijaya</t>
  </si>
  <si>
    <t>Jakarta, 23 Juli 1988</t>
  </si>
  <si>
    <t>Setu Rt/Rw.002/003 Setu, Cipayung, Jakarta Timur</t>
  </si>
  <si>
    <t>089606407918</t>
  </si>
  <si>
    <t>3175102307880002</t>
  </si>
  <si>
    <t>34.276.958.5-009.000</t>
  </si>
  <si>
    <t>0001743306085 -KELUARGA</t>
  </si>
  <si>
    <t xml:space="preserve">MANDIRI: 9000036845353 </t>
  </si>
  <si>
    <t>vanzy2388@gmail.com / 
panji.wijaya@service-division.com</t>
  </si>
  <si>
    <t>OS1602044</t>
  </si>
  <si>
    <t>Raden Galih Julian Permana</t>
  </si>
  <si>
    <t>Jakarta, 11 Juli 1987</t>
  </si>
  <si>
    <t>Jl. Tanah Merdeka Rt/Rw.008/005 Susukan, Ciracas, Jakarta Timur</t>
  </si>
  <si>
    <t>085714797145</t>
  </si>
  <si>
    <t>3175081107870005</t>
  </si>
  <si>
    <t>34.828.718.6-005.000</t>
  </si>
  <si>
    <t>0001743306096 OK</t>
  </si>
  <si>
    <t>BCA: 6870866931 A/N RADEN GALIH JULIAN PERMANA</t>
  </si>
  <si>
    <t>galihjulian@gmail.com</t>
  </si>
  <si>
    <t>OS1602045</t>
  </si>
  <si>
    <t>Ronal Ericson</t>
  </si>
  <si>
    <t>Jakarta, 24 Januari 1990 / CHRIST</t>
  </si>
  <si>
    <t>Jl. Lumbu Barat V A No.206 Rt/Rw.007/010 Bojong Rawalumbu, Rawalumbu, Kota Bekasi</t>
  </si>
  <si>
    <t>08151844625</t>
  </si>
  <si>
    <t>3275052401900020</t>
  </si>
  <si>
    <t>98.305.113.7.034.000</t>
  </si>
  <si>
    <t>0001717452382 OK</t>
  </si>
  <si>
    <t xml:space="preserve">MANDIRI: 9000036845254 </t>
  </si>
  <si>
    <t>ronal.ericson24@gmail.com</t>
  </si>
  <si>
    <t>OS1602046</t>
  </si>
  <si>
    <t>Sahril</t>
  </si>
  <si>
    <t>Tangerang, 9 Januari 1990</t>
  </si>
  <si>
    <t>Kp. Buaran PLN RT 03 / RW 04, Cikokol, Tangerang</t>
  </si>
  <si>
    <t>08979614152</t>
  </si>
  <si>
    <t>3671010901900002</t>
  </si>
  <si>
    <t>35.509.559.7-416.000</t>
  </si>
  <si>
    <t>09024730062</t>
  </si>
  <si>
    <t>0001743305681 OK</t>
  </si>
  <si>
    <t xml:space="preserve">MANDIRI: 9000036845247 </t>
  </si>
  <si>
    <t>apake.sahril20@yahoo.co.id, 
apake_sahril20@yahoo.co.id</t>
  </si>
  <si>
    <t>OS1602047</t>
  </si>
  <si>
    <t>Jakarta, 9 Oktober 1987</t>
  </si>
  <si>
    <t>Jl. Kebon Mangga I Rt/Rw.009/007 Kel. Cipulir Kec. Kebayoran Lama, Jakarta</t>
  </si>
  <si>
    <t>085711186648</t>
  </si>
  <si>
    <t>3174050910870007</t>
  </si>
  <si>
    <t>0001743305848 OK</t>
  </si>
  <si>
    <t xml:space="preserve">MANDIRI: 9000036845197 </t>
  </si>
  <si>
    <t>anto.nur.rahma@gmail.com</t>
  </si>
  <si>
    <t>OS1602048</t>
  </si>
  <si>
    <t>Surya Nugroho Batara</t>
  </si>
  <si>
    <t>Tangerang, 12 Pebruari 1991</t>
  </si>
  <si>
    <t>Jl. Talas I No. 51 RT 02 / RW 010, Pd. Cabe Ilir, Pamulang, Tangerang Selatan</t>
  </si>
  <si>
    <t>081298945182</t>
  </si>
  <si>
    <t>3674061202910010</t>
  </si>
  <si>
    <t>72.375.714.2.411.000</t>
  </si>
  <si>
    <t>0001257512163 OK</t>
  </si>
  <si>
    <t>MANDIRI: 1240007369508</t>
  </si>
  <si>
    <t>suryanugrohobatara@gmail.com</t>
  </si>
  <si>
    <t>OS1602049</t>
  </si>
  <si>
    <t>Suryadi</t>
  </si>
  <si>
    <t>Jakarta, 24 Juli 1989</t>
  </si>
  <si>
    <t>Gg. Anggrek Gas Alam Rt/Rw.004/007 Curug, Cimanggis, Kota Depok</t>
  </si>
  <si>
    <t>085695218960</t>
  </si>
  <si>
    <t>3174012407890001</t>
  </si>
  <si>
    <t>72.623.507.0-412.000</t>
  </si>
  <si>
    <t>0001736458637 -KELUARGA</t>
  </si>
  <si>
    <t>BCA: 1663162857 A/N SURYADI</t>
  </si>
  <si>
    <t>suryadi.suryadi@service.division.com/
 nuradhie061013@gmail.com</t>
  </si>
  <si>
    <t>OS1602050</t>
  </si>
  <si>
    <t>Suwardi</t>
  </si>
  <si>
    <t>Jakarta, 22 Juli 1991</t>
  </si>
  <si>
    <t>Jl. Waru No. 28 RT 09 / RW 03, Bambu Apus, Cipayung, Jakarta Timur</t>
  </si>
  <si>
    <t>08988889221</t>
  </si>
  <si>
    <t>3175102207910003</t>
  </si>
  <si>
    <t>66.864.408.1-009.000</t>
  </si>
  <si>
    <t>0001743305725 OK</t>
  </si>
  <si>
    <t>BCA: 8691199061</t>
  </si>
  <si>
    <t>suward140211@gmail.com</t>
  </si>
  <si>
    <t>OS1602051</t>
  </si>
  <si>
    <t>Tri Nasikin</t>
  </si>
  <si>
    <t>Bogor, 19 Juni 1991</t>
  </si>
  <si>
    <t>Kp. Cicadas RT 03 / RW 16, Cicadas, Gunung Putri</t>
  </si>
  <si>
    <t>087886654005</t>
  </si>
  <si>
    <t>3276021906910009</t>
  </si>
  <si>
    <t>36.808.225.1-412.000</t>
  </si>
  <si>
    <t>0001743305793 OK</t>
  </si>
  <si>
    <t xml:space="preserve">MANDIRI: 9000036845205 </t>
  </si>
  <si>
    <t>tri.nasikin@gmail.com</t>
  </si>
  <si>
    <t>OS1602052</t>
  </si>
  <si>
    <t>Yusuf Arifin</t>
  </si>
  <si>
    <t>Cilacap, 30 Juli 1991</t>
  </si>
  <si>
    <t>Kp. Jaha Rt/Rw.007/011 Jatimekar, Jatiasih, Kota Bekasi</t>
  </si>
  <si>
    <t>083898954073</t>
  </si>
  <si>
    <t>3275092907910005</t>
  </si>
  <si>
    <t>55.999.963.6-432.000</t>
  </si>
  <si>
    <t>0001455342974 OK</t>
  </si>
  <si>
    <t xml:space="preserve">MANDIRI: 9000036845239
</t>
  </si>
  <si>
    <t>yusufarifin92@yahoo.com</t>
  </si>
  <si>
    <t>OS1602053</t>
  </si>
  <si>
    <t>Aris Munandar</t>
  </si>
  <si>
    <t>Sumedang, 22 Oktober 1990</t>
  </si>
  <si>
    <t>Project Administrator</t>
  </si>
  <si>
    <t>Dusun Cijeungjing Rt/Rw.007/003 Cijeungjing, Jatigede, Kab. Sumedang</t>
  </si>
  <si>
    <t>082321027027</t>
  </si>
  <si>
    <t>3211262210900001</t>
  </si>
  <si>
    <t>09.673.645.9-037.000</t>
  </si>
  <si>
    <t>0001841871688</t>
  </si>
  <si>
    <t>0001841871688 -KELUARGA 
(ISTRI IKUT PERUSAHANNYA)</t>
  </si>
  <si>
    <t>BCA: 5020235561 A/N ARIS MUNANDAR</t>
  </si>
  <si>
    <t>rhoghest22@gmail.com</t>
  </si>
  <si>
    <t>OS1602054</t>
  </si>
  <si>
    <t>Darmayanti</t>
  </si>
  <si>
    <t>Bekasi, 29 September 1986</t>
  </si>
  <si>
    <t>Admin Service =&gt; Warehouse Administration (Mulai 06 November 2017)</t>
  </si>
  <si>
    <t>Yusca Erlando</t>
  </si>
  <si>
    <t>Gg. Lori Sakti Ka Tengah No.57 Rt/RW.001/001 Kaliabang Tengah, Bekasi Utara, Kota Bekasi</t>
  </si>
  <si>
    <t>083875117178</t>
  </si>
  <si>
    <t>3275036909860019</t>
  </si>
  <si>
    <t>36.107.740.7-407.000</t>
  </si>
  <si>
    <t>ikut suami saja</t>
  </si>
  <si>
    <t>BCA: 7660042851 A/N DARMAYANTI</t>
  </si>
  <si>
    <t>darmayanti62@gmail.com, 
darmayanti@service-division.com</t>
  </si>
  <si>
    <t>OS1602055</t>
  </si>
  <si>
    <t>Fina Saindri</t>
  </si>
  <si>
    <t>Jakarta, 11 November 1993</t>
  </si>
  <si>
    <t>Admin Service</t>
  </si>
  <si>
    <t>Jl.Kebagusan Besar II Rt/Rw.002/006 No.20 Gg. Amil, Kebagusan, Pasar Minggu, Jakarta Selatan</t>
  </si>
  <si>
    <t>083808523021</t>
  </si>
  <si>
    <t>3174045111930001</t>
  </si>
  <si>
    <t>72.374.479.9-017.000</t>
  </si>
  <si>
    <t>0001210976403 OK</t>
  </si>
  <si>
    <t>BCA: 5405048504 A/N FINA SAINDRI</t>
  </si>
  <si>
    <t>fina_indri@yahoo.co.id</t>
  </si>
  <si>
    <t>OS1602056</t>
  </si>
  <si>
    <t>Hasan Syaiful Bahri</t>
  </si>
  <si>
    <t>Jakarta, 28 Maret 1970</t>
  </si>
  <si>
    <t>UMP 2017 eff 1 jan '17 prev. BS 3.570.333</t>
  </si>
  <si>
    <t>Jl. Mangga VI No.26 Rt/Rw.003/006 Kel. Utan Kayu Utara Kec. Matraman, Jakarta Timur</t>
  </si>
  <si>
    <t>08121809223</t>
  </si>
  <si>
    <t>3175012803700007</t>
  </si>
  <si>
    <t>58-470-268-2.001-000</t>
  </si>
  <si>
    <t>0001743306052 -KELUARGA</t>
  </si>
  <si>
    <t>Mandiri: 1240007368773</t>
  </si>
  <si>
    <t>hasan.s@service-division.com</t>
  </si>
  <si>
    <t>OS1602057</t>
  </si>
  <si>
    <t>Ika Indah Puspitasari</t>
  </si>
  <si>
    <t>Jakarta, 2 Maret 1993</t>
  </si>
  <si>
    <t>Admin Service =&gt; admin logistics 1/10/2017</t>
  </si>
  <si>
    <t>Jl. Karang Tengah Rt/Rw.005/003 Lebak Bulus, Cilandak, Jakarta Selatan</t>
  </si>
  <si>
    <t>083807555778</t>
  </si>
  <si>
    <t>3174064203930003</t>
  </si>
  <si>
    <t>642020812016000</t>
  </si>
  <si>
    <t>14024895683</t>
  </si>
  <si>
    <t>0001211912379 OK</t>
  </si>
  <si>
    <t>BCA: 7660042843 A/N IKA INDAH PUSPITA SARI</t>
  </si>
  <si>
    <t>ika.indahpuspitasari@yahoo.co.id / 
ika.indah@service-division.com</t>
  </si>
  <si>
    <t>OS1602058</t>
  </si>
  <si>
    <t>Nurul Azizah</t>
  </si>
  <si>
    <t>Jakarta, 24 Desember 1991</t>
  </si>
  <si>
    <t>Lubang Buaya Rt/Rw.002/002 Lubang Buaya, Cipayung, Jakarta Timur</t>
  </si>
  <si>
    <t>081219410815</t>
  </si>
  <si>
    <t>3175106412910001</t>
  </si>
  <si>
    <t>54.489.882.8.009.000</t>
  </si>
  <si>
    <t>0001458124468 ok</t>
  </si>
  <si>
    <t>MANDIRI: 1240007343941 A/N NURUL AZIZAH</t>
  </si>
  <si>
    <t>zizah032@gmail.com</t>
  </si>
  <si>
    <t>OS1602059</t>
  </si>
  <si>
    <t>Selvi Yuningsih</t>
  </si>
  <si>
    <t>Depok, 26 Oktober 1991</t>
  </si>
  <si>
    <t>Jl. Rinan Ilyas No.15 Rt/Rw.005/006 Kukusan, Beji, Kota Depok</t>
  </si>
  <si>
    <t>08979169869</t>
  </si>
  <si>
    <t>3276066610910005</t>
  </si>
  <si>
    <t>46.480.482.2-412.000</t>
  </si>
  <si>
    <t>MENYUSUL</t>
  </si>
  <si>
    <t>0001743305782 OK</t>
  </si>
  <si>
    <t>BCA: 7660045320 A/N SELVI YUNINGSIH</t>
  </si>
  <si>
    <t>selvievie91.sv@gmail.com</t>
  </si>
  <si>
    <t>OS1602061</t>
  </si>
  <si>
    <t>Dina Lestari</t>
  </si>
  <si>
    <t>Cilacap, 18 Juni 1991</t>
  </si>
  <si>
    <t>Taman Sari I No.68 Rt/Rw.002/003 Lebak Bulus, Cilandak, Jakarta Selatan</t>
  </si>
  <si>
    <t>082298983295</t>
  </si>
  <si>
    <t>3174065806910003</t>
  </si>
  <si>
    <t>66.542.658.1-016.000</t>
  </si>
  <si>
    <t>0002043026998 -KELUARGA</t>
  </si>
  <si>
    <t>MANDIRI: 1010006304503 A/N DINA LESTARI</t>
  </si>
  <si>
    <t>lestaridinalestari@gmail.com</t>
  </si>
  <si>
    <t>OS1604009</t>
  </si>
  <si>
    <t>Mohammad Aditya Supriyadi</t>
  </si>
  <si>
    <t>Tangerang, 27 Juli 1996</t>
  </si>
  <si>
    <t>Repair Engineer =&gt; SUPPORT ENGINEER</t>
  </si>
  <si>
    <t>adj 1 Jan 18 BS prev 2782500 ; UMP 2017 eff 1 jan '17 prev. BS 2.325.000</t>
  </si>
  <si>
    <t>Jl. Sulawesi Lr.w No.23 Rt.014/01 Koja Jakarta Utara</t>
  </si>
  <si>
    <t>085714668685</t>
  </si>
  <si>
    <t>3172032707961001</t>
  </si>
  <si>
    <t>668541360045000</t>
  </si>
  <si>
    <t>14024731441</t>
  </si>
  <si>
    <t>0001296731226</t>
  </si>
  <si>
    <t>Mandiri : 124-00-0746039-8</t>
  </si>
  <si>
    <t>adityas2716@gmail.com</t>
  </si>
  <si>
    <t>OS1604010</t>
  </si>
  <si>
    <t>Rendi Hermawan</t>
  </si>
  <si>
    <t>Bekasi, 30 September 1993</t>
  </si>
  <si>
    <t>adj 1 Jan 18 BS prev 2808750 ; UMP 2017 eff 1 jan '17 prev. BS 2.325.000</t>
  </si>
  <si>
    <t>Kav. Mekar Jaya Gg. Gatot Kaca Rt/Rw. 002/006 No.42 Kel. Harapan Mulya Kec. Medan Satria Bekasi 17143</t>
  </si>
  <si>
    <t>(021) 8844424   / 085777788212</t>
  </si>
  <si>
    <t>3275063009930005</t>
  </si>
  <si>
    <t>75.828.745.2-427.000</t>
  </si>
  <si>
    <t>0001766676947 ok</t>
  </si>
  <si>
    <t>Mandiri : 900-00-2885228-4</t>
  </si>
  <si>
    <t>rendi.hermawan30@gmail.com</t>
  </si>
  <si>
    <t>OS1605028</t>
  </si>
  <si>
    <t>Sidiq Pralambang</t>
  </si>
  <si>
    <t>Jakarta, 6 September 1987</t>
  </si>
  <si>
    <t>Field Engineer</t>
  </si>
  <si>
    <t>UMP 2017 eff 1 jan '17 prev. BS 2.330.000; entitle Call Allw eff. 25/05/16 e_12/08/16</t>
  </si>
  <si>
    <t>Jl. Garuda 1 No. 44 RT 10/ RW 06 Cakung, Jakarta Timur 13910</t>
  </si>
  <si>
    <t>081213550995 / 085811525444</t>
  </si>
  <si>
    <t>3175060609870004</t>
  </si>
  <si>
    <t>54.798.643.0.006.000</t>
  </si>
  <si>
    <t>15023286014</t>
  </si>
  <si>
    <t>0001639256196 OK</t>
  </si>
  <si>
    <t>BCA : 6240752067</t>
  </si>
  <si>
    <t>pradiqsi87@gmail.com</t>
  </si>
  <si>
    <t>OS1605027</t>
  </si>
  <si>
    <t>Ammar Rahmat Diyantoro</t>
  </si>
  <si>
    <t>Jakarta, 24 Mei 1989</t>
  </si>
  <si>
    <t>entitle CA eff 1 Feb'17 e_6/3/2017 ; UMP 2017 eff 1 jan '17 prev. BS 2.330.000</t>
  </si>
  <si>
    <t>Jl. Pisangan Lama 3 No. 36 RT 07 / RW 05 Kel. Pisangan Timur</t>
  </si>
  <si>
    <t>081297800991</t>
  </si>
  <si>
    <t>3175022405890006</t>
  </si>
  <si>
    <t>64.142.453.6.003.000</t>
  </si>
  <si>
    <t>14008681810</t>
  </si>
  <si>
    <t>0001769545888 OK</t>
  </si>
  <si>
    <t>BCA : 8810389291</t>
  </si>
  <si>
    <t>ammar.rahmat@gmail.com</t>
  </si>
  <si>
    <t>OS1605029</t>
  </si>
  <si>
    <t>Budhy Prasetyo</t>
  </si>
  <si>
    <t>Jakarta, 24 Mei 1984</t>
  </si>
  <si>
    <t>UMP 2017 eff 1 jan '17 prev. BS 2.330.000; entitle Call Allw eff. 27/05/16 e_12/08/16</t>
  </si>
  <si>
    <t>Jl. Kramat No. 28 RT 04 / RW 02, Kel. Lubang Buaya Kec. Cipayung, Jakarta</t>
  </si>
  <si>
    <t>089690423615 / 0218407267</t>
  </si>
  <si>
    <t>3175102405840003</t>
  </si>
  <si>
    <t>69.952.106.8.009.000</t>
  </si>
  <si>
    <t>13038621937</t>
  </si>
  <si>
    <t>0001155990284 OK</t>
  </si>
  <si>
    <t>BNI : 0319309564</t>
  </si>
  <si>
    <t>arjun007cnl@gmail.com</t>
  </si>
  <si>
    <t>OS1605030</t>
  </si>
  <si>
    <t>Muhammad Iqbal</t>
  </si>
  <si>
    <t>Bogor. 5 Pebruari 1990</t>
  </si>
  <si>
    <t>Kp. Jatijajar 2 RT 06 / RW 09 No. 03, Kec. Tapos, Kota Depok, Jawa Barat</t>
  </si>
  <si>
    <t>085795471206</t>
  </si>
  <si>
    <t>3276100502900003</t>
  </si>
  <si>
    <t>44.166.518.9.412.000</t>
  </si>
  <si>
    <t>0001769545978 OK</t>
  </si>
  <si>
    <t>MANDIRI : 1570005007340</t>
  </si>
  <si>
    <t>muhiqbal02@yahoo.com</t>
  </si>
  <si>
    <t>OS1605031</t>
  </si>
  <si>
    <t>Ziad Yadhika Putra</t>
  </si>
  <si>
    <t>Jakarta, 10 September 1988</t>
  </si>
  <si>
    <t>Pondok Gede Permai, Jl. Nusa Indah 6 Blok C4 No. 12 RT 06 / 08, Jati Asih, Bekasi 17424</t>
  </si>
  <si>
    <t>085710700877</t>
  </si>
  <si>
    <t>3275091009880012</t>
  </si>
  <si>
    <t>72.126.686.4.432.000</t>
  </si>
  <si>
    <t>13019609760</t>
  </si>
  <si>
    <t>1637163887 OK</t>
  </si>
  <si>
    <t>BCA : 6755127241</t>
  </si>
  <si>
    <t>zeeat10@gmail.com</t>
  </si>
  <si>
    <t>OS1606003</t>
  </si>
  <si>
    <t>Roni Rizki Nasution</t>
  </si>
  <si>
    <t>Jakarta, 1 Maret 1990</t>
  </si>
  <si>
    <t>Jl. Raya Lenteng Agung Gg. Upu RT 02 / RW 05 No. 7A, Kel. Lenteng Agung, Kec. Jagakarsa</t>
  </si>
  <si>
    <t>0217863686 / 087780879090</t>
  </si>
  <si>
    <t>3174090103900001</t>
  </si>
  <si>
    <t>98.211.727.7.017.000</t>
  </si>
  <si>
    <t>13005052348</t>
  </si>
  <si>
    <t>0000042183865
OK</t>
  </si>
  <si>
    <t>BCA : 5470449758</t>
  </si>
  <si>
    <t>roninasution77@gmail.com</t>
  </si>
  <si>
    <t>OS1606004</t>
  </si>
  <si>
    <t>Adhi Faizal</t>
  </si>
  <si>
    <t>Surabaya, 25 Mei 1991</t>
  </si>
  <si>
    <t>Jl. Teratai Putih Raya Rumah Susun Blok F 50 Lt. 1 No. 3, Jakarta Timur</t>
  </si>
  <si>
    <t>089656477522</t>
  </si>
  <si>
    <t>3578292505910001</t>
  </si>
  <si>
    <t>0002056745687 - 
ISTRI PESERTA MANDIRI</t>
  </si>
  <si>
    <t>Mandiri : 124-00-07516769</t>
  </si>
  <si>
    <t>adhifaizal@gmail.com</t>
  </si>
  <si>
    <t>OS1606005</t>
  </si>
  <si>
    <t>Peri Kusnanto</t>
  </si>
  <si>
    <t>Sukoharjo, 21 Oktober 1985</t>
  </si>
  <si>
    <t>Repair Engineer =&gt; SUPPORT ENGINEER =&gt; Admin Repair 5/10/2017</t>
  </si>
  <si>
    <t>Dk. Kluwuh RT 01 / RW 04, Lengking, Bulu, Sukoharjo, Jawa Tengah</t>
  </si>
  <si>
    <t>087736438444</t>
  </si>
  <si>
    <t>3173042110850009</t>
  </si>
  <si>
    <t>72.804.558.4-532.000</t>
  </si>
  <si>
    <t>15024244376</t>
  </si>
  <si>
    <t>0001897190853</t>
  </si>
  <si>
    <t>Mandiri : 1380013563700</t>
  </si>
  <si>
    <t>peri.kusnanto@yahoo.com</t>
  </si>
  <si>
    <t>OS1606007</t>
  </si>
  <si>
    <t>Arif Firdaus</t>
  </si>
  <si>
    <t>Jakarta, 5 Maret 1992</t>
  </si>
  <si>
    <t>Jl. Pelatnas PBSI Gg. Perintis I RT 11 / RW 01 No. 12, Cipayung, Jakarta Timur</t>
  </si>
  <si>
    <t>0218454940 / 085777778569</t>
  </si>
  <si>
    <t>3175100503920001</t>
  </si>
  <si>
    <t>14012971207</t>
  </si>
  <si>
    <t>0001370466369 OK</t>
  </si>
  <si>
    <t>Mandiri : 1290010340559</t>
  </si>
  <si>
    <t>arif.firdaus12@gmail.com</t>
  </si>
  <si>
    <t>OS1606023</t>
  </si>
  <si>
    <t>Muhammad Sahal Affani</t>
  </si>
  <si>
    <t>Jakarta, 16 April 1993</t>
  </si>
  <si>
    <t>UMP 2017 eff 1 jan '17 prev. BS 2.325.000; entitle call allw per 22/09/16</t>
  </si>
  <si>
    <t>Jl. Pedurenan Masjid I RT 16 / RW 04 No. 1, Karet Kuningan, Setiabudi, Jakarta Selatan</t>
  </si>
  <si>
    <t xml:space="preserve">(021)5272664   / 081807982823 / 089614504403  </t>
  </si>
  <si>
    <t xml:space="preserve">3174021604930003   </t>
  </si>
  <si>
    <t>76.623.533.7-011.000</t>
  </si>
  <si>
    <t>1771296985 OK</t>
  </si>
  <si>
    <t>BCA : 5020074215</t>
  </si>
  <si>
    <t>sahalaffani5@gmail.com</t>
  </si>
  <si>
    <t>OS1606025</t>
  </si>
  <si>
    <t>Sulaeman</t>
  </si>
  <si>
    <t>Bogor, 28 Mei 1988</t>
  </si>
  <si>
    <t>Jl. Raya Pengasinan Gg. H. Marsan No. 29 RT 02 / RW 06, Kel. Pengasinan Kec. Sawangan, Depok, Jawa Barat 16518</t>
  </si>
  <si>
    <t>089672084023 / 087770925660</t>
  </si>
  <si>
    <t>3276032805880004</t>
  </si>
  <si>
    <t>71.479.310.6-412.000</t>
  </si>
  <si>
    <t>Mandiri : 9000025911091</t>
  </si>
  <si>
    <t>sulaimanace11@gmail.com</t>
  </si>
  <si>
    <t>OS1606026</t>
  </si>
  <si>
    <t>Taufik Sugih Hartono</t>
  </si>
  <si>
    <t>Jakarta, 5 Oktober 1986</t>
  </si>
  <si>
    <t>Jl. Galur Sari No. 18 RT 13/ RW 07, Utan Kayu Utara, Matraman, Jakarta Timur</t>
  </si>
  <si>
    <t xml:space="preserve">0218565011   / 081219169879  </t>
  </si>
  <si>
    <t>3175010510860007</t>
  </si>
  <si>
    <t>44.446.202.2.001.000</t>
  </si>
  <si>
    <t xml:space="preserve">13001602260  </t>
  </si>
  <si>
    <t>1218665823 OK</t>
  </si>
  <si>
    <t>Mandiri : 9000032692023</t>
  </si>
  <si>
    <t xml:space="preserve">taufiksugihhartono@gmail.com       </t>
  </si>
  <si>
    <t>OS1607008</t>
  </si>
  <si>
    <t>Bambang Farouk Sukamto</t>
  </si>
  <si>
    <t>Jakarta, 10 Mei 1978</t>
  </si>
  <si>
    <t>Repair Engineer =&gt; Senior Engineer</t>
  </si>
  <si>
    <t>adj 1 Jan 18 BS prev 2840400 ; UMP 2017 eff 1 jan '17 prev. BS 2.630.000; adjust basic salary 18 oct '16 prev 2.330.000</t>
  </si>
  <si>
    <t>Jl. Rasamala I RT 05 / RW 09 No. 34, Menteng Dalam, Tebet, Jakarta Selatan</t>
  </si>
  <si>
    <t>0812 1030113 / 08176533190</t>
  </si>
  <si>
    <t>3174041005780005</t>
  </si>
  <si>
    <t>59.049.335.9-017.000</t>
  </si>
  <si>
    <t>11003183354</t>
  </si>
  <si>
    <t>Mandiri : 124-00-0472201-4</t>
  </si>
  <si>
    <t>ucha.farae@gmail.com, ucha_farae@yahoo.com</t>
  </si>
  <si>
    <t>OS1702093</t>
  </si>
  <si>
    <t>Abd Azis</t>
  </si>
  <si>
    <t>Jakarta, 3/15/1979</t>
  </si>
  <si>
    <t>Helper Warehouse =&gt; Office Boy 1/1/2018</t>
  </si>
  <si>
    <t>Fajar Sudarmadi</t>
  </si>
  <si>
    <t>WH Manggarai</t>
  </si>
  <si>
    <t xml:space="preserve">adj 1 Jan 18 BS prev 2703750 ; </t>
  </si>
  <si>
    <t xml:space="preserve">Jl. Bangka IX No.21 Rt.012/012 Kel. Pela Mampang Mampang Prapatan Jakarta Selatan </t>
  </si>
  <si>
    <t>087889304991 / 08159638079</t>
  </si>
  <si>
    <t>3174031503790001</t>
  </si>
  <si>
    <t>68.873.815.2.014.000</t>
  </si>
  <si>
    <t>0001770081118</t>
  </si>
  <si>
    <t>BNI : 0345038329</t>
  </si>
  <si>
    <t>cancel move agent</t>
  </si>
  <si>
    <t>OS1702062</t>
  </si>
  <si>
    <t>Akbarullah</t>
  </si>
  <si>
    <t>Jakarta, 1/26/1980</t>
  </si>
  <si>
    <t>Office Boy cum Messenger</t>
  </si>
  <si>
    <t>Plaza 89</t>
  </si>
  <si>
    <t>change taskbase 1 Jan'18 BS prev 2808750 OT prev yes t.bensin parkir+t.servis kend+t.kend prev none</t>
  </si>
  <si>
    <t>Jl. Kayu Manis II Baru No.20 Rt/Rw.005/002 Kayu Manis, Matraman, Jakarta Timur</t>
  </si>
  <si>
    <t>081281846136</t>
  </si>
  <si>
    <t>3171062601800001</t>
  </si>
  <si>
    <t>BELUM PUNYA</t>
  </si>
  <si>
    <t>MANDIRI INDOHR</t>
  </si>
  <si>
    <t>DOBLENAKBAR@GMAIL.COM</t>
  </si>
  <si>
    <t>OS1702101</t>
  </si>
  <si>
    <t>Ari Kurniawan</t>
  </si>
  <si>
    <t>Jakarta, 2 Januari 1987</t>
  </si>
  <si>
    <t>Monitoring Agent</t>
  </si>
  <si>
    <t>Doni Syufri</t>
  </si>
  <si>
    <t xml:space="preserve">adj 1 Jan 18 BS prev 2835000 ; </t>
  </si>
  <si>
    <t>Jl. Meranti 3 Blok B4 No.59 Rt/Rw.006/009 Bekasi Jaya, Bekasi Timur, Kota Bekasi</t>
  </si>
  <si>
    <t>08811426757</t>
  </si>
  <si>
    <t>3275010201870036</t>
  </si>
  <si>
    <t>69.767.108.9.416.000</t>
  </si>
  <si>
    <t>09016871833</t>
  </si>
  <si>
    <t>0001258199381</t>
  </si>
  <si>
    <t>ARI.KOERNIAWAN87@GMAIL.COM</t>
  </si>
  <si>
    <t>OS1702076</t>
  </si>
  <si>
    <t>Aria Jembawan</t>
  </si>
  <si>
    <t>Helper Warehouse</t>
  </si>
  <si>
    <t>Suhadiyono</t>
  </si>
  <si>
    <t>WH Cikarang</t>
  </si>
  <si>
    <t>Kp. Dipo Barat Rt. 001 Rw. 022, kel. Nagasari, Kec. Karawang, Karawang Barat-Jawa Barat</t>
  </si>
  <si>
    <t>08970439372</t>
  </si>
  <si>
    <t>3215012512850004</t>
  </si>
  <si>
    <t>68.012.321.3.408.000</t>
  </si>
  <si>
    <t>11005641714 / 050110200012</t>
  </si>
  <si>
    <t>0001770080962</t>
  </si>
  <si>
    <t>BCA : 1091672320</t>
  </si>
  <si>
    <t>JEMBAWANARYA@GMAIL.COM</t>
  </si>
  <si>
    <t>OS1702063</t>
  </si>
  <si>
    <t>Asmara</t>
  </si>
  <si>
    <t>Jakarta, 12/11/1975</t>
  </si>
  <si>
    <t>Office Girl</t>
  </si>
  <si>
    <t xml:space="preserve">adj 1 Jan 18 BS prev 2808750 ; </t>
  </si>
  <si>
    <t>Gg. Langgar Kebagusan Kecil No.23 Rt.004/03 Kebagusan, Pasar Minggu, Jakarta Selatan</t>
  </si>
  <si>
    <t>081519517525</t>
  </si>
  <si>
    <t>3174075112750005</t>
  </si>
  <si>
    <t>68.012.328.8.012.000</t>
  </si>
  <si>
    <t>MANDIRI : 0700001046957</t>
  </si>
  <si>
    <t>ASMARA.YAHYA@YAHOO.COM</t>
  </si>
  <si>
    <t>OS1702040</t>
  </si>
  <si>
    <t>Bubun</t>
  </si>
  <si>
    <t>Bogor, 6/18/1973</t>
  </si>
  <si>
    <t>Messenger</t>
  </si>
  <si>
    <t>change taskbase 1 Jan'18 BS prev 2835000 OT prev yes t.bensin parkir+t.servis kend+t.kend prev none</t>
  </si>
  <si>
    <t>Mekar Sari Rt/Rw.003/003 Ranggamekar, Kota Bogor Selatan, Kota Bogor</t>
  </si>
  <si>
    <t>085693206014</t>
  </si>
  <si>
    <t>3271011806730004 / 3271012702074764</t>
  </si>
  <si>
    <t>58.470.253.4.404.000</t>
  </si>
  <si>
    <t>TQNBUBUN@GMAIL.COM</t>
  </si>
  <si>
    <t>OS1702072</t>
  </si>
  <si>
    <t>Candra Kusuma Putra</t>
  </si>
  <si>
    <t>Karang Anyar, 5/28/1986</t>
  </si>
  <si>
    <t>Remote Service</t>
  </si>
  <si>
    <t>Muhammad Irian</t>
  </si>
  <si>
    <t>Jl. Makmur Rt.02 Rw.07 No. 71, Kel. Lubang Buaya, Kec. Cipayung, Jakarta Timur 13570</t>
  </si>
  <si>
    <t>085647332241</t>
  </si>
  <si>
    <t>3175102805860007 / 3175102507141003</t>
  </si>
  <si>
    <t>34.920.305.9.009.000</t>
  </si>
  <si>
    <t>11030994633</t>
  </si>
  <si>
    <t>MANDIRI : 9000011074052</t>
  </si>
  <si>
    <t>CANDRAKP28@GMAIL.COM</t>
  </si>
  <si>
    <t>OS1702074</t>
  </si>
  <si>
    <t>Deni Sudana</t>
  </si>
  <si>
    <t>Depok, 12/28/1987</t>
  </si>
  <si>
    <t>Jl. H Sara No.62 Rt/Rw.003/005 Cimpaeun, Tapos, Kota Depok</t>
  </si>
  <si>
    <t>085692755512</t>
  </si>
  <si>
    <t>3276012812870004 / 3276101103140004</t>
  </si>
  <si>
    <t>89.104.295.4.412.000</t>
  </si>
  <si>
    <t>1025505057</t>
  </si>
  <si>
    <t>0001643200446 TIDAK BAYAR</t>
  </si>
  <si>
    <t>BCA : 7150566091</t>
  </si>
  <si>
    <t>DENI.SUDANA2812@GMAIL.COM</t>
  </si>
  <si>
    <t>OS1702077</t>
  </si>
  <si>
    <t>Eko Aryamin</t>
  </si>
  <si>
    <t>Bala Pulang Wetan Rt. 006 Rw. 006 Kec. Balapulang , Kel. Balapulang Wetan. Tegal</t>
  </si>
  <si>
    <t>085777970315 / 081258035751</t>
  </si>
  <si>
    <t>3328041207840010 / 3328042001110532</t>
  </si>
  <si>
    <t>11005642076</t>
  </si>
  <si>
    <t>EKOARYAMIN123@GMAIL.COM</t>
  </si>
  <si>
    <t>OS1702041</t>
  </si>
  <si>
    <t>Eko Mardiyanto</t>
  </si>
  <si>
    <t>Jakarta, 1/17/1975</t>
  </si>
  <si>
    <t>Kebon Baru No.1 Rt.001/012 Kebon Baru, Tebet, Jakarta Selatan</t>
  </si>
  <si>
    <t>05716792604 / 081388619504</t>
  </si>
  <si>
    <t>3174011701750006 / 3174012201094155</t>
  </si>
  <si>
    <t>58.470.260.9.015.000</t>
  </si>
  <si>
    <t>BNI : 0344873554</t>
  </si>
  <si>
    <t>EKOMARDIANTO2016@GMAIL.COM</t>
  </si>
  <si>
    <t>OS1702090</t>
  </si>
  <si>
    <t>Febry Winanto</t>
  </si>
  <si>
    <t>Warehouse Administration</t>
  </si>
  <si>
    <t>Siti Aisah</t>
  </si>
  <si>
    <t>Jl. P Rangas Blok C7/6 Komp. AL Jatimakmur Pondok Gede Bekasi 17413</t>
  </si>
  <si>
    <t>081310069164 / 081314101067</t>
  </si>
  <si>
    <t>3275082702830006 / 3275080307066393 =&gt; S</t>
  </si>
  <si>
    <t>59.021.970.5.063.000</t>
  </si>
  <si>
    <t>11005642100</t>
  </si>
  <si>
    <t>MANDIRI : 1290001318936</t>
  </si>
  <si>
    <t>FEBRY.WINANTO@HMAIL.COM</t>
  </si>
  <si>
    <t>OS1702102</t>
  </si>
  <si>
    <t>Harnas Dirgantara</t>
  </si>
  <si>
    <t>Jakarta, 23 Juni 1986</t>
  </si>
  <si>
    <t>Kp. Kapitan No. 54 Rt.016 Rw.004 Kel. Klender Kec. Duren Sawit, Jakarta Timur</t>
  </si>
  <si>
    <t>08999990989</t>
  </si>
  <si>
    <t>3175072306860007</t>
  </si>
  <si>
    <t>89.398.891.5.008.000</t>
  </si>
  <si>
    <t>11015842989</t>
  </si>
  <si>
    <t>BCA : 4120034045</t>
  </si>
  <si>
    <t>16A2DARK@GMAIL.COM</t>
  </si>
  <si>
    <t>OS1702078</t>
  </si>
  <si>
    <t>Hasan Basri</t>
  </si>
  <si>
    <t>entitle t. jabatan eff 1 Jan'18 prev none</t>
  </si>
  <si>
    <t>Kp. Pulo Kecil Rt.001/04 Desa karang Anyar Kec Karang Bahagia Bekasi 17530</t>
  </si>
  <si>
    <t>085694445985</t>
  </si>
  <si>
    <t>3216100410810002 / 3216102310120034</t>
  </si>
  <si>
    <t>68.012.325.4.414.000</t>
  </si>
  <si>
    <t>MANDIRI : 1560002277194</t>
  </si>
  <si>
    <t>HBASRI422@GMAIL.COM</t>
  </si>
  <si>
    <t>OS1702046</t>
  </si>
  <si>
    <t>Herry Fitri Yanto</t>
  </si>
  <si>
    <t>Jakarta, 5/16/1988</t>
  </si>
  <si>
    <t>Jl. Siaga II Rt.013/004 No.05 Kel. Angke, Tambora, Jakarta Barat</t>
  </si>
  <si>
    <t>021.6348530 / 089644431555</t>
  </si>
  <si>
    <t>3173041605880005</t>
  </si>
  <si>
    <t>57.945.482.8.033.000</t>
  </si>
  <si>
    <t>BCA : 5860142866</t>
  </si>
  <si>
    <t>HERRYFITRIYANTO2016@YAHOO.COM</t>
  </si>
  <si>
    <t>OS1702028</t>
  </si>
  <si>
    <t>Irma Suryani</t>
  </si>
  <si>
    <t>Jakarta, 1/10/1979</t>
  </si>
  <si>
    <t>Purchasing Staff</t>
  </si>
  <si>
    <t>Ucok Sitorus</t>
  </si>
  <si>
    <t>Komp. Dep-Kop I Jl. Kenari Raya No.26 Rt.003/004 Bintara Jaya 1, Bekasi Barat 17136</t>
  </si>
  <si>
    <t>021.8647045 / 08568173140</t>
  </si>
  <si>
    <t>3275025001790029</t>
  </si>
  <si>
    <t>57.111.142.6.407.000</t>
  </si>
  <si>
    <t>0001716879396</t>
  </si>
  <si>
    <t>BCA : 1640509097</t>
  </si>
  <si>
    <t>IRMA.SURYANI.EXT@DIEBOLD.NIXDORF.COM, IRMASOERYANI10@GMAIL.COM</t>
  </si>
  <si>
    <t>OS1702079</t>
  </si>
  <si>
    <t>Iwan Irawan</t>
  </si>
  <si>
    <t>Krajan Gebang Jaya Rt.001/01 Kel. Plawad Kec Karawang Timur, Karawang</t>
  </si>
  <si>
    <t>089673318570</t>
  </si>
  <si>
    <t>3215260109820008 / 3215261212070006 =&gt; S</t>
  </si>
  <si>
    <t>68.012.322.1.408.000</t>
  </si>
  <si>
    <t>BLM DAPAT</t>
  </si>
  <si>
    <t>MANDIRI : 1240007764260</t>
  </si>
  <si>
    <t>IWANIRAWAN1082@GMAIL.COM</t>
  </si>
  <si>
    <t>OS1702047</t>
  </si>
  <si>
    <t>Jeason Krama</t>
  </si>
  <si>
    <t>Komp. Muda Parsi No. 78 Rt 001 Rw 006, Kel. Jatimakmur, Kec. Pondok Gede, Kota Bekasi</t>
  </si>
  <si>
    <t>021.8483416 / 087877735000</t>
  </si>
  <si>
    <t>3275080706900003 / 3275082007070054</t>
  </si>
  <si>
    <t>70.977.662.9.432.000</t>
  </si>
  <si>
    <t>12032933751</t>
  </si>
  <si>
    <t>BCA : 6871275561</t>
  </si>
  <si>
    <t>JEASON.KRAMA@GMAIL.COM</t>
  </si>
  <si>
    <t>OS1702080</t>
  </si>
  <si>
    <t>Juman</t>
  </si>
  <si>
    <t>Gg. Lori Sakti Kalli Abang Tengah Rt. 001 Rw. 001 Bekasi Utara 17125</t>
  </si>
  <si>
    <t>081290510190</t>
  </si>
  <si>
    <t>3275030407770013 / 3275031506070634</t>
  </si>
  <si>
    <t>57.800.491.3.407.000</t>
  </si>
  <si>
    <t>BLM ADA</t>
  </si>
  <si>
    <t>MANDIRI : 1240007764211</t>
  </si>
  <si>
    <t>JOEMAN.JMW@GMAIL.COM</t>
  </si>
  <si>
    <t>OS1702081</t>
  </si>
  <si>
    <t>Jumangin</t>
  </si>
  <si>
    <t>adj 1 Jan 18 BS prev 2835000 ; eff 1 Jan'18 T.jabatan prev 300 rb</t>
  </si>
  <si>
    <t>Villa Mutiara Ckr Blok B1 No.7 Rt.014/07 Kel Ciantra Cikarang Selatan Bekasi</t>
  </si>
  <si>
    <t>081310218916 / 085894740821</t>
  </si>
  <si>
    <t>3216190104700007 / 3216191011110155</t>
  </si>
  <si>
    <t>68.012.324.7.413.000</t>
  </si>
  <si>
    <t>0001770081063</t>
  </si>
  <si>
    <t>BCA : 3430292225</t>
  </si>
  <si>
    <t>JUMANGIN1970@GMAIL.COM</t>
  </si>
  <si>
    <t>OS1702042</t>
  </si>
  <si>
    <t>Lutfi Choir</t>
  </si>
  <si>
    <t>Jakarta, 9/3/1982</t>
  </si>
  <si>
    <t>Kp. Sawah RT.009/001 Kel. Srengseng Sawah, Jagakarsa, Jakarta Selatan, 12640</t>
  </si>
  <si>
    <t>021.78880327 / 081210126169</t>
  </si>
  <si>
    <t>3174090309820017 / 3174091201100025</t>
  </si>
  <si>
    <t>68.652.777.1.017.000</t>
  </si>
  <si>
    <t>0001177603402 MANDIRI PINDAH PT</t>
  </si>
  <si>
    <t>LUTFICHOIR1982@GMAIL.COM</t>
  </si>
  <si>
    <t>OS1702044</t>
  </si>
  <si>
    <t>Muhammad Taufan</t>
  </si>
  <si>
    <t>Jl. Pakarena II No. 179 Rt. 005 Rw. 011 Depok 2 Tengah 16411</t>
  </si>
  <si>
    <t>081710447451</t>
  </si>
  <si>
    <t>3276051709860006 / 3276050705140013</t>
  </si>
  <si>
    <t>36.280.758.8.412.000</t>
  </si>
  <si>
    <t>11011937312</t>
  </si>
  <si>
    <t>BCA : 6610693863</t>
  </si>
  <si>
    <t>MUHAMMAD_TAUFAN_01@YAHOO.COM</t>
  </si>
  <si>
    <t>OS1702082</t>
  </si>
  <si>
    <t>Mardi Nugroho</t>
  </si>
  <si>
    <t>Kranji Rt.001/013 Kel Kranji  Bekasi Barat</t>
  </si>
  <si>
    <t>081281067273</t>
  </si>
  <si>
    <t>3275021703730030 / 3275021011060095</t>
  </si>
  <si>
    <t>68.012.323.9.407.000</t>
  </si>
  <si>
    <t>11005641813</t>
  </si>
  <si>
    <t>0002202857021</t>
  </si>
  <si>
    <t>MANDIRI : 1240007764278</t>
  </si>
  <si>
    <t>NUGROHO.MARDI1973@GMAIL.COM</t>
  </si>
  <si>
    <t>OS1702029</t>
  </si>
  <si>
    <t>Mardiansyah</t>
  </si>
  <si>
    <t>Jakarta, 3/6/1982</t>
  </si>
  <si>
    <t>Warehouse Administration =&gt; Admin Service (Mulai 13 November 2017)</t>
  </si>
  <si>
    <t>Kp. Rawa Bambu No.22 Rt.004/016 Kel. Harapan jaya, Bekasi Utara</t>
  </si>
  <si>
    <t>021.88950923 / 082298483460</t>
  </si>
  <si>
    <t>3275030603820029</t>
  </si>
  <si>
    <t>57.111.161.6.407.000</t>
  </si>
  <si>
    <t>BCA : 7410540511</t>
  </si>
  <si>
    <t>MARDIANSYAH.46@GMAIL.COM</t>
  </si>
  <si>
    <t>OS1702066</t>
  </si>
  <si>
    <t>Moammar Ilyas Sani</t>
  </si>
  <si>
    <t>Jakarta, 5/27/1987</t>
  </si>
  <si>
    <t>Jl. Pulo Gebang (Jl. Warung Nangka) Rt.14/06, No.14, Kel. Pulo Gebang, Kec. Cakung - Jakarta Timur 13950</t>
  </si>
  <si>
    <t>021.48701252 / 081297977656</t>
  </si>
  <si>
    <t>3175062705870010 / 3175063003160017</t>
  </si>
  <si>
    <t>75.739.337.6.006.000</t>
  </si>
  <si>
    <t>09024899297 / 13016700059</t>
  </si>
  <si>
    <t>TIDAK DIBAYAR</t>
  </si>
  <si>
    <t>MOAMMARILYASSANI@GMAIL.COM</t>
  </si>
  <si>
    <t>OS1702045</t>
  </si>
  <si>
    <t>Niken Budi Hastuti</t>
  </si>
  <si>
    <t>Jakarta, 8/5/1983</t>
  </si>
  <si>
    <t>Jl. H. Unus No.41 Rt.001/002 Kel. Larangan Utara, Kec. Larangan, Ciledug, Tangerang. 15154</t>
  </si>
  <si>
    <t>085717372487</t>
  </si>
  <si>
    <t>3671134508830002</t>
  </si>
  <si>
    <t>71.163.092.1.416.000</t>
  </si>
  <si>
    <t>MANDIRI IKUT SUAMI</t>
  </si>
  <si>
    <t>MANDIRI : 1240005357323</t>
  </si>
  <si>
    <t>NIKENBUDI129@GMAIL.COM</t>
  </si>
  <si>
    <t>OS1702009</t>
  </si>
  <si>
    <t>Nurachputi Palupy</t>
  </si>
  <si>
    <t>Jakarta, 6/18/1986</t>
  </si>
  <si>
    <t>HR &amp; GA Staff</t>
  </si>
  <si>
    <t>adj 1 Apr'17 prev 2.808.750</t>
  </si>
  <si>
    <t>Jl. RTM Kelapa Dua Rt. 005 Rw. 010 No. 58 Desa Tugu, Cimanggis, Depok 16951</t>
  </si>
  <si>
    <t>081314943642</t>
  </si>
  <si>
    <t>3276025806860014 / 3276021602120013</t>
  </si>
  <si>
    <t>36.275.438.4.412.000</t>
  </si>
  <si>
    <t>0001766823243</t>
  </si>
  <si>
    <t>BCA : 7660356074</t>
  </si>
  <si>
    <t>PALUPY.PALUPY@GMAIL.COM, PUTI@SERVICE-DIVISION.COM</t>
  </si>
  <si>
    <t>OS1702067</t>
  </si>
  <si>
    <t>Pesta Christanto Manullang</t>
  </si>
  <si>
    <t>Jl. Kedoya No.56, Rt.04/02, Kel. Pondok Cina, Kec. Beji - Depok 16424</t>
  </si>
  <si>
    <t>085281236198</t>
  </si>
  <si>
    <t>1208012312850005 / 3173050712150021</t>
  </si>
  <si>
    <t>88.844.140.9.412.000</t>
  </si>
  <si>
    <t>0002041241106</t>
  </si>
  <si>
    <t>BCA : 4910386919</t>
  </si>
  <si>
    <t>RAJOLOAN@GMAIL.COM</t>
  </si>
  <si>
    <t>OS1702083</t>
  </si>
  <si>
    <t>Purwanto</t>
  </si>
  <si>
    <t>DK.Karangturi Rt.024/012 Kel. Karangnongko, Kec. Karang Nongko, Klaten-Jawa Tengah</t>
  </si>
  <si>
    <t>081381091517</t>
  </si>
  <si>
    <t>3310101502770002 / 3310100607020004</t>
  </si>
  <si>
    <t>35.734.933.1.525.000</t>
  </si>
  <si>
    <t>MANDIRI : 1240007764500</t>
  </si>
  <si>
    <t>PURWANTO2576@GMAIL.COM</t>
  </si>
  <si>
    <t>OS1702084</t>
  </si>
  <si>
    <t>Riki Driyanto</t>
  </si>
  <si>
    <t>Kp. Gandu Rt. 004 Rw. 001 Kel. Suka Mulya Kec. Sukatani</t>
  </si>
  <si>
    <t>0857 77944816</t>
  </si>
  <si>
    <t>3216150904850005</t>
  </si>
  <si>
    <t>68.873.322.8.414.000</t>
  </si>
  <si>
    <t>11005641920</t>
  </si>
  <si>
    <t>0001770081017</t>
  </si>
  <si>
    <t>BCA : 3431451326</t>
  </si>
  <si>
    <t>COCKRIKI49@GMAIL.COM, cocriki49@gmail.com</t>
  </si>
  <si>
    <t>OS1702071</t>
  </si>
  <si>
    <t>Riki Ridwan</t>
  </si>
  <si>
    <t>Bandung, 7/24/1985</t>
  </si>
  <si>
    <t>Perum Duta Mekar Asri B.VI/01 Rt. 016 Rw. 015, Cileungsi Kidul, Cileungsi, Bogor</t>
  </si>
  <si>
    <t>0856 56532655</t>
  </si>
  <si>
    <t>3201072407850008</t>
  </si>
  <si>
    <t>68.873.827.7.436.000</t>
  </si>
  <si>
    <t>0002096067778 PINDAH FASKES</t>
  </si>
  <si>
    <t>MANDIRI : 1320007518302 A.N DINA SEKARTINI PATIMAH</t>
  </si>
  <si>
    <t>IKIBOY1985@GMAIL.COM</t>
  </si>
  <si>
    <t>OS1702043</t>
  </si>
  <si>
    <t>Romelih</t>
  </si>
  <si>
    <t>Tangerang, 7/27/1983</t>
  </si>
  <si>
    <t>Kp. Karang Mulya Rt/Rw.003/003 Karang Mulya, Karang Tengah, Tangerang</t>
  </si>
  <si>
    <t>0813 18395850</t>
  </si>
  <si>
    <t>3671122707830003</t>
  </si>
  <si>
    <t>58.470.285.6.416.000</t>
  </si>
  <si>
    <t>MANDIRI : 0700004740895</t>
  </si>
  <si>
    <t>ROMELIH83@GMAIL.COM</t>
  </si>
  <si>
    <t>OS1702068</t>
  </si>
  <si>
    <t>Boyolali, 12/23/1974</t>
  </si>
  <si>
    <t>Jl. Ampera II No.22C RT.004/009 Ragunan, Pasar Minggu, Jakarta Selatan</t>
  </si>
  <si>
    <t>0813 18678776</t>
  </si>
  <si>
    <t>3204052312740001</t>
  </si>
  <si>
    <t>68.872.559.7.527.000</t>
  </si>
  <si>
    <t>BCA : 3751459571</t>
  </si>
  <si>
    <t>GAK BISA KEBACA</t>
  </si>
  <si>
    <t>OS1702048</t>
  </si>
  <si>
    <t>Siti Chotimah</t>
  </si>
  <si>
    <t>Karang Anyar, 3/27/1985</t>
  </si>
  <si>
    <t>Ciledug Indah II Blok E 23/22 Rt. 007/007 Pedurenan, Karang Tengah, Tangerang 15159</t>
  </si>
  <si>
    <t>0877 74039853</t>
  </si>
  <si>
    <t>3671126703850006</t>
  </si>
  <si>
    <t>79.859.297.8.012.000</t>
  </si>
  <si>
    <t>MANDIRI TUNGGAKAN</t>
  </si>
  <si>
    <t>SITISCOOTER@GMAIL.COM</t>
  </si>
  <si>
    <t>OS1702064</t>
  </si>
  <si>
    <t>Sri Aji Atmono Suryo</t>
  </si>
  <si>
    <t>Jakarta, 2/21/1988</t>
  </si>
  <si>
    <t>Sidamukti Rt/Rw.001/008 Sukamaju, Cilodong, Kota Depok</t>
  </si>
  <si>
    <t>0899 7486951</t>
  </si>
  <si>
    <t>3276012102880004</t>
  </si>
  <si>
    <t>89.102.801.1.412.000</t>
  </si>
  <si>
    <t>09002061753</t>
  </si>
  <si>
    <t>01454117152</t>
  </si>
  <si>
    <t>BCA : 7330387241</t>
  </si>
  <si>
    <t>AJI.ATMONO@GMAIL.COM</t>
  </si>
  <si>
    <t>OS1702097</t>
  </si>
  <si>
    <t>Sutrisno</t>
  </si>
  <si>
    <t>Sukoharjo, 7/9/1979</t>
  </si>
  <si>
    <t>change taskbase 1 Jan'18 BS prev 2703750 OT prev yes t.bensin parkir+t.servis kend+t.kend prev none</t>
  </si>
  <si>
    <t>Lenteng Agung Rt.011/001 Kel Lenteng Agung, Kec. Jagakarsa. Jakarta Selatan 12610</t>
  </si>
  <si>
    <t>0812 13319616</t>
  </si>
  <si>
    <t>3174090907790006</t>
  </si>
  <si>
    <t>68.873.851.7.017.000</t>
  </si>
  <si>
    <t>11005641987</t>
  </si>
  <si>
    <t>BCA : 7180305755</t>
  </si>
  <si>
    <t>SUTRISNOWAREHOUSE@GMAIL.COM</t>
  </si>
  <si>
    <t>OS1702061</t>
  </si>
  <si>
    <t>Suwijo</t>
  </si>
  <si>
    <t>Jakarta, 10/14/1971</t>
  </si>
  <si>
    <t>Kp. Jombang RT.003/003 Kel. Lengkong Gudang Timur, Serpong, Tangerang Selatan</t>
  </si>
  <si>
    <t>0813 87062284</t>
  </si>
  <si>
    <t>3674011410710002</t>
  </si>
  <si>
    <t>58.470.288.0.411.000</t>
  </si>
  <si>
    <t>0001766823388</t>
  </si>
  <si>
    <t>OS1702085</t>
  </si>
  <si>
    <t>Suyono</t>
  </si>
  <si>
    <t>Cempaka Putih Barat No 5 Rt.006/007 Cempaka Putih Barat, Cempaka Putih</t>
  </si>
  <si>
    <t>0812 13135847</t>
  </si>
  <si>
    <t>3171052402830003</t>
  </si>
  <si>
    <t>47.590.029.6.024.000</t>
  </si>
  <si>
    <t>13016700240</t>
  </si>
  <si>
    <t>MANDIRI : 1240007764443</t>
  </si>
  <si>
    <t>DOANKSUYONO83@GMAIL.COM</t>
  </si>
  <si>
    <t>OS1702056</t>
  </si>
  <si>
    <t>Tesar Syahrizal</t>
  </si>
  <si>
    <t>Bekasi, 5/1/1990</t>
  </si>
  <si>
    <t>Jl. Cempaka IV Blok F.10 No.18 Rt.002 Rw.014  Kel. Duren Jaya, Kec. Bekasi Timur, Kota Bekasi</t>
  </si>
  <si>
    <t>0812 95360607</t>
  </si>
  <si>
    <t>3275010105900009</t>
  </si>
  <si>
    <t>66.937.724.4.407.000</t>
  </si>
  <si>
    <t>0001455529083</t>
  </si>
  <si>
    <t>BCA : 6755088084</t>
  </si>
  <si>
    <t>TESARRALUK@YAHOO.CO.ID</t>
  </si>
  <si>
    <t>OS1702049</t>
  </si>
  <si>
    <t>Tri Lucky Hermawan</t>
  </si>
  <si>
    <t>Jakarta, 4/12/1985</t>
  </si>
  <si>
    <t>Jl. Wijaya Kusuma B/15 RT.011/003 Ujung Menteng, Cakung, Jakarta Timur 13960</t>
  </si>
  <si>
    <t>0896 82601661</t>
  </si>
  <si>
    <t>3175061204850001</t>
  </si>
  <si>
    <t>46.076.994.6.006.000</t>
  </si>
  <si>
    <t>12032933769</t>
  </si>
  <si>
    <t>BCA : 6240742061</t>
  </si>
  <si>
    <t>TRILUCKYH@YAHOO.COM</t>
  </si>
  <si>
    <t>OS1702086</t>
  </si>
  <si>
    <t>Tria Haristianto</t>
  </si>
  <si>
    <t>DK KRAJAN Rt. 001 Rw. 004 Kel. Krakal Kec. Alian, Kebumen-Jawa Tengah</t>
  </si>
  <si>
    <t>0857 74866554</t>
  </si>
  <si>
    <t>3305112312910002</t>
  </si>
  <si>
    <t>72.728.111.5.523.000</t>
  </si>
  <si>
    <t>13016700232</t>
  </si>
  <si>
    <t>MANDIRI : 1240007764195</t>
  </si>
  <si>
    <t>TRIA_THECOLE@YAHOO.COM</t>
  </si>
  <si>
    <t>OS1702075</t>
  </si>
  <si>
    <t>Upi Indah Lestari</t>
  </si>
  <si>
    <t>Jakarta, 12/21/1992</t>
  </si>
  <si>
    <t>Tax Staff</t>
  </si>
  <si>
    <t>Hendrik Lukman</t>
  </si>
  <si>
    <t>Jl. Prumpung Barat No.6 Rt.009/005 Rawa Bunga, Jatinegara, Jakarta Timur</t>
  </si>
  <si>
    <t>0877 76155669</t>
  </si>
  <si>
    <t>3175036112920008</t>
  </si>
  <si>
    <t>54.302.703.1.002.000</t>
  </si>
  <si>
    <t>0001766638664</t>
  </si>
  <si>
    <t>BCA : 7660358271</t>
  </si>
  <si>
    <t>UPIINDAHLESTARI92@GMAIL.COM, UPI.INDAH@SERVICE_DIVISION.COM</t>
  </si>
  <si>
    <t>OS1702087</t>
  </si>
  <si>
    <t>Widodo Sidik Triyanto</t>
  </si>
  <si>
    <t>Kp. Pasirkonci Rt.018/007 Kel. Pasirsari Cikarang Selatan Bekasi</t>
  </si>
  <si>
    <t>0812 12665923</t>
  </si>
  <si>
    <t>3216192402670002</t>
  </si>
  <si>
    <t>68.873.820.2.413.000</t>
  </si>
  <si>
    <t>11005642043</t>
  </si>
  <si>
    <t>BCA : 8760756599</t>
  </si>
  <si>
    <t>WS.TRIYANTO24@GMAIL.COM</t>
  </si>
  <si>
    <t>OS1702050</t>
  </si>
  <si>
    <t>Winda Herawaty</t>
  </si>
  <si>
    <t>Jakarta, 8/23/1982</t>
  </si>
  <si>
    <t>Jl. Walang Dalam No.14 Rt.002/012 Tugu Utara, Koja, Jakarta Utara.14260</t>
  </si>
  <si>
    <t>0813 14447646</t>
  </si>
  <si>
    <t>3172036308820002</t>
  </si>
  <si>
    <t>66.761.826.8.045.000</t>
  </si>
  <si>
    <t>10016425315</t>
  </si>
  <si>
    <t>BCA : 0354204891</t>
  </si>
  <si>
    <t>OS1702036</t>
  </si>
  <si>
    <t>Yulia</t>
  </si>
  <si>
    <t>Jakarta, 7/24/1979</t>
  </si>
  <si>
    <t>Accounting Payble =&gt; admin service 1/12/2017</t>
  </si>
  <si>
    <t>Jl. Cipinang Jagal Rt.005/016 Cipinang, Pulogadung, Jakarta Timur</t>
  </si>
  <si>
    <t>0812 8858739</t>
  </si>
  <si>
    <t>3175026407790004</t>
  </si>
  <si>
    <t>BNI : 0315374720</t>
  </si>
  <si>
    <t>YULIA.YULIA.EXT@DIEBOLDNIXDORF.COM, LIAQUIN0412@YAHOO.COM</t>
  </si>
  <si>
    <t>OS1702055</t>
  </si>
  <si>
    <t>Abdul Rohim</t>
  </si>
  <si>
    <t>Jakarta, 5/15/1981</t>
  </si>
  <si>
    <t>Jl. Anyer V No.10 Rt. 005 Rw. 002, Kel. Menteng, Kec. Menteng, Jakarta Pusat 10310</t>
  </si>
  <si>
    <t>087876272614</t>
  </si>
  <si>
    <t>3171081505810002</t>
  </si>
  <si>
    <t>44.044.103.8.071.000</t>
  </si>
  <si>
    <t>BCA : 8780038714</t>
  </si>
  <si>
    <t>ABDULROHIM15@GMAIL.COM</t>
  </si>
  <si>
    <t>OS1702052</t>
  </si>
  <si>
    <t>Edi Setiyono</t>
  </si>
  <si>
    <t>Jakarta, 12/18/1988</t>
  </si>
  <si>
    <t>Jl. Lontar Dalam NO.17 Rt/Rw.008/005 Tugu Utara, Koja, Jakarta Utara</t>
  </si>
  <si>
    <t>021.4373032</t>
  </si>
  <si>
    <t>3172031812880007 / 3172032001099195</t>
  </si>
  <si>
    <t>ADA</t>
  </si>
  <si>
    <t>13023561718</t>
  </si>
  <si>
    <t xml:space="preserve">BNI : </t>
  </si>
  <si>
    <t>OS1702053</t>
  </si>
  <si>
    <t>Erwin Setiawan</t>
  </si>
  <si>
    <t>Depok, 4/29/1982</t>
  </si>
  <si>
    <t>Monitoring Agent =&gt; DB, CRM and Report Agent</t>
  </si>
  <si>
    <t>adj 1 Jan 18 BS prev 2835000 ; CHANGE TITLE E_22/2/2017</t>
  </si>
  <si>
    <t>Kp. Pancoran Mas No. 8 Rt. 002 Rw. 006, Pancoran Mas, Depok</t>
  </si>
  <si>
    <t>081219704349</t>
  </si>
  <si>
    <t>3276012904820003 / 3276010412070943</t>
  </si>
  <si>
    <t>57.476.114.4.412.000</t>
  </si>
  <si>
    <t>13023561726</t>
  </si>
  <si>
    <t>MANDIRI : 1270006129330</t>
  </si>
  <si>
    <t>ERWINKELLYSON46@GMAIL.COM</t>
  </si>
  <si>
    <t>OS1702088</t>
  </si>
  <si>
    <t>Ahmad Mukhlis</t>
  </si>
  <si>
    <t>Jl. RH. Umar Kp. Ceger Rt. 007 Rw. 018 Kel. Jakasetia, Kec. Bekasi Selatan. Bekasi</t>
  </si>
  <si>
    <t>021.82424524 / 081317534029</t>
  </si>
  <si>
    <t>3275040101840049</t>
  </si>
  <si>
    <t>71.632.470.2.432.000</t>
  </si>
  <si>
    <t>14024895667</t>
  </si>
  <si>
    <t>MANDIRI : 1240007764682</t>
  </si>
  <si>
    <t>AHMADMUKLIS231@GMAIL.COM</t>
  </si>
  <si>
    <t>OS1702089</t>
  </si>
  <si>
    <t>Iwan Setiawan</t>
  </si>
  <si>
    <t>089529425820</t>
  </si>
  <si>
    <t>3275040606810013 / 3275042103070167 =&gt; M1</t>
  </si>
  <si>
    <t>81.240.994.3-432.000</t>
  </si>
  <si>
    <t>MANDIRI : 1240007764138</t>
  </si>
  <si>
    <t>CAGLAKS90@GMAIL.COM</t>
  </si>
  <si>
    <t>OS1702103</t>
  </si>
  <si>
    <t>Iyur Una Irewadi</t>
  </si>
  <si>
    <t>Jakarta, 10/10/1980</t>
  </si>
  <si>
    <t>Jl. Prof Dr Hamka Gg. Habib Novel II No.113 RT.004/001 Larangan Selatan, Tangerang-Banten</t>
  </si>
  <si>
    <t>081219211819</t>
  </si>
  <si>
    <t>3671131010800007 / 3671133012080007 =&gt; M2</t>
  </si>
  <si>
    <t>55.943.713.2.416.000</t>
  </si>
  <si>
    <t>BCA : 3450066311</t>
  </si>
  <si>
    <t>IYUR_UNA@YAHOO.COM</t>
  </si>
  <si>
    <t>OS1702098</t>
  </si>
  <si>
    <t>Hasby Ardhy</t>
  </si>
  <si>
    <t>Jakarta, 6/25/1983</t>
  </si>
  <si>
    <t>Jl. Cipayung Setu Rt.005/004 Kel. Cilangkap, Kec. Cipayung. Jakarta Timur</t>
  </si>
  <si>
    <t>085718810972</t>
  </si>
  <si>
    <t>3275052506830010 / 3175101110121006</t>
  </si>
  <si>
    <t>68.873.817.8.432.000</t>
  </si>
  <si>
    <t>BCA : 6281092356</t>
  </si>
  <si>
    <t>ASBOY_ARDHY@YAHOO.COM</t>
  </si>
  <si>
    <t>OS1702038</t>
  </si>
  <si>
    <t>Poetri Ariesmawati</t>
  </si>
  <si>
    <t>Jakarta, 3/26/1986</t>
  </si>
  <si>
    <t>Accounting Staff =&gt; Sales &amp; Marketing Admin =&gt; admin service 23/10/2017</t>
  </si>
  <si>
    <t>change posisi Feb'17 e_5/5/2017</t>
  </si>
  <si>
    <t>Jl. Cempaka Bulak No.35 Rt/Rw.001/004 Jaticempaka, Pondokgede, Kota Bekasi</t>
  </si>
  <si>
    <t>082114373615 / 085810300026</t>
  </si>
  <si>
    <t>3275086606860058</t>
  </si>
  <si>
    <t>35.726.643.6.432.000</t>
  </si>
  <si>
    <t>BCA : 5790183748</t>
  </si>
  <si>
    <t>POETRI_ARIES86@YAHOO.COM</t>
  </si>
  <si>
    <t>OS1702005</t>
  </si>
  <si>
    <t>Fatharani Sofyan</t>
  </si>
  <si>
    <t>Payakumbuh, 5/23/1990</t>
  </si>
  <si>
    <t>Software Quality Assurance</t>
  </si>
  <si>
    <t>Paulus Prapantja</t>
  </si>
  <si>
    <t>BII</t>
  </si>
  <si>
    <t>BS * 150%</t>
  </si>
  <si>
    <t>BS * 150% per year</t>
  </si>
  <si>
    <t>RI RJ 400 KCMT 600</t>
  </si>
  <si>
    <t>Jl. Anyelir Raya K1/4 Pondok Hijau Permai Rt/Rw.004/014 Pengasinan, Rawa Lumbu, Bekasi Timur 17115</t>
  </si>
  <si>
    <t>021.82420924 / 08986083161 085215911305</t>
  </si>
  <si>
    <t>3275056305900021 / 3275052407069860</t>
  </si>
  <si>
    <t>45.861.180.3.432.000</t>
  </si>
  <si>
    <t>12035124598</t>
  </si>
  <si>
    <t>0001459076703</t>
  </si>
  <si>
    <t>BCA : 8415076076</t>
  </si>
  <si>
    <t>FATHARANIISOFYAN@GMAIL.COM</t>
  </si>
  <si>
    <t>OS1702035</t>
  </si>
  <si>
    <t>Vidia Andriani</t>
  </si>
  <si>
    <t>Jakarta,5/12/1988</t>
  </si>
  <si>
    <t>Account Receivable Staff</t>
  </si>
  <si>
    <t>Jl. Bunga Rampai I/4 No.14 RT. 007/009 Kel. Malaka Jaya, Duren Sawit, Jakarta Timur</t>
  </si>
  <si>
    <t>021.8200156 / 0822 98222205</t>
  </si>
  <si>
    <t>3275045205880013</t>
  </si>
  <si>
    <t>69.215.440.4.008.999</t>
  </si>
  <si>
    <t>0001971279843</t>
  </si>
  <si>
    <t>BCA : 5790261323</t>
  </si>
  <si>
    <t>ANDRIANIVIDIA@YAHOO.CO.ID</t>
  </si>
  <si>
    <t>OS1702030</t>
  </si>
  <si>
    <t>Elfira Tsaltsalbia</t>
  </si>
  <si>
    <t>Jakarta, 6/21/1993</t>
  </si>
  <si>
    <t>Jl. Kramat Lontar J 149 RT.007/001 Kel. Paseban, Senen, Jakarta Pusat 10440</t>
  </si>
  <si>
    <t>085624256056</t>
  </si>
  <si>
    <t>3171046106930001 / 3171041001090080</t>
  </si>
  <si>
    <t>66.377.171.5.023.000</t>
  </si>
  <si>
    <t>0001279128824</t>
  </si>
  <si>
    <t>BCA : 6340251821</t>
  </si>
  <si>
    <t>ELFIRATSALTSALBIA@YAHOO.COM</t>
  </si>
  <si>
    <t>OS1702111</t>
  </si>
  <si>
    <t>Rika Trisnawati Virlani</t>
  </si>
  <si>
    <t>Jakarta, 11/22/1983</t>
  </si>
  <si>
    <t>Sales &amp; Marketing Administration</t>
  </si>
  <si>
    <t>Jl. Tanah Rendah No.10 Rt/Rw.007/007 Kp. Melayu. Jatinegara, Jakarta Timur</t>
  </si>
  <si>
    <t>0882 13325430</t>
  </si>
  <si>
    <t>3173066211830010</t>
  </si>
  <si>
    <t>46.280.665.4.002.000</t>
  </si>
  <si>
    <t>BCA : 7660356104</t>
  </si>
  <si>
    <t>GLASS_SHOES22@YAHOO.COM</t>
  </si>
  <si>
    <t>OS1702105</t>
  </si>
  <si>
    <t>Armi Dwi Cahyani</t>
  </si>
  <si>
    <t>Bogor, 8/26/1989</t>
  </si>
  <si>
    <t>Jl. Radar Auri Kp. Tipar RT.04/010 No.46 Mekarsari, Cimanggis, Depok</t>
  </si>
  <si>
    <t>089504185585</t>
  </si>
  <si>
    <t>3276026608890008</t>
  </si>
  <si>
    <t>36.089.523.9.412.000</t>
  </si>
  <si>
    <t>14024895535</t>
  </si>
  <si>
    <t>BCA : 1660137781</t>
  </si>
  <si>
    <t>ARMI_DWICAHYANI@YAHOO.COM</t>
  </si>
  <si>
    <t>OS1702031</t>
  </si>
  <si>
    <t>Muplih Akbar</t>
  </si>
  <si>
    <t>Jakarta, 1/18/1991</t>
  </si>
  <si>
    <t>Kp. Kalibata RT.010/006 Srengseng Sawah, Jagakarsa. Jakarta Selatan</t>
  </si>
  <si>
    <t>082299424982</t>
  </si>
  <si>
    <t>3174091801910003 / 3174091001092730</t>
  </si>
  <si>
    <t>70.151.965.4.017.000</t>
  </si>
  <si>
    <t>BCA : 7330388778</t>
  </si>
  <si>
    <t>MUPLIHAKBAR@GMAIL.COM</t>
  </si>
  <si>
    <t>OS1702013</t>
  </si>
  <si>
    <t>Rendy Octavian Dantjie</t>
  </si>
  <si>
    <t>IT Staff</t>
  </si>
  <si>
    <t>Ariayuda Satriagora</t>
  </si>
  <si>
    <t>Villa pertiwi Blok I3 No.17 RT.001/015 Cimaggis Depok 16415</t>
  </si>
  <si>
    <t>021.8756881 / 0857 76116236</t>
  </si>
  <si>
    <t>3276052010790013</t>
  </si>
  <si>
    <t>70.490.316.0.412.000</t>
  </si>
  <si>
    <t>15012724629</t>
  </si>
  <si>
    <t>BELUM ADA</t>
  </si>
  <si>
    <t>ROCKTAVIAN@GMAIL.COM</t>
  </si>
  <si>
    <t>OS1702058</t>
  </si>
  <si>
    <t>Selamet</t>
  </si>
  <si>
    <t>Jakarta, 2/26/1982</t>
  </si>
  <si>
    <t>Jl. Al Amin RT.007 RW.06 No.33 Kramat Jati. Jakarta Timur 13510</t>
  </si>
  <si>
    <t>0882 12762490</t>
  </si>
  <si>
    <t>3175042602820003</t>
  </si>
  <si>
    <t>57.800.443.4.005.000</t>
  </si>
  <si>
    <t>14035403824</t>
  </si>
  <si>
    <t>0000370049297</t>
  </si>
  <si>
    <t>BCA : 2730066344</t>
  </si>
  <si>
    <t>SELAMET.JKT2014@GMAIL.COM</t>
  </si>
  <si>
    <t>OS1702106</t>
  </si>
  <si>
    <t>Umar</t>
  </si>
  <si>
    <t>Jakarta, 9/19/1984</t>
  </si>
  <si>
    <t>Kp. Rawa Domba RT.004/07 No.13 Duren Sawit, Jakarta Timur</t>
  </si>
  <si>
    <t>0897 5413373</t>
  </si>
  <si>
    <t>3175071909840009</t>
  </si>
  <si>
    <t>73.638.585.7.008.000</t>
  </si>
  <si>
    <t>13015386215</t>
  </si>
  <si>
    <t>BCA : 2301332124</t>
  </si>
  <si>
    <t>UMAR.DOANK46@GMAIL.COM</t>
  </si>
  <si>
    <t>OS1702109</t>
  </si>
  <si>
    <t>Mochamad Suhaemi</t>
  </si>
  <si>
    <t>Jakarta, 8/6/1984</t>
  </si>
  <si>
    <t>Replanishment Planner and Forecaster Cash</t>
  </si>
  <si>
    <t>Umar Sajab</t>
  </si>
  <si>
    <t>Jl. Damai Kp. Setu RT. 004 RW. 002 Ciganjur-Jagakarsa, Jakarta Selatan</t>
  </si>
  <si>
    <t>081322298701</t>
  </si>
  <si>
    <t>3174090608840011 / 3174091405131022</t>
  </si>
  <si>
    <t>71.379.598.7.017.000</t>
  </si>
  <si>
    <t>0001141350186</t>
  </si>
  <si>
    <t>BCA : 7660355213</t>
  </si>
  <si>
    <t>MSUHAEMI@GMAIL.COM</t>
  </si>
  <si>
    <t>OS1702112</t>
  </si>
  <si>
    <t>Juni Darmanto</t>
  </si>
  <si>
    <t>Padang, 6/21/1989</t>
  </si>
  <si>
    <t>SMC Administrator</t>
  </si>
  <si>
    <t>Limau Manis Rt. 002 Rw. 004, Kec. Pauh, Kel. Limau Manis, Padang</t>
  </si>
  <si>
    <t>081284507764</t>
  </si>
  <si>
    <t>1371082106890001 / 1371081907070056</t>
  </si>
  <si>
    <t>71.923.014.6.201.000</t>
  </si>
  <si>
    <t>BELUM DAPAT</t>
  </si>
  <si>
    <t>JUNI_DARMANTO@YAHOO.CO.UK</t>
  </si>
  <si>
    <t>OS1702113</t>
  </si>
  <si>
    <t>Riki Wijanarko</t>
  </si>
  <si>
    <t>Jl. Bumi Raya VI No. 16 Rt. 009 Rw. 003, Kec. Duren Sawit, Kel. Duren sawit, Duren Sawit-Jakarta Timur</t>
  </si>
  <si>
    <t>021.86607001 / 0838 66345671</t>
  </si>
  <si>
    <t>3175072910870013</t>
  </si>
  <si>
    <t>79.642.757.3.008.000</t>
  </si>
  <si>
    <t>13031526174</t>
  </si>
  <si>
    <t>JAGRO_RIKI@YAHOO.COM</t>
  </si>
  <si>
    <t>OS1702110</t>
  </si>
  <si>
    <t>Ahmad Rifai</t>
  </si>
  <si>
    <t>Jakarta, 5/27/1982</t>
  </si>
  <si>
    <t>Jl. Perintis Kuningan Timur Rt. 002 Rw. 005 No. 36 Kuningan Timur, Setiabudi, Jakarta Selatan</t>
  </si>
  <si>
    <t>08788 7474833</t>
  </si>
  <si>
    <t>3174022705820003</t>
  </si>
  <si>
    <t>48.843.139.6.017.000</t>
  </si>
  <si>
    <t>BCA : 5540231518</t>
  </si>
  <si>
    <t>AHMAD.RIFAI@SERVICE-DIVISION.COM, AREEFAAI@GMAIL.COM</t>
  </si>
  <si>
    <t>OS1702021</t>
  </si>
  <si>
    <t>Riandi Handojo</t>
  </si>
  <si>
    <t>Jakarta, 1/26/1993</t>
  </si>
  <si>
    <t>Software Consultant</t>
  </si>
  <si>
    <t xml:space="preserve">Jl. Gading Elok Barat 1 CA 1 No. 9 Kelapa Gading, Jakarta Utara 14240 </t>
  </si>
  <si>
    <t>0813 81126752 / 021.4531345</t>
  </si>
  <si>
    <t>3172062601930001</t>
  </si>
  <si>
    <t>73.501.613.1.043.000</t>
  </si>
  <si>
    <t>15049272741</t>
  </si>
  <si>
    <t>BCA : 5271143711</t>
  </si>
  <si>
    <t>RIANDI.HANDOJO.EXT@DIEBOLDNIXDORF.COM.LOHENGGRIN@GMAIL.COM</t>
  </si>
  <si>
    <t>OS1702012</t>
  </si>
  <si>
    <t>Aris Baskoro</t>
  </si>
  <si>
    <t>Jakarta, 24 Juli 1991</t>
  </si>
  <si>
    <t>IT Specialist</t>
  </si>
  <si>
    <t>Samuel Cahyadi</t>
  </si>
  <si>
    <t>Jl. Jatimakmur No. 115 Rt. 003 Rw. 012 Kel. Jatimakmur Kec. Pondok Gede Bekasi</t>
  </si>
  <si>
    <t>0838 70104085</t>
  </si>
  <si>
    <t>3275082407910014</t>
  </si>
  <si>
    <t>72.453.616.4.432.000</t>
  </si>
  <si>
    <t>15052205208</t>
  </si>
  <si>
    <t>0001282405983</t>
  </si>
  <si>
    <t>BCA : 6870868373</t>
  </si>
  <si>
    <t>ARISBASKORO.ABAS@GMAIL.COM</t>
  </si>
  <si>
    <t>OS1702022</t>
  </si>
  <si>
    <t>Angga Syukur Wibisono</t>
  </si>
  <si>
    <t>Jakarta, 12/1/1991</t>
  </si>
  <si>
    <t>Juniando</t>
  </si>
  <si>
    <t>Jl. Perkutut Blok K9 No. 6 Rt. 016 Rw. 008 Kel. Pondok Kacang Timur Kec. Pondok Aren. Tangerang Selatan</t>
  </si>
  <si>
    <t>085693310252</t>
  </si>
  <si>
    <t>3674030112910001</t>
  </si>
  <si>
    <t>64.102.320.5.411.000</t>
  </si>
  <si>
    <t>15052205216</t>
  </si>
  <si>
    <t>0001457663883</t>
  </si>
  <si>
    <t>BCA : 4740523801</t>
  </si>
  <si>
    <t>ASYUKURW@GMAIL.COM</t>
  </si>
  <si>
    <t>OS1702023</t>
  </si>
  <si>
    <t>Johan Pratama</t>
  </si>
  <si>
    <t>Jakarta, 9/12/1992</t>
  </si>
  <si>
    <t>Pondok Ungu Permai Gg 6/16 Rt. 006 Rw.023 Kel. Kaliabang Tengah Kec. Bekasi Utara, Kota Bekasi</t>
  </si>
  <si>
    <t>88989351 / 082114630031</t>
  </si>
  <si>
    <t>3275031209920011  / 3275031202080144</t>
  </si>
  <si>
    <t>74.217.154.9.407.000</t>
  </si>
  <si>
    <t>15056735010</t>
  </si>
  <si>
    <t>BONGKARKOMPI@GMAIL.COM, PRATAMA.JOHAN.EXT@DIEBOLDNIXDORF.COM</t>
  </si>
  <si>
    <t>OS1702108</t>
  </si>
  <si>
    <t>Eko Harsono</t>
  </si>
  <si>
    <t>Jakarta, 2/22/1986</t>
  </si>
  <si>
    <t>Jl. Cempaka Sari III NO. 08 Rt. 008 Rw. 008 Kel. Harapan Mulya Kec. Kemayoran Jakarta Selatan</t>
  </si>
  <si>
    <t>081282300190</t>
  </si>
  <si>
    <t>3171032202860004</t>
  </si>
  <si>
    <t>25.663.209.2.027.000</t>
  </si>
  <si>
    <t>14016620628</t>
  </si>
  <si>
    <t>BCA : 7660288524</t>
  </si>
  <si>
    <t>EKO.HARSONO22@GMAIL.COM</t>
  </si>
  <si>
    <t>OS1702054</t>
  </si>
  <si>
    <t>M. Reza Perdana Putera</t>
  </si>
  <si>
    <t>Jakarta, 6/4/1990</t>
  </si>
  <si>
    <t>Kavling DKI Jl. Taman Malaka Selatan Blok A6 No. 3 Rt/Rw.007/011 Kec. Malaka Jaya Kel. Duren Sawit , Jakarta Timur</t>
  </si>
  <si>
    <t>021.8645993 / 087885274422</t>
  </si>
  <si>
    <t>3175070406900015 / 3175070312100069</t>
  </si>
  <si>
    <t>75.408.563.7.008.000</t>
  </si>
  <si>
    <t>16020800328</t>
  </si>
  <si>
    <t>0001452952585</t>
  </si>
  <si>
    <t>BCA : 2301959364</t>
  </si>
  <si>
    <t>REZAPERDANAPUTRA04@GMAIL.COM</t>
  </si>
  <si>
    <t>OS1702059</t>
  </si>
  <si>
    <t>Bimo Catur Arisabara</t>
  </si>
  <si>
    <t>Bekasi, 2/12/1993</t>
  </si>
  <si>
    <t>Perum Bekasi Permai Blok AF.09 Rt. 001 Rw. 015, Bekasi Jaya, Bekasi Timur</t>
  </si>
  <si>
    <t>021.88348164 / 08978109909</t>
  </si>
  <si>
    <t>3275011202930025 / 3275012305070333</t>
  </si>
  <si>
    <t>80.217.822.8.407.000</t>
  </si>
  <si>
    <t>16033717626</t>
  </si>
  <si>
    <t>0001964464918</t>
  </si>
  <si>
    <t>BCA : 0660750771</t>
  </si>
  <si>
    <t>BIMO.CATUR@YAHOO.COM</t>
  </si>
  <si>
    <t>OS1702032</t>
  </si>
  <si>
    <t>Diah Ajeng Puspitosari</t>
  </si>
  <si>
    <t>Jakarta, 12/22/1994</t>
  </si>
  <si>
    <t>Jl. Taman Sari I No. 68 Rt. 002 Rw. 003, Kel. Lebak Bulus, Kec. Cilandak, Jakarta Selatan</t>
  </si>
  <si>
    <t>087886801288</t>
  </si>
  <si>
    <t>3174066212940004</t>
  </si>
  <si>
    <t>76.582.056.8.016.000</t>
  </si>
  <si>
    <t>16035605712</t>
  </si>
  <si>
    <t>BCA : 5750492608</t>
  </si>
  <si>
    <t>DIAHAJENGPS@GMAIL.COM</t>
  </si>
  <si>
    <t>OS1702033</t>
  </si>
  <si>
    <t>Melinda Cindy Arista</t>
  </si>
  <si>
    <t>Bekasi, 5/2/1994</t>
  </si>
  <si>
    <t>Jl. Wijaya Kusuma 8 No. 221 Rt. 001 Rw. 004, Kel. Jaka Sampurna, Kec. Bekasi Barat, Bekasi</t>
  </si>
  <si>
    <t>021.8843895 / 085776531537</t>
  </si>
  <si>
    <t>3275024205940014 / 3275020108062139</t>
  </si>
  <si>
    <t>74.823.660.1.427.000</t>
  </si>
  <si>
    <t xml:space="preserve">BCA : 5750492594 </t>
  </si>
  <si>
    <t>MELINDAARISTA@GMAIL.COM</t>
  </si>
  <si>
    <t>OS1702017</t>
  </si>
  <si>
    <t>Thahara Adzania</t>
  </si>
  <si>
    <t>Jakarta, 5/5/1995</t>
  </si>
  <si>
    <t>Receptionist cum Admin</t>
  </si>
  <si>
    <t xml:space="preserve">adj 1 Jan 18 BS prev 2782500 ; </t>
  </si>
  <si>
    <t>KKDR Sektor Roma Blok W7 No. 33 Rt. 002 Rw. 006, Kel. Jatimulya, Kec. Cilodong, Depok, Jawa Barat</t>
  </si>
  <si>
    <t>0822 10494558</t>
  </si>
  <si>
    <t>3276054505950015</t>
  </si>
  <si>
    <t>16035605761</t>
  </si>
  <si>
    <t>MANDIRI : 1570005478962</t>
  </si>
  <si>
    <t>ADZANIATHAHARA@GMAIL.COM</t>
  </si>
  <si>
    <t>OS1702092</t>
  </si>
  <si>
    <t>Adel Saputra</t>
  </si>
  <si>
    <t>Jl. Swasembada Timur 23 No. 11 Rt. 011 Rw. 006, Kel. Kebun Binatang, Kec. Tanjung Priok, Jakarta Utara</t>
  </si>
  <si>
    <t>082312785655</t>
  </si>
  <si>
    <t>1310022312910001</t>
  </si>
  <si>
    <t>81.287.786.8.042.000</t>
  </si>
  <si>
    <t>16040553311</t>
  </si>
  <si>
    <t>MANDIRI : 1240007764344</t>
  </si>
  <si>
    <t>ADHEL.PUTRA32@GMAIL.COM</t>
  </si>
  <si>
    <t>OS1706005</t>
  </si>
  <si>
    <t>Soepriyanto Kurniawan</t>
  </si>
  <si>
    <t>Jakarta, 18 April 1981</t>
  </si>
  <si>
    <t>Monitoring Controller</t>
  </si>
  <si>
    <t>Jl. Madrasah No.44 Rt/Rw.014 Kel. Cibubur Kec. Ciracas, Jakarta Timur 13720</t>
  </si>
  <si>
    <t>081399123567</t>
  </si>
  <si>
    <t>3175091804810006</t>
  </si>
  <si>
    <t>26.512.530.2-009.000</t>
  </si>
  <si>
    <t>BNI 0344870836</t>
  </si>
  <si>
    <t>s.kurniawan@service-division.com</t>
  </si>
  <si>
    <t>OS1706006</t>
  </si>
  <si>
    <t>Teguh Prayogi</t>
  </si>
  <si>
    <t>Jakarta, 29 Januari 1985</t>
  </si>
  <si>
    <t>Cash Agent</t>
  </si>
  <si>
    <t>Jl. Pulo Gebang No.60 Rt/Rw.011/006 Pulo Gebang, Cakung, Jakarta Timur</t>
  </si>
  <si>
    <t xml:space="preserve">08118149000  </t>
  </si>
  <si>
    <t xml:space="preserve">3175062901850002   </t>
  </si>
  <si>
    <t>87.724.0150-006.000</t>
  </si>
  <si>
    <t xml:space="preserve">08024544689   </t>
  </si>
  <si>
    <t xml:space="preserve">0002095394499   </t>
  </si>
  <si>
    <t>BCA 6240388624</t>
  </si>
  <si>
    <t xml:space="preserve">prayogie.teguh@gmail.com       </t>
  </si>
  <si>
    <t>OS1706007</t>
  </si>
  <si>
    <t>Mizwar Zamroni</t>
  </si>
  <si>
    <t>Jakarta, 25 Desember 1988</t>
  </si>
  <si>
    <t>Jl. Suci Rt/Rw.004/03 Kel. Susukan Kec. Ciracas, Jakarta Timur</t>
  </si>
  <si>
    <t xml:space="preserve">089653560570   / 089613782576 (WA)  </t>
  </si>
  <si>
    <t xml:space="preserve">3174092512880006   </t>
  </si>
  <si>
    <t>0001627711007</t>
  </si>
  <si>
    <t>Mandiri : 1240007863914</t>
  </si>
  <si>
    <t xml:space="preserve">mizwar.zamroni@service-division.com, zamroni2512@gmail.com       </t>
  </si>
  <si>
    <t>OS1702011</t>
  </si>
  <si>
    <t>Sigit Prayitno</t>
  </si>
  <si>
    <t>Jakarta, 8 Februari 1990</t>
  </si>
  <si>
    <t>IT Programmer</t>
  </si>
  <si>
    <t>Jl. Manunggal XVII RT.004/011 Lubang Buaya, Cipayung, Jakarta Timur, 13810</t>
  </si>
  <si>
    <t>085736316129</t>
  </si>
  <si>
    <t>3175100208900005</t>
  </si>
  <si>
    <t>70.620.869.1-009.000</t>
  </si>
  <si>
    <t>14027550491</t>
  </si>
  <si>
    <t>BNI : 0346145603</t>
  </si>
  <si>
    <t>cybergitt@gmail.com</t>
  </si>
  <si>
    <t>OS1708028</t>
  </si>
  <si>
    <t>Labelsef Andarsan</t>
  </si>
  <si>
    <t>Palembang, 18 September 1990</t>
  </si>
  <si>
    <t xml:space="preserve">adj 1 Jan 18 BS prev 2780000 ; </t>
  </si>
  <si>
    <t>Jl. Genteng Ijo No. 9b Setiabudi, Jakarta Selatan</t>
  </si>
  <si>
    <t>082244855554 / 0811177252</t>
  </si>
  <si>
    <t>1671071809900004</t>
  </si>
  <si>
    <t>640618245307000</t>
  </si>
  <si>
    <t>hold mau cair</t>
  </si>
  <si>
    <t>0002048695446</t>
  </si>
  <si>
    <t>Mandiri : 1240007605448</t>
  </si>
  <si>
    <t>labelsefandarsan@yahoo.com</t>
  </si>
  <si>
    <t>OS1708029</t>
  </si>
  <si>
    <t>Hadi Sumantri Jaka Utama</t>
  </si>
  <si>
    <t>Depok, 29 Januari 1987</t>
  </si>
  <si>
    <t>Jl. Kemang Timur XI RT 09 / RW 03, Kel. Bangka Kec. Mampang Prapatan 12730</t>
  </si>
  <si>
    <t>085778489111</t>
  </si>
  <si>
    <t>3276062901870001</t>
  </si>
  <si>
    <t>711405530412000</t>
  </si>
  <si>
    <t>15024939629</t>
  </si>
  <si>
    <t>Mandiri : 1240007893564</t>
  </si>
  <si>
    <t>se7enfrom_heaven@yahoo.com</t>
  </si>
  <si>
    <t>OS1709024</t>
  </si>
  <si>
    <t>Alfin Nurrofiq</t>
  </si>
  <si>
    <t>Madiun, 20 Maret 1994</t>
  </si>
  <si>
    <t xml:space="preserve">adj 1 Jan 18 BS prev 2580750 ; </t>
  </si>
  <si>
    <t>Ds. Kare RT 32/ RW 07, Kec. Kare Kab. Madiun</t>
  </si>
  <si>
    <t>0818 03383424</t>
  </si>
  <si>
    <t>3519052003940002</t>
  </si>
  <si>
    <t>MANDIRI : 124-0007918437</t>
  </si>
  <si>
    <t>ALFIN.VINO@YAHOO.COM</t>
  </si>
  <si>
    <t>OS1709036</t>
  </si>
  <si>
    <t>Vira Yuliasari</t>
  </si>
  <si>
    <t>Trenggalek, 7 Juli 1985</t>
  </si>
  <si>
    <t>Procurement Senior Staff</t>
  </si>
  <si>
    <t>benefit T. kes &amp; asuransi = Bambang Sutejo 26/9/2017</t>
  </si>
  <si>
    <t>Jl. Bango II No. 17C RT 07 / RW 03, Pondok Labu, Cilandak - Jakarta Selatan 12450</t>
  </si>
  <si>
    <t>08563412571</t>
  </si>
  <si>
    <t>3320124707850002</t>
  </si>
  <si>
    <t>570322743-721001</t>
  </si>
  <si>
    <t>0001652549679</t>
  </si>
  <si>
    <t>Mandiri : 1490004922326</t>
  </si>
  <si>
    <t>vyuliasari@gmail.com</t>
  </si>
  <si>
    <t>OS1710085</t>
  </si>
  <si>
    <t>Endang Saputra</t>
  </si>
  <si>
    <t>Jakarta, 28 Desember 1988</t>
  </si>
  <si>
    <t>Jl. Kemiri RT 02 / RW 12, Kebon Jeruk Jakarta Barat 11530</t>
  </si>
  <si>
    <t>085714751636</t>
  </si>
  <si>
    <t>3173052812880004</t>
  </si>
  <si>
    <t>71.335.443.9-035.000</t>
  </si>
  <si>
    <t>14037767432</t>
  </si>
  <si>
    <t>0001222584917</t>
  </si>
  <si>
    <t>BCA : 5500384192</t>
  </si>
  <si>
    <t>putrastylers@gmail.com</t>
  </si>
  <si>
    <t>OS1711037</t>
  </si>
  <si>
    <t>Benny Mulyono</t>
  </si>
  <si>
    <t>Wonogiri, 25 Juni 1986</t>
  </si>
  <si>
    <t>Messenger Spare Part =&gt; Admin Repair Center 1/4/2018</t>
  </si>
  <si>
    <t>change posisi eff 1 Apr '18 prev CA 50rb T. Kendaraan 500rb T. bensin &amp; parkir 1jt T. servis kendaran 150rb OT 1.5jt;change taskbase 1 Jan'18 BS prev 2808750 OT prev 1 jt t.bensin parkir+t.servis kend prev none</t>
  </si>
  <si>
    <t>Kp. Bulak Timur RT 01 / RW 03, Kedaung, Pamulang, Tangerang</t>
  </si>
  <si>
    <t>081317288321</t>
  </si>
  <si>
    <t>3674062506860004</t>
  </si>
  <si>
    <t>712296086411800</t>
  </si>
  <si>
    <t>BCA  - 6090309313</t>
  </si>
  <si>
    <t>mulyana_benny@yahoo.com</t>
  </si>
  <si>
    <t>OS1801009</t>
  </si>
  <si>
    <t>Hadiyati</t>
  </si>
  <si>
    <t>Tangerang, 06 Mei 1986</t>
  </si>
  <si>
    <t>Finance</t>
  </si>
  <si>
    <t>RI RJ 250</t>
  </si>
  <si>
    <t>Jl. Raya Serpong Desa Kademangan Rt. 05/03 No. 7 Kec, Setu Kab, Tangerang Selatan</t>
  </si>
  <si>
    <t>082213012091</t>
  </si>
  <si>
    <t>3674034506860008</t>
  </si>
  <si>
    <t>681104618451000</t>
  </si>
  <si>
    <t>0001737084982</t>
  </si>
  <si>
    <t>MANDIRI 1210000605869</t>
  </si>
  <si>
    <t>HADIYATI89@GMAIL.COM</t>
  </si>
  <si>
    <t>OS1801010</t>
  </si>
  <si>
    <t>Sarah Fitriani Agustji</t>
  </si>
  <si>
    <t>Malang, 21 Desember 1990</t>
  </si>
  <si>
    <t>Lingk. Cikadu Rt/Rw. 030/013 Kel/Desa. Karangpanimbal Kec. Purwaharja Kota Banjar</t>
  </si>
  <si>
    <t>089630737160</t>
  </si>
  <si>
    <t>3279036112900001</t>
  </si>
  <si>
    <t>788380640017000</t>
  </si>
  <si>
    <t>14025039489</t>
  </si>
  <si>
    <t>0001656302275</t>
  </si>
  <si>
    <t>MANDIRI 1220005759181</t>
  </si>
  <si>
    <t>SARAH.MABELLE@GMAIL.COM</t>
  </si>
  <si>
    <t>OS1801012</t>
  </si>
  <si>
    <t>Satria Anggoro</t>
  </si>
  <si>
    <t>Jakarta, 17 September 1992</t>
  </si>
  <si>
    <t>Bermis Blok A-3 No. 42 Rt. 004/004 Kel, Cibogo Kec, Cisauk. Tangerang</t>
  </si>
  <si>
    <t>021.75873245 / 08567109437</t>
  </si>
  <si>
    <t>3603231709920002</t>
  </si>
  <si>
    <t>759537715452000</t>
  </si>
  <si>
    <t>0002087380901</t>
  </si>
  <si>
    <t>BCA 4971175073</t>
  </si>
  <si>
    <t>SATRIA.ANGGORO@YMAIL.COM</t>
  </si>
  <si>
    <t>OS1801013</t>
  </si>
  <si>
    <t>Oki Nawa</t>
  </si>
  <si>
    <t>Jakarta, 14 Oktober 1991</t>
  </si>
  <si>
    <t>taskbase 1 Jan'18</t>
  </si>
  <si>
    <t>Jl. Kampung Rawa Sawah Rt 014 Rw 003 Kel. Kampung Rawa Kec. Johar Baru, Jakpus</t>
  </si>
  <si>
    <t>081287151739</t>
  </si>
  <si>
    <t>3171081410910002</t>
  </si>
  <si>
    <t>MANDIRI 1210006682953</t>
  </si>
  <si>
    <t>OS1801014</t>
  </si>
  <si>
    <t>Anggraeni Puspitaningrum</t>
  </si>
  <si>
    <t>Bogor, 02 Juni 1983</t>
  </si>
  <si>
    <t>Hr Admin</t>
  </si>
  <si>
    <t>Rizki Fontana</t>
  </si>
  <si>
    <t>Kp. Tipar Rt/Rw. 003/006 Kel/Desa. Mekarsari Kec. Cimanggis Kota Depok</t>
  </si>
  <si>
    <t>082297838032</t>
  </si>
  <si>
    <t>3276024206830006</t>
  </si>
  <si>
    <t>66.854.086.7-412.000</t>
  </si>
  <si>
    <t>14027413997</t>
  </si>
  <si>
    <t>0001649768578</t>
  </si>
  <si>
    <t>MANDIRI 1240006070115</t>
  </si>
  <si>
    <t>anggraeni.puspitaningrum@dieboldnixdorf.com</t>
  </si>
  <si>
    <t>OS1801015</t>
  </si>
  <si>
    <t>Maryam</t>
  </si>
  <si>
    <t>Jakarta, 13 Juni 1984</t>
  </si>
  <si>
    <t>Jl. Kebagusan Besar III No.19 Rt/Rw.003/005 Kebagusan, Pasar Minggu, Jakarta Selatan</t>
  </si>
  <si>
    <t>021.8313354 / 081288239885</t>
  </si>
  <si>
    <t>3174015306840008</t>
  </si>
  <si>
    <t>734854920017000</t>
  </si>
  <si>
    <t>BCA 4361592101</t>
  </si>
  <si>
    <t>MERRY.MARYAM013@GMAIL.COM</t>
  </si>
  <si>
    <t>OS1801016</t>
  </si>
  <si>
    <t>Endang Nurhakim</t>
  </si>
  <si>
    <t>Tangerang, 19 Oktober 1980</t>
  </si>
  <si>
    <t>Kp. Serpong Jl. Roda Hias No. 61 Rt/Rw. 002/002 Kel/Desa Serpong Kec. Serpong Tangerang</t>
  </si>
  <si>
    <t>082320708522</t>
  </si>
  <si>
    <t>3674011910800001</t>
  </si>
  <si>
    <t>596856948411000</t>
  </si>
  <si>
    <t>0001649768646</t>
  </si>
  <si>
    <t>BCA 4971203689</t>
  </si>
  <si>
    <t>NURHAKIM207@GMAIL.COM</t>
  </si>
  <si>
    <t>OS1801017</t>
  </si>
  <si>
    <t>Bogor, 03 Agustus 1991</t>
  </si>
  <si>
    <t>Bendungan Rt/Rw.008/001 Kel. Cilodong Kec. Cilodong, Kota Depok</t>
  </si>
  <si>
    <t>081239279116 / 089509242681</t>
  </si>
  <si>
    <t>3276050308910009</t>
  </si>
  <si>
    <t>889760351412000</t>
  </si>
  <si>
    <t>0001649768591</t>
  </si>
  <si>
    <t>MANDIRI 1220005441079</t>
  </si>
  <si>
    <t>OS1801018</t>
  </si>
  <si>
    <t>Karissa Trisningtyas</t>
  </si>
  <si>
    <t>Contract Admin</t>
  </si>
  <si>
    <t>Aulia Ulfah</t>
  </si>
  <si>
    <t>Perum. Wisma Ratu Jl. Wisma Ratu 3 No.18C Pondok Gede, Bekasi</t>
  </si>
  <si>
    <t>081295949652</t>
  </si>
  <si>
    <t>3275085909900008</t>
  </si>
  <si>
    <t>544862725432000</t>
  </si>
  <si>
    <t>15040163618</t>
  </si>
  <si>
    <t>0001651544212</t>
  </si>
  <si>
    <t>BCA 6870808320</t>
  </si>
  <si>
    <t>KTRISNINGTYAS@YAHOO.COM</t>
  </si>
  <si>
    <t>OS1801019</t>
  </si>
  <si>
    <t>Ahmad Junaedi</t>
  </si>
  <si>
    <t>Jakarta, 12 Juli 1990</t>
  </si>
  <si>
    <t>Admin Logistic</t>
  </si>
  <si>
    <t>Bojong Rangkong Rt/Rw. 001/007 Kel/Desa. Pondok Kopi Kec. Duren Sawit Jakarta Timur</t>
  </si>
  <si>
    <t>0822 98277587</t>
  </si>
  <si>
    <t>3175071207900003</t>
  </si>
  <si>
    <t>804549665008000</t>
  </si>
  <si>
    <t>14025039471</t>
  </si>
  <si>
    <t>0001649768501</t>
  </si>
  <si>
    <t>MANDIRI 1660001099324</t>
  </si>
  <si>
    <t>IJUNAHMAD@GMAIL.COM</t>
  </si>
  <si>
    <t>OS1801020</t>
  </si>
  <si>
    <t>Rihandian Nedya Pratama</t>
  </si>
  <si>
    <t>Banyumas, 02 Desember 1986</t>
  </si>
  <si>
    <t>Komp. Marinir Blok Q1 No. 4. Kel Rangkapan Jaya Baru Kec. Pancoran Mas Depok</t>
  </si>
  <si>
    <t>082112331691 / 089621783387</t>
  </si>
  <si>
    <t>3276010212860011</t>
  </si>
  <si>
    <t>813638491448000</t>
  </si>
  <si>
    <t>14017822249</t>
  </si>
  <si>
    <t>0001649768567</t>
  </si>
  <si>
    <t>MANDIRI 9000024985930</t>
  </si>
  <si>
    <t>RIHANDIANNEDYAPRATAMA@GMAIL.COM</t>
  </si>
  <si>
    <t>OS1801022</t>
  </si>
  <si>
    <t>Syafril Nur Kholik</t>
  </si>
  <si>
    <t>Purbalingga, 25 Januari 1991</t>
  </si>
  <si>
    <t>Software Engineer</t>
  </si>
  <si>
    <t>Rudy Rachmat</t>
  </si>
  <si>
    <t>Tlagayasa Rt. 001/004 Kec, Bobotsari Kab, Purbalingga</t>
  </si>
  <si>
    <t>085643020207</t>
  </si>
  <si>
    <t>3303092501910001</t>
  </si>
  <si>
    <t>0000082563311</t>
  </si>
  <si>
    <t>MANDIRI 1390015973641</t>
  </si>
  <si>
    <t>OS1801023</t>
  </si>
  <si>
    <t>Yusran Hakim</t>
  </si>
  <si>
    <t>Buntu Lamba, 21 Oktober 1988</t>
  </si>
  <si>
    <t xml:space="preserve">adj 1 Jan 18 BS prev 2504500 ; </t>
  </si>
  <si>
    <t>Jl. P. Kemerdekaan Km 14 Rt 003 Rw 003 Kel. Daya Kec. Biringkanaya. Makassar</t>
  </si>
  <si>
    <t>082396408848</t>
  </si>
  <si>
    <t>7371112110880009</t>
  </si>
  <si>
    <t>804428625805000</t>
  </si>
  <si>
    <t>15031348228</t>
  </si>
  <si>
    <t>0002035886095</t>
  </si>
  <si>
    <t>BCA 8735028452</t>
  </si>
  <si>
    <t>YUSRAN.HAKIM10@GMAIL.COM</t>
  </si>
  <si>
    <t>OS1801024</t>
  </si>
  <si>
    <t>Moch. Umar Syarifuddin</t>
  </si>
  <si>
    <t>Surabaya, 14 November 1991</t>
  </si>
  <si>
    <t>Jalan Jatipurwo V/5, Rt/Rw. 006/013 Kel/Desa. Ujung Kec. Semampir Kota Surabaya</t>
  </si>
  <si>
    <t>081330339512</t>
  </si>
  <si>
    <t>3578161411910001</t>
  </si>
  <si>
    <t>802486662616000</t>
  </si>
  <si>
    <t>14017094179</t>
  </si>
  <si>
    <t>MANDIRI 9000038953932</t>
  </si>
  <si>
    <t>MOCHUMARSYARIFUDDIN@GMAIL.COM</t>
  </si>
  <si>
    <t>OS1801025</t>
  </si>
  <si>
    <t>Ujang Supriatna</t>
  </si>
  <si>
    <t>Bandung, 14 Mei 1987</t>
  </si>
  <si>
    <t>Bandung</t>
  </si>
  <si>
    <t xml:space="preserve">adj 1 Jan 18 BS prev 2843662 ; </t>
  </si>
  <si>
    <t>Kp. Pangkalan Rt/Rw. 002/007 Desa Wangisagara Kec. Majalaya Kab. Bandung</t>
  </si>
  <si>
    <t>0813 22581001</t>
  </si>
  <si>
    <t>3204331405870004</t>
  </si>
  <si>
    <t>836418954444000</t>
  </si>
  <si>
    <t>14016152309</t>
  </si>
  <si>
    <t>0001666866249</t>
  </si>
  <si>
    <t>BCA 2800727351</t>
  </si>
  <si>
    <t>UJANG.SUPRIATNA@DIEBOLDNIXDORF.COM</t>
  </si>
  <si>
    <t>OS1801026</t>
  </si>
  <si>
    <t>Sulis Arie Pujarama</t>
  </si>
  <si>
    <t>Jakarta, 13 November 1985</t>
  </si>
  <si>
    <t>Customer Care Centre</t>
  </si>
  <si>
    <t>Jl. Rri Kp. Cikumpa Rt 005 Rw 006 Kec. Sukmajaya, Depok</t>
  </si>
  <si>
    <t>021.7712921 / 089674738865</t>
  </si>
  <si>
    <t>3276051311850005</t>
  </si>
  <si>
    <t>641575436412000</t>
  </si>
  <si>
    <t xml:space="preserve">MANDIRI 1570004820883 </t>
  </si>
  <si>
    <t>REY.DEPOK@GMAIL.COM</t>
  </si>
  <si>
    <t>OS1801027</t>
  </si>
  <si>
    <t>Ria Heningsih</t>
  </si>
  <si>
    <t>Jakarta, 09 September 1993</t>
  </si>
  <si>
    <t>Jl. Raya Ciapus Warung Loa Gg. Duren Rt 001 Rw 009 Tamansari, Bogor</t>
  </si>
  <si>
    <t>08567294593</t>
  </si>
  <si>
    <t>3174094909930005</t>
  </si>
  <si>
    <t>722177896017000</t>
  </si>
  <si>
    <t>15046732705</t>
  </si>
  <si>
    <t>0001649768512</t>
  </si>
  <si>
    <t>MANDIRI 1330010993111</t>
  </si>
  <si>
    <t>RIIAHENINGSIH@GMAIL.COM</t>
  </si>
  <si>
    <t>OS1801030</t>
  </si>
  <si>
    <t>Novi Eliza</t>
  </si>
  <si>
    <t>Jakarta, 21 Juli 1992</t>
  </si>
  <si>
    <t>Jl. Hasan III Rt. 12 Rw 04 No. II Penggilingan Cakung, Jaktim</t>
  </si>
  <si>
    <t>082114051240</t>
  </si>
  <si>
    <t>3175066107920009</t>
  </si>
  <si>
    <t>709259949004000</t>
  </si>
  <si>
    <t>0001304641124</t>
  </si>
  <si>
    <t>MANDIRI 9000010703727</t>
  </si>
  <si>
    <t>NOVIEELIZA21@GMAIL.COM</t>
  </si>
  <si>
    <t>OS1801031</t>
  </si>
  <si>
    <t>Khalisa Nur Fajria</t>
  </si>
  <si>
    <t>Jakarta, 07 Desember 1993</t>
  </si>
  <si>
    <t>Jl. Mawar Blok G.1/17 Pamulang Elok Rt/Rw. 005/014 Kel/Desa. Pondok Petir Kec. Bojongsari Depok</t>
  </si>
  <si>
    <t>081219870522</t>
  </si>
  <si>
    <t>3276114712930001</t>
  </si>
  <si>
    <t>0001649768613</t>
  </si>
  <si>
    <t>MANDIRI 9000005033791</t>
  </si>
  <si>
    <t>nurfajria2016@yahoo.com</t>
  </si>
  <si>
    <t>UNPAID LEAVE START 1/3/18-31/08/18</t>
  </si>
  <si>
    <t>OS1801032</t>
  </si>
  <si>
    <t>Rian Eria Marianti</t>
  </si>
  <si>
    <t>Jakarta, 11 Maret 1982</t>
  </si>
  <si>
    <t>Jl. Agung Raya I Rt/Rw. 014/003 Kel/Desa. Lenteng Agung Kec. Jagakarsa Jakarta Selatan</t>
  </si>
  <si>
    <t>087877343435</t>
  </si>
  <si>
    <t>3174095103820005</t>
  </si>
  <si>
    <t>14015808869</t>
  </si>
  <si>
    <t>MANDIRI 9000024677057</t>
  </si>
  <si>
    <t>RIAN.MARIANTI@DIEBOLDNIXDORF.COM</t>
  </si>
  <si>
    <t>OS1801033</t>
  </si>
  <si>
    <t>Dwi Susanto</t>
  </si>
  <si>
    <t>Jakarta, 04 September 1987</t>
  </si>
  <si>
    <t>Jl. Warakas I Gg.25 No.44 Rt/Rw. 008/008 Kel/Desa. Papanggo Kec. Tanjung Priok Jakarta Utara</t>
  </si>
  <si>
    <t>085697773655</t>
  </si>
  <si>
    <t>3172020409870003</t>
  </si>
  <si>
    <t>353104557048000</t>
  </si>
  <si>
    <t>MANDIRI 9000013013868</t>
  </si>
  <si>
    <t>DWY.SUSANTO@DIEBOLDNIXDORF.COM</t>
  </si>
  <si>
    <t>OS1801034</t>
  </si>
  <si>
    <t>Syukur Yakub</t>
  </si>
  <si>
    <t>Tangerang, 12 Maret 1982</t>
  </si>
  <si>
    <t>Depot Repair Center</t>
  </si>
  <si>
    <t>Kp. Kadamengan Lebak Rt/Rw. 004/003 Kel/Desa Kademangan Kec. Setu Tangerang</t>
  </si>
  <si>
    <t>081294934135</t>
  </si>
  <si>
    <t>3674071203820007</t>
  </si>
  <si>
    <t>596460048451000</t>
  </si>
  <si>
    <t>0001656302218</t>
  </si>
  <si>
    <t>MANDIRI 0700005611905</t>
  </si>
  <si>
    <t>JACOBBOYBO222@GMAIL.COM</t>
  </si>
  <si>
    <t>OS1801035</t>
  </si>
  <si>
    <t>Hendri Maulana</t>
  </si>
  <si>
    <t>Bogor, 14 Juli 1988</t>
  </si>
  <si>
    <t>Kp. Pos Rt/Rw. 003/001 Desa/Kel. Bojong Gede Kec. Bojong Gede Kab Bogor</t>
  </si>
  <si>
    <t>08989208900</t>
  </si>
  <si>
    <t>3201131407880005</t>
  </si>
  <si>
    <t>14011850246</t>
  </si>
  <si>
    <t>0001970095972</t>
  </si>
  <si>
    <t>BCA 0953067479</t>
  </si>
  <si>
    <t>ndrix14@yahoo.com</t>
  </si>
  <si>
    <t>OS1801036</t>
  </si>
  <si>
    <t>Faisal Abdillah</t>
  </si>
  <si>
    <t>Bekasi, 15 April 1990</t>
  </si>
  <si>
    <t>Jl. Narogong Megah Vii E.20/16 Rt/Rw. 004/009 Kel/Desa Pengasinan Kec. Rawalumbu Kota Bekasi</t>
  </si>
  <si>
    <t>021-82413526 / 081333413155</t>
  </si>
  <si>
    <t>3275051504900011</t>
  </si>
  <si>
    <t>cair</t>
  </si>
  <si>
    <t>0001649768534</t>
  </si>
  <si>
    <t>MANDIRI 1220006321882</t>
  </si>
  <si>
    <t>faisalabdillah150490@gmail.com</t>
  </si>
  <si>
    <t>OS1801037</t>
  </si>
  <si>
    <t>Haryono</t>
  </si>
  <si>
    <t>Sukoharjo, 03 Juni 1964</t>
  </si>
  <si>
    <t>Depot Repair Center =&gt; Helper Repair Center 1/4/2018</t>
  </si>
  <si>
    <t xml:space="preserve">adj 1 Jan 18 BS prev 3355750 ; </t>
  </si>
  <si>
    <t>Perum Taman Raya Rajeg Blok D 11 No. 2 Rt. 13/05 Mekarsari Kec, Rajeg</t>
  </si>
  <si>
    <t>085814425212</t>
  </si>
  <si>
    <t>3603110306640004</t>
  </si>
  <si>
    <t>15056933789 / 16023481936</t>
  </si>
  <si>
    <t>BCA 7000396481</t>
  </si>
  <si>
    <t>HARY_ONO65@YAHOO.COM, HYONO800@GMAIL.COM</t>
  </si>
  <si>
    <t>OS1802006</t>
  </si>
  <si>
    <t>Abdul Rohman</t>
  </si>
  <si>
    <t>Bekasi, 26 September 1997</t>
  </si>
  <si>
    <t>Kp. Sempu RT 03 / RW 03, Pasirgombong, Cikarang Utara, Bekasi</t>
  </si>
  <si>
    <t>MANDIRI  1240009743940</t>
  </si>
  <si>
    <t>OS1802009</t>
  </si>
  <si>
    <t>Devi Supriadi</t>
  </si>
  <si>
    <t>Jakarta, 21 Oktober 1978</t>
  </si>
  <si>
    <t>Driver Head Office</t>
  </si>
  <si>
    <t>RI RJ 250 EMP ONLY</t>
  </si>
  <si>
    <t>Jl. Masjid RT 04 / RW 01, Kel. Gedong, Pasar Rebo, Jakarta Timur</t>
  </si>
  <si>
    <t>081284390450</t>
  </si>
  <si>
    <t>3175052110780002</t>
  </si>
  <si>
    <t>730283405009000</t>
  </si>
  <si>
    <t>MANDIRI  1240009743957</t>
  </si>
  <si>
    <t>DEVI_SUPRIADI@YMAIL.COM</t>
  </si>
  <si>
    <t>OS1802010</t>
  </si>
  <si>
    <t>Rois Iskandar S</t>
  </si>
  <si>
    <t>Medan, 18 September 1978</t>
  </si>
  <si>
    <t>Jl. Cempaka Warna RT 10 / RW 04, Cempaka Putih Timur, Jakarta Pusat</t>
  </si>
  <si>
    <t>3171051809780001</t>
  </si>
  <si>
    <t>661540427024000</t>
  </si>
  <si>
    <t>0001376525518</t>
  </si>
  <si>
    <t>MANDIRI  1240009736308</t>
  </si>
  <si>
    <t>ISKANDARROIS24@GMAIL.COM</t>
  </si>
  <si>
    <t>OS1802011</t>
  </si>
  <si>
    <t>Ferry Sutanto</t>
  </si>
  <si>
    <t>Jakarta, 30 April 1980</t>
  </si>
  <si>
    <t>Jl. Paseban Barat VI/31 RT 02 / RW 03, Paseban, Senen, Jakarta Pusat</t>
  </si>
  <si>
    <t>085311985526</t>
  </si>
  <si>
    <t>3171043004800005</t>
  </si>
  <si>
    <t>581484854023000</t>
  </si>
  <si>
    <t>0001606341554</t>
  </si>
  <si>
    <t>MANDIRI  1240009736449</t>
  </si>
  <si>
    <t>OS1802012</t>
  </si>
  <si>
    <t>Anggi Mahardika Pribadi</t>
  </si>
  <si>
    <t>Jakarta, 21 November 1985</t>
  </si>
  <si>
    <t>Taman Malaka Sel. III / A2 / 10 RT 10/ RW 09, Malaka Sari, Duren Sawit, Jakarta Timur</t>
  </si>
  <si>
    <t>3175072111850010</t>
  </si>
  <si>
    <t>0001651544188</t>
  </si>
  <si>
    <t>BCA  681-506-0371</t>
  </si>
  <si>
    <t>OS1802013</t>
  </si>
  <si>
    <t>Zahermansyah</t>
  </si>
  <si>
    <t>Padang, 25 September 1982</t>
  </si>
  <si>
    <t>Driver Spare Part</t>
  </si>
  <si>
    <t>Jl. Pluto Dalam II RT 05 / RW 04, Pisangan, Ciputat Timur, Tangerang</t>
  </si>
  <si>
    <t>085811352557</t>
  </si>
  <si>
    <t>3171052509820003</t>
  </si>
  <si>
    <t>250598026024000</t>
  </si>
  <si>
    <t>17023040458</t>
  </si>
  <si>
    <t>0001606536371</t>
  </si>
  <si>
    <t>MANDIRI  1240009736233</t>
  </si>
  <si>
    <t>OS1802014</t>
  </si>
  <si>
    <t>Ari Susanto</t>
  </si>
  <si>
    <t>Sukabumi, 20 Januari 1986</t>
  </si>
  <si>
    <t>Kp. Cijambe Rt. 009 Rw. 004, Kel. Sukaresmi, Kec. Cisaat, Kab. Sukabumi</t>
  </si>
  <si>
    <t>082113708672</t>
  </si>
  <si>
    <t>3202292001860011</t>
  </si>
  <si>
    <t>819929308405000</t>
  </si>
  <si>
    <t>MANDIRI  124-00-0776520-0</t>
  </si>
  <si>
    <t>OS1802015</t>
  </si>
  <si>
    <t>Hassan</t>
  </si>
  <si>
    <t>Jakarta, 8 Desember 1977</t>
  </si>
  <si>
    <t>Jl. Lori Sakti No. 16 RT 06/ RW 01, Kaliabang Tengah, Bekasi Utara, Kota Bekasi</t>
  </si>
  <si>
    <t>085773773079</t>
  </si>
  <si>
    <t>3275030812770020</t>
  </si>
  <si>
    <t>769753393407000</t>
  </si>
  <si>
    <t>0001606346381</t>
  </si>
  <si>
    <t>MANDIRI  1240009736399</t>
  </si>
  <si>
    <t>BIANHASSAN7723@GMAIL.COM</t>
  </si>
  <si>
    <t>OS1802016</t>
  </si>
  <si>
    <t>Khalimi</t>
  </si>
  <si>
    <t>Brebes, 4 Januari 1973</t>
  </si>
  <si>
    <t>Driver Engineer</t>
  </si>
  <si>
    <t>Kp. Buaran RT 04 / RW 02, Ciputat, Tangerang</t>
  </si>
  <si>
    <t>08158034200</t>
  </si>
  <si>
    <t>3674040401730017</t>
  </si>
  <si>
    <t>584702732013000</t>
  </si>
  <si>
    <t>0001606348923</t>
  </si>
  <si>
    <t>BCA  0671477528</t>
  </si>
  <si>
    <t>KHALIMI040173@GMAIL.COM</t>
  </si>
  <si>
    <t>OS1802017</t>
  </si>
  <si>
    <t>Riswandi</t>
  </si>
  <si>
    <t>Bantul, 14 Mei 1967</t>
  </si>
  <si>
    <t>Driver GS</t>
  </si>
  <si>
    <t>Jl. Danau Poso V No. 23 A RT 06 / RW 05, Bencongan, Kelapa Dua, Tangerang</t>
  </si>
  <si>
    <t>085779050535</t>
  </si>
  <si>
    <t>3603281405670007</t>
  </si>
  <si>
    <t>727647604451000</t>
  </si>
  <si>
    <t>0001606348012</t>
  </si>
  <si>
    <t>MANDIRI  1240009743981</t>
  </si>
  <si>
    <t>OS1803037</t>
  </si>
  <si>
    <t>Fajri Ikhsan</t>
  </si>
  <si>
    <t>Pekanbaru, 12 November 1990</t>
  </si>
  <si>
    <t>RI RJ 400</t>
  </si>
  <si>
    <t>Piai Jorong Sawah Sudut, Kel. Selayo Kec. Kubung, Solok</t>
  </si>
  <si>
    <t>085211297900</t>
  </si>
  <si>
    <t>1376021211900001</t>
  </si>
  <si>
    <t>66.455.469.8-412.000</t>
  </si>
  <si>
    <t>14014636915</t>
  </si>
  <si>
    <t>0000164071293</t>
  </si>
  <si>
    <t>MANDIRI  9000023496814</t>
  </si>
  <si>
    <t>fajri.ikhsan90@gmail.com</t>
  </si>
  <si>
    <t>OS1804020</t>
  </si>
  <si>
    <t>Shisca Aviani</t>
  </si>
  <si>
    <t>Tegal, 18 Januari 1996</t>
  </si>
  <si>
    <t>Blubuk, RT 05 / RW 08, Kel. Blubuk Kec. Dukuhwaru, Tegal</t>
  </si>
  <si>
    <t>087875666062</t>
  </si>
  <si>
    <t>3328185801960002</t>
  </si>
  <si>
    <t>84.681.344.2-501.000</t>
  </si>
  <si>
    <t>Mandiri 1240009816332</t>
  </si>
  <si>
    <t>shiscaaviani@gmail.com</t>
  </si>
  <si>
    <t xml:space="preserve"> OS1805013</t>
  </si>
  <si>
    <t>Adhityo Kresno Wijoyo</t>
  </si>
  <si>
    <t>Palembang, 24 Mei 1990</t>
  </si>
  <si>
    <t>PC/E Developer</t>
  </si>
  <si>
    <t>25% x BS</t>
  </si>
  <si>
    <t>BS&amp;MEALTRANS * 150%</t>
  </si>
  <si>
    <t>Perum Serpong Garden Cluster Gren River D3/5 RT 04 / RW 07, Kel. Cibogo Kec. Cisauk, Tangerang</t>
  </si>
  <si>
    <t>0898 0912 374</t>
  </si>
  <si>
    <t>1671102405900005</t>
  </si>
  <si>
    <t>44.760.844.9-301.000</t>
  </si>
  <si>
    <t>11036408240</t>
  </si>
  <si>
    <t>0002096166194</t>
  </si>
  <si>
    <t>BNI 0246-6533-69</t>
  </si>
  <si>
    <t>adhityo.k.w@gmail.com</t>
  </si>
  <si>
    <t>OS1702008</t>
  </si>
  <si>
    <t>Jakarta, 3/5/1983</t>
  </si>
  <si>
    <t>HR &amp; GA Supervisor</t>
  </si>
  <si>
    <t>Madurita Gunaryanto</t>
  </si>
  <si>
    <t>asuransi plan 200,kacamata 300000</t>
  </si>
  <si>
    <t>Jl. Komp AL Kp. Cukunir Rt/Rw.001/008 No.31 Kel. Jati Kramat, Jati Asih, Bekasi 17421</t>
  </si>
  <si>
    <t>021.7662143 / 08176001799</t>
  </si>
  <si>
    <t>3275090503830009 / 3174061612160021</t>
  </si>
  <si>
    <t>58.470.262.5.432.000</t>
  </si>
  <si>
    <t>BNI : 0344846940</t>
  </si>
  <si>
    <t>FAJAR.SUDARMADI@SERVICE-DIVISION.COM</t>
  </si>
  <si>
    <t>resign 1/7/2017</t>
  </si>
  <si>
    <t>OS1702104</t>
  </si>
  <si>
    <t>Rayhan Raditya Hendra</t>
  </si>
  <si>
    <t>Jakarta, 11/2/1987</t>
  </si>
  <si>
    <t>Jl. Sayuti III No.8 Rt/Rw.006/006 Rawasari. Cempaka Putih. Jakarta Pusat</t>
  </si>
  <si>
    <t>021.22540540 / 081213649449</t>
  </si>
  <si>
    <t>3173050211870005</t>
  </si>
  <si>
    <t>68.460.219.6.035.000</t>
  </si>
  <si>
    <t>13002040585</t>
  </si>
  <si>
    <t>BCA : 2291520202</t>
  </si>
  <si>
    <t>GANYANKKA@YAHOO.COM</t>
  </si>
  <si>
    <t>resign 30/6/2017</t>
  </si>
  <si>
    <t>OS1702020</t>
  </si>
  <si>
    <t>Abdul Haris</t>
  </si>
  <si>
    <t>Jakarta, 7/20/1991</t>
  </si>
  <si>
    <t>asuransi plan 400,kacamata 600000</t>
  </si>
  <si>
    <t>Jl. Sasak II No. 69 Rt.003/02 Kelapa Dua. Kebon Jeruk. Jakarta Barat 11550</t>
  </si>
  <si>
    <t>021.53650651 / 087888579403</t>
  </si>
  <si>
    <t>3171072007910003</t>
  </si>
  <si>
    <t>66.850.126.5.035.000</t>
  </si>
  <si>
    <t>14024895956</t>
  </si>
  <si>
    <t>BNI : 344871013</t>
  </si>
  <si>
    <t>ABDULHARISKI@GMAIL.COM</t>
  </si>
  <si>
    <t>resign 13/7/2017 e_200717</t>
  </si>
  <si>
    <t>OS1702060</t>
  </si>
  <si>
    <t>Purwakarta, 2/14/1979</t>
  </si>
  <si>
    <t>Kp. Ali Hamdan Rt. 016 Rw. 004 Ds. Maracang, Purwakarta</t>
  </si>
  <si>
    <t>083808171277</t>
  </si>
  <si>
    <t>3214121402790004 / 3214121803110010</t>
  </si>
  <si>
    <t>78.990.527.0.409.000</t>
  </si>
  <si>
    <t>0000397397654</t>
  </si>
  <si>
    <t>MANDIRI : 1660000607101</t>
  </si>
  <si>
    <t>MOELIDAY@YMAIL.COM</t>
  </si>
  <si>
    <t>meninggal 6/9/2017</t>
  </si>
  <si>
    <t>OS1702057</t>
  </si>
  <si>
    <t>Unggul Zikri Mustakim</t>
  </si>
  <si>
    <t>Jakarta, 10/14/1988</t>
  </si>
  <si>
    <t>Kp. Kalibata. RGT, 009/06 No.27. Srengseng Sawah, Jagakarsa, Jakarta Selatan</t>
  </si>
  <si>
    <t>0877 86860340</t>
  </si>
  <si>
    <t>3174091410880003</t>
  </si>
  <si>
    <t>64.219.168.8.017.000</t>
  </si>
  <si>
    <t>13029340620</t>
  </si>
  <si>
    <t>BCA : 887-0413671</t>
  </si>
  <si>
    <t>ikinieh74@gmail.com</t>
  </si>
  <si>
    <t>meninggal 11/9/2017</t>
  </si>
  <si>
    <t>OS1702100</t>
  </si>
  <si>
    <t>Ahmad Syarif</t>
  </si>
  <si>
    <t>Brebes, 4/23/1995</t>
  </si>
  <si>
    <t>Jatibarang Lor Rt. 001 Rw. 003 Kec. Jatibarang Kel. Jatibarang Lor, Brebes-Jawa Tengah</t>
  </si>
  <si>
    <t>085786445566</t>
  </si>
  <si>
    <t>3329072304950001</t>
  </si>
  <si>
    <t>LANJUT, SALAH KASIH NOMOR JAMSOSTEK</t>
  </si>
  <si>
    <t>MANDIRI : 1240007765226</t>
  </si>
  <si>
    <t>OS1602009</t>
  </si>
  <si>
    <t>Fakhriy Fasya</t>
  </si>
  <si>
    <t>Jakarta, 20 Pebruari 1991</t>
  </si>
  <si>
    <t>UMP 2017 eff 1 jan '17 prev. BS 2.652.000</t>
  </si>
  <si>
    <t>Jl. Duren Tiga Barat No. 11 RT 04/ RW 01, Duren Tiga, Pancoran, Jakarta Selatan</t>
  </si>
  <si>
    <t>082110102091</t>
  </si>
  <si>
    <t>3174082002910002</t>
  </si>
  <si>
    <t>0001743305815 OK</t>
  </si>
  <si>
    <t xml:space="preserve">MANDIRI: 9000036845296 </t>
  </si>
  <si>
    <t>fakhriyfasya@gmail.com</t>
  </si>
  <si>
    <t>resign 2/10/2017, mendadak no reference</t>
  </si>
  <si>
    <t>OS1702007</t>
  </si>
  <si>
    <t>Acep Yopi Triyana</t>
  </si>
  <si>
    <t>Sumedang, 1/14/1989</t>
  </si>
  <si>
    <t>Mega Project</t>
  </si>
  <si>
    <t>KP. Babakan Bandung Utara Rt. 006 Rw. 002 Kel. Desa Kalijati Barat, Kec. Kalijati, Subang, Jawa Barat</t>
  </si>
  <si>
    <t>085717001884</t>
  </si>
  <si>
    <t>45.738.690.2.411.000</t>
  </si>
  <si>
    <t>11030575168</t>
  </si>
  <si>
    <t>0001827166173</t>
  </si>
  <si>
    <t>BCA : 4970717361</t>
  </si>
  <si>
    <t>YOPI.TRIYANA@GMAIL.COM</t>
  </si>
  <si>
    <t>terminated 30/9/2017</t>
  </si>
  <si>
    <t>OS1702014</t>
  </si>
  <si>
    <t>Cornelius Mellino Sarungu</t>
  </si>
  <si>
    <t>Surakarta, 9/8/1976</t>
  </si>
  <si>
    <t>asuransi plan 500,kacamata 600000</t>
  </si>
  <si>
    <t>Fajar Indah, Jl. Mawar Timur III/ A.34 Rt/Rw.003/009 Baturan, Colomadu, Solo 57171</t>
  </si>
  <si>
    <t>087886803778 / 0271.717691</t>
  </si>
  <si>
    <t>3313120809760005 / 3313120311150001</t>
  </si>
  <si>
    <t>57.270.182.9.528.000</t>
  </si>
  <si>
    <t>15003361084</t>
  </si>
  <si>
    <t>MANDIRI : 1380004208455</t>
  </si>
  <si>
    <t>CORNELIUS.MELLINO@GMAIL.COM</t>
  </si>
  <si>
    <t>OS1702015</t>
  </si>
  <si>
    <t>Adi Kristanto</t>
  </si>
  <si>
    <t>Purwokerto, 7/14/1983</t>
  </si>
  <si>
    <t>asuransi plan 200,kacamata 600000</t>
  </si>
  <si>
    <t>Jl. Nanas VIII Blok E5/1 Rt. 001 Rw. 012, Kec. Karanggan, kel. Gunung Putri, Gunung Putri, Bogor 16961</t>
  </si>
  <si>
    <t>0817 9134278</t>
  </si>
  <si>
    <t>3201021407830008</t>
  </si>
  <si>
    <t>49.573.617.5.403.000</t>
  </si>
  <si>
    <t>08006032851</t>
  </si>
  <si>
    <t>BCA : 1451256233</t>
  </si>
  <si>
    <t>ADI.VLADO@GMAIL.COM</t>
  </si>
  <si>
    <t>permanent 1/10/2017</t>
  </si>
  <si>
    <t>OS1702016</t>
  </si>
  <si>
    <t>H. Bambang Sutedjo Bsc</t>
  </si>
  <si>
    <t>Kebumen, 7/11/1952</t>
  </si>
  <si>
    <t>Purchasing Supervisor</t>
  </si>
  <si>
    <t>Joseph Adam</t>
  </si>
  <si>
    <t>Jl. Husada I No.113  komplek Depkes I Rt.001/09 Kel. Jatibening, Pondok Gede, Bekasi 17412</t>
  </si>
  <si>
    <t>021.8647445 / 081584000214</t>
  </si>
  <si>
    <t>3275081107520015 / 3275080507069301</t>
  </si>
  <si>
    <t>49.649.910.4.432.000</t>
  </si>
  <si>
    <t>BCA : 7660356058</t>
  </si>
  <si>
    <t>BAMBANG.SUTEDJO.EXT@DIEBOLDNIXDORF.COM, BAMBANG.SUTEDJO1107@GMAIL.COM</t>
  </si>
  <si>
    <t>OS1702034</t>
  </si>
  <si>
    <t>Jakarta, 4/20/1977</t>
  </si>
  <si>
    <t>Warehouse Supervisor</t>
  </si>
  <si>
    <t>Hanny Jahja</t>
  </si>
  <si>
    <t>Bukit Duri Timur No.10 Rt.007/001 Bukit Duri. Tebet. Jakarta Selatan</t>
  </si>
  <si>
    <t>0856 1174537</t>
  </si>
  <si>
    <t>3174016004770010</t>
  </si>
  <si>
    <t>57.117.007.5.015.000</t>
  </si>
  <si>
    <t>BCA : 7600073995</t>
  </si>
  <si>
    <t>SITIAIEZAH@GMAIL.COM</t>
  </si>
  <si>
    <t>permanent 15/11/2017</t>
  </si>
  <si>
    <t>OS1702027</t>
  </si>
  <si>
    <t>Kp. Areman Rt.005/07 Desa Tugu Cimanggis depok 16951</t>
  </si>
  <si>
    <t>0813 15473559 / 0812 10718743</t>
  </si>
  <si>
    <t>3276020608780017</t>
  </si>
  <si>
    <t>07.772.092.8.403.000</t>
  </si>
  <si>
    <t>CAIR 11005641979</t>
  </si>
  <si>
    <t>MANDIRI : 1240007764237</t>
  </si>
  <si>
    <t>SUHADIYONO@SERVICE-DIVISION.COM, LISANAONE@GMAIL.COM</t>
  </si>
  <si>
    <t>OS1702099</t>
  </si>
  <si>
    <t>Sukabumi, 1/20/1986</t>
  </si>
  <si>
    <t>0896 74343160</t>
  </si>
  <si>
    <t>PROSES</t>
  </si>
  <si>
    <t>MANDIRI : 1240007765200</t>
  </si>
  <si>
    <t>ARIELAARELSUSANTO@GMAIL.COM</t>
  </si>
  <si>
    <t>terminated 1/12/2017 last 30/11/2017</t>
  </si>
  <si>
    <t>OS1702004</t>
  </si>
  <si>
    <t>Eka Meisafitri</t>
  </si>
  <si>
    <t>Palembang, 5/7/1988</t>
  </si>
  <si>
    <t>Lrg. Masjid No.211 Rt.004/002 Sukamaju, Sako, Palembang</t>
  </si>
  <si>
    <t>087887999177</t>
  </si>
  <si>
    <t>1671084705880007 / 1671082205070083</t>
  </si>
  <si>
    <t>89.343.835.8.301.000</t>
  </si>
  <si>
    <t xml:space="preserve">13023561742 </t>
  </si>
  <si>
    <t>BCA : 5270492365</t>
  </si>
  <si>
    <t>EKA.MEISAFITRI@GMAIL.COM</t>
  </si>
  <si>
    <t>permanent 1/12/2017</t>
  </si>
  <si>
    <t>OS1702024</t>
  </si>
  <si>
    <t>Aziz Ainun Najib</t>
  </si>
  <si>
    <t>Junaindo</t>
  </si>
  <si>
    <t>Jl. Dahlia 35 Karang Rejo, Tulung Agung, Jawa Tengah</t>
  </si>
  <si>
    <t>085749077126</t>
  </si>
  <si>
    <t>3504081312910003</t>
  </si>
  <si>
    <t>15056734997</t>
  </si>
  <si>
    <t>BNI : 0198807165</t>
  </si>
  <si>
    <t>AZIZAINUNNAJIB@YAHOO.CO.ID</t>
  </si>
  <si>
    <t>resign 4/12/2017</t>
  </si>
  <si>
    <t>OS1702094</t>
  </si>
  <si>
    <t>Hadi Purnomo</t>
  </si>
  <si>
    <t>Jakarta, 10/30/1978</t>
  </si>
  <si>
    <t>Jl. Bungur Raya No.74 Rt.014/006 Kebayoran Lama Utara Jakarta Selatan 12240</t>
  </si>
  <si>
    <t>089621000586</t>
  </si>
  <si>
    <t>3174053010780003 / 3174051601093328</t>
  </si>
  <si>
    <t>58.470.266.6.013.000</t>
  </si>
  <si>
    <t>BCA : 5865074864</t>
  </si>
  <si>
    <t>HADIPURNOMO475@GMAIL.COM</t>
  </si>
  <si>
    <t xml:space="preserve">Terminated 31/12/2017 MOVE VENDOR </t>
  </si>
  <si>
    <t>OS1702095</t>
  </si>
  <si>
    <t>Moehamad Rifai</t>
  </si>
  <si>
    <t xml:space="preserve">Kp. Kandang Rt.013/08 Ragunan Pasar Minggu Jakarta Selatan </t>
  </si>
  <si>
    <t>085287478788 / 082226020217</t>
  </si>
  <si>
    <t>3174042310790002 / 3174040805121023</t>
  </si>
  <si>
    <t>55.154.841.5.017.000</t>
  </si>
  <si>
    <t>11005641862</t>
  </si>
  <si>
    <t>0001769496221</t>
  </si>
  <si>
    <t>BNI : 0345040236</t>
  </si>
  <si>
    <t>OS1702096</t>
  </si>
  <si>
    <t>Rudi Kurniawan</t>
  </si>
  <si>
    <t>Jakarta, 9/12/1993</t>
  </si>
  <si>
    <t>M. Ade Irian</t>
  </si>
  <si>
    <t>Jl. Lingkungan III Rt. 006/009, Kel. Tegal Alur, Kali Deres, Jakarta Barat</t>
  </si>
  <si>
    <t>0812 13375156</t>
  </si>
  <si>
    <t>3173061209930002</t>
  </si>
  <si>
    <t>54.317.589.7.085.000</t>
  </si>
  <si>
    <t>13016699889</t>
  </si>
  <si>
    <t>0001298126417</t>
  </si>
  <si>
    <t>BCA : 6920139033</t>
  </si>
  <si>
    <t>RUDI.ERROR@GMAIL.COM</t>
  </si>
  <si>
    <t>OS1702107</t>
  </si>
  <si>
    <t>Winny Agustin</t>
  </si>
  <si>
    <t>Bandung, 8/31/1991</t>
  </si>
  <si>
    <t>Account Manager</t>
  </si>
  <si>
    <t>Yansen Chendra</t>
  </si>
  <si>
    <t>Kp. Rancak RT. 020 Rw. 001 Kel. Neglasari Kec. Salawu Kab. Tasikmalaya 46471</t>
  </si>
  <si>
    <t>0811 8121644</t>
  </si>
  <si>
    <t>3206147108910001</t>
  </si>
  <si>
    <t>70.299.1134.005.000</t>
  </si>
  <si>
    <t>BCA : 766 0401991 an WINNY AGUSTIN</t>
  </si>
  <si>
    <t>WINNYAUGST@GMAIL.COM</t>
  </si>
  <si>
    <t>OS1709035</t>
  </si>
  <si>
    <t>Dipa Maginov</t>
  </si>
  <si>
    <t>Jakarta, 5 November 1988</t>
  </si>
  <si>
    <t>Jl. Raden Saleh IV Blok C No. 19 RT 04 / RW 05, Kel. Sukmajaya, Depok</t>
  </si>
  <si>
    <t>0812 86859610</t>
  </si>
  <si>
    <t>3276050511880005</t>
  </si>
  <si>
    <t>704322106412000</t>
  </si>
  <si>
    <t>Mandiri : 1240007913966</t>
  </si>
  <si>
    <t>DIPA.MAGINOV@GMAIL.COM</t>
  </si>
  <si>
    <t>OS1710113</t>
  </si>
  <si>
    <t>Yuni Ariani</t>
  </si>
  <si>
    <t>Jakarta, 8 Juni 1996</t>
  </si>
  <si>
    <t>Admin Support Banking</t>
  </si>
  <si>
    <t>Jl. Studio Alam TVRI RT 01 / RW 08, Kel. Sukmajaya Kec. Sukmajaya, Depok 16412</t>
  </si>
  <si>
    <t>08561443931</t>
  </si>
  <si>
    <t>3276054806960003</t>
  </si>
  <si>
    <t>BCA : 8691418081</t>
  </si>
  <si>
    <t>yuni@service-division.com</t>
  </si>
  <si>
    <t>OS1711036</t>
  </si>
  <si>
    <t>Dedy Yuliana</t>
  </si>
  <si>
    <t>Jakarta, 5 Juli 1983</t>
  </si>
  <si>
    <t>Messenger Spare Part</t>
  </si>
  <si>
    <t>Jl. Masjid RT 02 / RW 05 No. 66, Kel. Jati Kramat, Kec. Jati Asih Kota Bekasi 17421</t>
  </si>
  <si>
    <t>081291089021</t>
  </si>
  <si>
    <t>3275090507830015</t>
  </si>
  <si>
    <t>668670250432000</t>
  </si>
  <si>
    <t>BCA : 7510567361</t>
  </si>
  <si>
    <t>dedy.yuliana@gmail.com</t>
  </si>
  <si>
    <t>OS1711038</t>
  </si>
  <si>
    <t>Agus Setyo Triastono</t>
  </si>
  <si>
    <t>Jakarta, 15 Agustus 1987</t>
  </si>
  <si>
    <t>Jl. Petamburan RT 08/RW 04, Kel. Petamburan Kec. Tanah Abang, Jakarta Pusat</t>
  </si>
  <si>
    <t>081908626652</t>
  </si>
  <si>
    <t>3171071508870002</t>
  </si>
  <si>
    <t>83.319.336.0-072.000</t>
  </si>
  <si>
    <t>0001459385267</t>
  </si>
  <si>
    <t>MANDIRI : 124-00-0796431-6</t>
  </si>
  <si>
    <t>agussetyotriastono@gmail.com</t>
  </si>
  <si>
    <t>OS1702006</t>
  </si>
  <si>
    <t>Wendy Mundagi Putra</t>
  </si>
  <si>
    <t>Jakarta, 10/11/1985</t>
  </si>
  <si>
    <t>Support Engineer</t>
  </si>
  <si>
    <t>Darmawan</t>
  </si>
  <si>
    <t>Jl. Belanak 2 No.10 RT.006/007 Kel. Jati. Kec. Pulogadung. Rawamangun. Jakarta Timur</t>
  </si>
  <si>
    <t>0815 17762009</t>
  </si>
  <si>
    <t>3175021110850006</t>
  </si>
  <si>
    <t>08.782.046.0.003.000</t>
  </si>
  <si>
    <t>BCA : 5250266857</t>
  </si>
  <si>
    <t>WNDYWENK@GMAIL.COM</t>
  </si>
  <si>
    <t>resign 31/1/2018</t>
  </si>
  <si>
    <t>OS1801028</t>
  </si>
  <si>
    <t>Nuryatun Hasanah</t>
  </si>
  <si>
    <t>Jakarta, 19 Maret 1994</t>
  </si>
  <si>
    <t>Jl. Kalibata Tengah Rt 007 Rw 003 No.9, Jaksel</t>
  </si>
  <si>
    <t>085780889139</t>
  </si>
  <si>
    <t>3174085903940002</t>
  </si>
  <si>
    <t>720529874061000</t>
  </si>
  <si>
    <t>0001473120235</t>
  </si>
  <si>
    <t>MANDIRI 9000003649796</t>
  </si>
  <si>
    <t>HASANAHNURYATUN@GMAIL.COM</t>
  </si>
  <si>
    <t>resign 15/1/2017 ori</t>
  </si>
  <si>
    <t>OS1801029</t>
  </si>
  <si>
    <t>Aprilianto</t>
  </si>
  <si>
    <t>Jakarta, 03 April 1988</t>
  </si>
  <si>
    <t>Pejuang Jaya Blok B/103 Rt 008 Rw012, Medan Satria. Bekasi</t>
  </si>
  <si>
    <t>081311029903</t>
  </si>
  <si>
    <t>3275060304880011</t>
  </si>
  <si>
    <t>734391931407000</t>
  </si>
  <si>
    <t>BCA 5210389212</t>
  </si>
  <si>
    <t>RIAN.ADDICT@YAHOO.COM</t>
  </si>
  <si>
    <t>resign 15/1/2017</t>
  </si>
  <si>
    <t>OS1602023</t>
  </si>
  <si>
    <t>Syarif Budianto</t>
  </si>
  <si>
    <t>Jakarta, 6 November 1976</t>
  </si>
  <si>
    <t>Leader Quality Control Engineer</t>
  </si>
  <si>
    <t>UMP 2017 eff 1 jan '17 prev. BS 3.502.000</t>
  </si>
  <si>
    <t>Jl. Bangka Raya Rt/Rw.006/010 Pela Mampang, Mampang Prapatan, Jakarta Selatan</t>
  </si>
  <si>
    <t>081315329069</t>
  </si>
  <si>
    <t>3174030611760001</t>
  </si>
  <si>
    <t>58.470.289.8-014.000</t>
  </si>
  <si>
    <t>0001743305905 OK</t>
  </si>
  <si>
    <t>BNI: 0345029392</t>
  </si>
  <si>
    <t>bens.romeo@yahoo.com</t>
  </si>
  <si>
    <t>permanent 1/3/2018</t>
  </si>
  <si>
    <t>OS1602060</t>
  </si>
  <si>
    <t>Bekasi, 23 Desember 1985</t>
  </si>
  <si>
    <t>Admin Service - Leader</t>
  </si>
  <si>
    <t>UMP 2017 eff 1 jan '17 prev. BS 6.300.000</t>
  </si>
  <si>
    <t>Jl. Gondangdia Baru Rt/Rw.002/009 Jaticempaka, Pondokgede, Kota Bekasi</t>
  </si>
  <si>
    <t>08569031398</t>
  </si>
  <si>
    <t>3275082312850007</t>
  </si>
  <si>
    <t>34.071.943.4.432.000</t>
  </si>
  <si>
    <t>0001743306017 OK</t>
  </si>
  <si>
    <t>BCA: 2301399041 A/N YUSCA ERLANDO</t>
  </si>
  <si>
    <t>yuscaerlando@gmail.com, yuscaerlando@yahoo.com</t>
  </si>
  <si>
    <t>OS1610029</t>
  </si>
  <si>
    <t>Guruh Krismana Putra</t>
  </si>
  <si>
    <t>Bojonegoro, 30 Juni 1998 / CHRIST</t>
  </si>
  <si>
    <t>Operator FWD Project</t>
  </si>
  <si>
    <t>adj eff 1 Jan'18 prev 3.355.750 t.jabatan none ; change BS prev 3.604.000 E_23/2/2017 ; UMP 2017 eff 1 jan '17 prev. 3.1jt</t>
  </si>
  <si>
    <t>Jl. Lingkar Duren Sawit SMPN 167</t>
  </si>
  <si>
    <t>082234491192</t>
  </si>
  <si>
    <t>3522193006980004</t>
  </si>
  <si>
    <t>80.302.238.3-601.000</t>
  </si>
  <si>
    <t>Mandiri : 166 - 00-01874122</t>
  </si>
  <si>
    <t>guruhchris@gmail.com</t>
  </si>
  <si>
    <t>OS1702039</t>
  </si>
  <si>
    <t>Ahmad Zurzani Kusaimi</t>
  </si>
  <si>
    <t>Jakarta, 10/14/1986</t>
  </si>
  <si>
    <t>Managed Services Administration Staff</t>
  </si>
  <si>
    <t>Jl. Lodan Dalam 2 Rt.007/008 No. 27 Kel. Ancol, Pademangan, Jakarta Utara</t>
  </si>
  <si>
    <t>0878 77233070</t>
  </si>
  <si>
    <t>3174021410860003</t>
  </si>
  <si>
    <t>55.493.307.7.044.000</t>
  </si>
  <si>
    <t>10004860291</t>
  </si>
  <si>
    <t>MOHON BUATKAN</t>
  </si>
  <si>
    <t>BCA : 7660032686</t>
  </si>
  <si>
    <t>IZAN_BZAY@YAHOO.COM, AHMAD14ZURZANI@GMAIL.COM</t>
  </si>
  <si>
    <t>OS1702073</t>
  </si>
  <si>
    <t>Ari Hartanto</t>
  </si>
  <si>
    <t>Jakarta, 1/22/1989</t>
  </si>
  <si>
    <t>Jl. Tegal Parang Selatan I, Gg. DD No. 21A Rt. 004 Rw. 005 Kel. Tegal Parang, Kec. Mampang Prapatan, Jakarta Selatan 12790</t>
  </si>
  <si>
    <t>08561938238</t>
  </si>
  <si>
    <t>3174032201890004</t>
  </si>
  <si>
    <t>09.520.563.9.014.000</t>
  </si>
  <si>
    <t>11002771084</t>
  </si>
  <si>
    <t>MANDIRI : 0700006203728</t>
  </si>
  <si>
    <t>ARI_HARTANTO89@YAHOO.COM, ARIEXXE@GMAIL.COM</t>
  </si>
  <si>
    <t>OS1702025</t>
  </si>
  <si>
    <t>Dimas Visnu Widyawan</t>
  </si>
  <si>
    <t>Rembang, 5/31/1983</t>
  </si>
  <si>
    <t xml:space="preserve">Technical Support Officer </t>
  </si>
  <si>
    <t>Jl. Jayapura No. 35 RT. 005 RW. 010 Kel. Antapani kidul Kec. Antapani, Bandung</t>
  </si>
  <si>
    <t>08121456001</t>
  </si>
  <si>
    <t>3273203105830005 / 3273200810120003</t>
  </si>
  <si>
    <t>68.873.844.2.507.000</t>
  </si>
  <si>
    <t>08001876079</t>
  </si>
  <si>
    <t>0001372033462</t>
  </si>
  <si>
    <t>MANDIRI : 1240004863875</t>
  </si>
  <si>
    <t>DIMAS.WIDYAWAN@SERVICE-DIVISION.COM</t>
  </si>
  <si>
    <t>OS1702065</t>
  </si>
  <si>
    <t>Eko Harya Sasmito</t>
  </si>
  <si>
    <t>Jakarta, 10/31/1986</t>
  </si>
  <si>
    <t>Jl. Kramat Lontar VII/J 123 Rt/Rw.005/001 Paseban, Senen, Jakarta</t>
  </si>
  <si>
    <t>085781824928 / 081284962416</t>
  </si>
  <si>
    <t>3275023110860009 / 3171042412131001</t>
  </si>
  <si>
    <t>89.261.001.5.407.000</t>
  </si>
  <si>
    <t>09002061738 / 0901889878</t>
  </si>
  <si>
    <t>0001256278476</t>
  </si>
  <si>
    <t>EKO.SASMITO@SERVICE-DIVISION.COM</t>
  </si>
  <si>
    <t>OS1702070</t>
  </si>
  <si>
    <t>Indra Susanto</t>
  </si>
  <si>
    <t>Jakarta, 10/12/1974</t>
  </si>
  <si>
    <t>Jl. Kesehatan Blok D-80 KPAD Rt. 001/006, Kel. Cipinang Melayu, Makasar, Jakarta Timur 13620</t>
  </si>
  <si>
    <t>021.86609891 / 085100050710</t>
  </si>
  <si>
    <t>3175061210740019 / 3175080905121016</t>
  </si>
  <si>
    <t>68.873.854.1.004.000</t>
  </si>
  <si>
    <t>0001214229767 LANJUT PBI</t>
  </si>
  <si>
    <t>MANDIRI : 0060005462845</t>
  </si>
  <si>
    <t>BAGASKARA.CERAH@GMAIL.COM</t>
  </si>
  <si>
    <t>OS1702026</t>
  </si>
  <si>
    <t>Kandi Suharya</t>
  </si>
  <si>
    <t>Cirebon, 5/31/1981</t>
  </si>
  <si>
    <t>Cempaka Putih Barat Rt.009/005, Kel Cempak putih Barat, Cempaka Putih, Jakarta Pusat</t>
  </si>
  <si>
    <t>021.42878524 / 081808601327</t>
  </si>
  <si>
    <t>3171053105810005</t>
  </si>
  <si>
    <t>68.873.840.0.024.000</t>
  </si>
  <si>
    <t>BCA : 7660341581</t>
  </si>
  <si>
    <t>CBR.CANDY@GMAIL.COM</t>
  </si>
  <si>
    <t>OS1702018</t>
  </si>
  <si>
    <t>Meisuri Fahmi</t>
  </si>
  <si>
    <t>Jakarta, 5/7/1982</t>
  </si>
  <si>
    <t>Remote Service Lead</t>
  </si>
  <si>
    <t>Jl. Mawar Kuning K 144 DEPHAN Rt. 005/18, Jatimakmur, Pondokgede, Kota Bekasi</t>
  </si>
  <si>
    <t>081288284006</t>
  </si>
  <si>
    <t>3275080705820052 / 3275080709130017</t>
  </si>
  <si>
    <t>58.470.277.3.432.000</t>
  </si>
  <si>
    <t>11009050490</t>
  </si>
  <si>
    <t>BELUM</t>
  </si>
  <si>
    <t>MANDIRI : 1240004874716</t>
  </si>
  <si>
    <t>MEISURIFAHMI@GMAIL.COM</t>
  </si>
  <si>
    <t>OS1702037</t>
  </si>
  <si>
    <t>Muhammad Alfin Hidayat</t>
  </si>
  <si>
    <t>Jakarta, 3/10/1982</t>
  </si>
  <si>
    <t>CCC Supervisor</t>
  </si>
  <si>
    <t>Jl. Tebet Dalam 1-B, No.16 Rt.03/01, Kel. Tebet Barat, Kec. Tebet, Jakarta Selatan</t>
  </si>
  <si>
    <t>021.8300995 / 081310550086</t>
  </si>
  <si>
    <t>3174011003820007 / 3174011803131006</t>
  </si>
  <si>
    <t>57.677.337.8.015.000</t>
  </si>
  <si>
    <t>09017656753</t>
  </si>
  <si>
    <t>ALVIN.HIDAYAT82@GMAIL.COM</t>
  </si>
  <si>
    <t>OS1702069</t>
  </si>
  <si>
    <t>Sukron Maulana</t>
  </si>
  <si>
    <t>Jakarta, 1/24/1989</t>
  </si>
  <si>
    <t>Remote Service =&gt; Technical Support 1/11/2017</t>
  </si>
  <si>
    <t>change posisi Nov'17</t>
  </si>
  <si>
    <t>Gg. Remaja, Jl. Salak Rt. 006 Rw. 001 No. 79 Mampang, Pancoran Mas, Depok</t>
  </si>
  <si>
    <t>0896 37679009</t>
  </si>
  <si>
    <t>3174042401890004</t>
  </si>
  <si>
    <t>88.789.365.9.017.000</t>
  </si>
  <si>
    <t>10004860390 / 13016699970</t>
  </si>
  <si>
    <t>0001337101457</t>
  </si>
  <si>
    <t>MANDIRI : 1270005734957</t>
  </si>
  <si>
    <t>SUKS.MAULANA@GMAIL.COM</t>
  </si>
  <si>
    <t>OS1702114</t>
  </si>
  <si>
    <t>Iwan Suyana</t>
  </si>
  <si>
    <t>Jakarta, 9/28/1977</t>
  </si>
  <si>
    <t>Supervisor Operational Cash Management</t>
  </si>
  <si>
    <t>Kp. Ciketing Rt/Rw.001/005 Mustika Jaya, Bekasi</t>
  </si>
  <si>
    <t>085697996170</t>
  </si>
  <si>
    <t>3275112809770008 / 3275111906120014</t>
  </si>
  <si>
    <t>48.843.203.0.017.000</t>
  </si>
  <si>
    <t>0001772843883</t>
  </si>
  <si>
    <t>BCA : 2861336192</t>
  </si>
  <si>
    <t>IWANSUYANA77@GMAIL.COM</t>
  </si>
  <si>
    <t>OS1801021</t>
  </si>
  <si>
    <t>Titin Supriyatin</t>
  </si>
  <si>
    <t>Brebes, 05 November 1982</t>
  </si>
  <si>
    <t>Jl. Sukarela Rt/Rw. 010/009 Kel/Desa Penjaringan Kec. Penjaringan Jakarta Utara</t>
  </si>
  <si>
    <t>089605039716</t>
  </si>
  <si>
    <t>3172014511820011</t>
  </si>
  <si>
    <t>980501266041000</t>
  </si>
  <si>
    <t>BCA 4970633796</t>
  </si>
  <si>
    <t>Titin.supriatin@dieboldnixdrof.com, titin.supriatin338@gmail.com</t>
  </si>
  <si>
    <t>RESIGN 19/2/2018</t>
  </si>
  <si>
    <t>Djiwandou Agung Sudiyono Putro</t>
  </si>
  <si>
    <t>Mojokerto, 4 Agustus 1987</t>
  </si>
  <si>
    <t>Jl. Antasari Raya 9, Antapani, Bandung</t>
  </si>
  <si>
    <t>OS1610030</t>
  </si>
  <si>
    <t>Aditya Darmawan</t>
  </si>
  <si>
    <t>Jakarta, 21 April 1994</t>
  </si>
  <si>
    <t>adj eff 1 Jan'18 prev 3.355.750 ; change BS prev 3.604.000 E_23/2/2017 ; UMP 2017 eff 1 jan '17 prev. 3.1jt</t>
  </si>
  <si>
    <t>Jl. Delima II Gg. VI No. 100 RT 08 / RW 03, Jakarta Timur 13460</t>
  </si>
  <si>
    <t>085693439902 / 081585226432</t>
  </si>
  <si>
    <t>3175072104940009</t>
  </si>
  <si>
    <t>45.978.028.4-008.000</t>
  </si>
  <si>
    <t>Mandiri : 166-00-0184576-7</t>
  </si>
  <si>
    <t>adityadarmawan42@gmail.com</t>
  </si>
  <si>
    <t>resign per 31 Mei 2018, FCL done</t>
  </si>
  <si>
    <t xml:space="preserve">OS1611002  </t>
  </si>
  <si>
    <t>Putra Aulia Ardiansyah</t>
  </si>
  <si>
    <t>Jakarta, 21 Oktober 1994</t>
  </si>
  <si>
    <t>Jl. Kayumanis IX RT 06 / RW 09 No. 25 Kel. Kayumanis Matraman</t>
  </si>
  <si>
    <t>089644412309</t>
  </si>
  <si>
    <t>3175012110940008</t>
  </si>
  <si>
    <t>blm punya</t>
  </si>
  <si>
    <t>Mandiri : 006-00-0997140-3</t>
  </si>
  <si>
    <t>putraauliaardiansyah1@gmail.com</t>
  </si>
  <si>
    <t xml:space="preserve">OS1611003 </t>
  </si>
  <si>
    <t>Hasan Setiawan</t>
  </si>
  <si>
    <t>Bogor, 10 Juni 1993</t>
  </si>
  <si>
    <t>Jl. Raya Krukut RT 01 / RW 07, Kel. Krukut Kec. Limo, Depok</t>
  </si>
  <si>
    <t xml:space="preserve"> 081294156194 / 083870610335 </t>
  </si>
  <si>
    <t>3276041006930004</t>
  </si>
  <si>
    <t>76.862.213.6-448.000</t>
  </si>
  <si>
    <t>Mandiri : 157-00-0517411-6</t>
  </si>
  <si>
    <t>OS1702019</t>
  </si>
  <si>
    <t>Rizky Ramadhan</t>
  </si>
  <si>
    <t>Jakarta, 3/22/1991</t>
  </si>
  <si>
    <t>Juniando Mankin</t>
  </si>
  <si>
    <t>Kp. Mutiara Baru R.02/011 Kedung Waringin, Bojong Gede - Bogor 16320</t>
  </si>
  <si>
    <t>0812 90156060</t>
  </si>
  <si>
    <t>3201132203910008</t>
  </si>
  <si>
    <t>54.383.058.2.403.000</t>
  </si>
  <si>
    <t>13012477025</t>
  </si>
  <si>
    <t>BCA : 5271306220</t>
  </si>
  <si>
    <t>RIZKYRAMADHAN.INDO@YAHOO.COM</t>
  </si>
  <si>
    <t>OS1702003</t>
  </si>
  <si>
    <t>Edy Safriliyanto</t>
  </si>
  <si>
    <t>Kudus, 4/18/1989</t>
  </si>
  <si>
    <t>Quality Assurance</t>
  </si>
  <si>
    <t>Darmawan Triwidodo</t>
  </si>
  <si>
    <t>adj 1 Apr '18 prev 6.954.200</t>
  </si>
  <si>
    <t>Golantepus RT.01/01, Mejabo, Kudus, Semarang</t>
  </si>
  <si>
    <t>081319274902</t>
  </si>
  <si>
    <t>3319021804890004 / 3204151412160007</t>
  </si>
  <si>
    <t>45.402.240.1.506.000</t>
  </si>
  <si>
    <t>12030177294</t>
  </si>
  <si>
    <t>BCA : 3721504211</t>
  </si>
  <si>
    <t>BLACK.MOZILLA@GMAIL.COM</t>
  </si>
  <si>
    <t>Permanen 31/4/2018</t>
  </si>
  <si>
    <t>OS1801038</t>
  </si>
  <si>
    <t>Mochtar Salman</t>
  </si>
  <si>
    <t>Jakarta, 12 Desember 1990</t>
  </si>
  <si>
    <t>Jl. Pelita X Rt.011/004 Desa, Jatipulo Kec, Palmerah</t>
  </si>
  <si>
    <t>081284573461</t>
  </si>
  <si>
    <t>3173071212900001</t>
  </si>
  <si>
    <t>16023481712</t>
  </si>
  <si>
    <t>BCA 3101939012</t>
  </si>
  <si>
    <t>SALMANRAFAEL@GMAIL.COM</t>
  </si>
  <si>
    <t>Resign 02/05/2018</t>
  </si>
  <si>
    <t>PT. INDO HUMAN RESOURCE</t>
  </si>
  <si>
    <t>Epicentrum Walk Office 7th Floor, Suite 709A</t>
  </si>
  <si>
    <t>Komplek Rasuna Epicentrum</t>
  </si>
  <si>
    <t>Jl. HR Rasuna Said - Kuningan, Jakarta 12960</t>
  </si>
  <si>
    <t>LIST OF EMPLOYEE PLACED AT PT. BEIERSDORF INDONESIA</t>
  </si>
  <si>
    <t>AMANDEMEN</t>
  </si>
  <si>
    <t>Meals /day</t>
  </si>
  <si>
    <t>Transportasi /day</t>
  </si>
  <si>
    <t>Other</t>
  </si>
  <si>
    <t>OS1211004</t>
  </si>
  <si>
    <t>Sumargono</t>
  </si>
  <si>
    <t>M5</t>
  </si>
  <si>
    <t>klaim bensin eff 20/11/2014 prev 12rb</t>
  </si>
  <si>
    <t>UMP 2018 PREV 3.355.750 ; UMP 2017 prev. 3.1jt; UMP 2015 prev 2.441.000 ; adjust transport 1 Sept'14 prev 8.000 ; UMP 2014 prev 2.200.000 ; UMP 2013 prev 1.700.000</t>
  </si>
  <si>
    <t>OT, JAMSOSTEK, BPJS KES</t>
  </si>
  <si>
    <t>Jl. Kebembem 3 No. 50 RT/RW. 06/07 Kel. Jagakarsa, Jakarta Selatan</t>
  </si>
  <si>
    <t xml:space="preserve"> 0811 849396 /  021-78884810</t>
  </si>
  <si>
    <t>57.569.128.2-017.000</t>
  </si>
  <si>
    <t>0001123500712 -KELUARGA</t>
  </si>
  <si>
    <t>BCA : 5700010386</t>
  </si>
  <si>
    <t>OS1409010</t>
  </si>
  <si>
    <t>Dita Saraswati</t>
  </si>
  <si>
    <t>Jakarta, 23 Juli 1996</t>
  </si>
  <si>
    <t xml:space="preserve">UMP 2018 PREV 3.355.750 ; UMP 2017 prev. 3.1jt; UMP 2015 prev 2.441.000 </t>
  </si>
  <si>
    <t>OT, JAMSOSTEK, BPJS KES, ASURANSI 200</t>
  </si>
  <si>
    <t>Jl. PLK II No.31 Rt/Rw.010/001 Makasar. Jakarta Timur</t>
  </si>
  <si>
    <t>0897 0533221 / 085711088400</t>
  </si>
  <si>
    <t>3175086307960001</t>
  </si>
  <si>
    <t>0001304488348 OK</t>
  </si>
  <si>
    <t>BCA : 1650051552</t>
  </si>
  <si>
    <t>ditasarwa23@gmail.com, receptionist.jkt@beiersdorf.com</t>
  </si>
  <si>
    <t>OS1501004</t>
  </si>
  <si>
    <t>Farhan</t>
  </si>
  <si>
    <t>Tasikmalaya, 19 Juli 1993</t>
  </si>
  <si>
    <t>UMP 2018 PREV 3.355.750 ; UMP 2017 prev. 3.1jt</t>
  </si>
  <si>
    <t>Jl. Karet Pasar Baru Barat 1 Rt/Rw.006/007 No.97 Karet Tengsin, Tanah Abang, Jakarta Pusat</t>
  </si>
  <si>
    <t>0858 17504431</t>
  </si>
  <si>
    <t>3171071907930005</t>
  </si>
  <si>
    <t>13045128157</t>
  </si>
  <si>
    <t>0001381110581 OK</t>
  </si>
  <si>
    <t>MANDIRI : 9000020946449</t>
  </si>
  <si>
    <t>farhan_achan19@yahoo.co.id</t>
  </si>
  <si>
    <t>OS1305008</t>
  </si>
  <si>
    <t>Riyan Rifai</t>
  </si>
  <si>
    <t>Kp. Pintu Air RT.002/ RW.009, Pabuaran, Bojong Gede, Bogor</t>
  </si>
  <si>
    <t>021 93323054 /  0838-0512-9077</t>
  </si>
  <si>
    <t>55.119.154.7-403.000</t>
  </si>
  <si>
    <t>1429965933 OK KPRJ CITAMA</t>
  </si>
  <si>
    <t>BCA : 5225099364</t>
  </si>
  <si>
    <t>not extend 31/5/2018</t>
  </si>
  <si>
    <t>OS1309032</t>
  </si>
  <si>
    <t>Anang Widodo</t>
  </si>
  <si>
    <t>Jl. Cinere Raya Gg. Mundu Rt/Rw.004/008 Cinere, Kota Depok</t>
  </si>
  <si>
    <t>081290133886</t>
  </si>
  <si>
    <t>57.339.225.5-412.000</t>
  </si>
  <si>
    <t>12021471607</t>
  </si>
  <si>
    <t>0001146572111 OK</t>
  </si>
  <si>
    <t>Permata : 4108214371 an. Sartini</t>
  </si>
  <si>
    <t>rejoin</t>
  </si>
  <si>
    <t>OS1707008</t>
  </si>
  <si>
    <t>Maya Devita</t>
  </si>
  <si>
    <t>Jakarta, 15 Maret 1995</t>
  </si>
  <si>
    <t>Marketing Assisstant</t>
  </si>
  <si>
    <t>NO OT, JAMSOSTEK, BPJS KES, ASURANSI 200</t>
  </si>
  <si>
    <t>Jl. Bahagia 2 RT 01/ RW 02 No. 31 Kel. Larangan Kec. Kreo Selatan, Banten</t>
  </si>
  <si>
    <t xml:space="preserve">0819-0510-0318  </t>
  </si>
  <si>
    <t xml:space="preserve">3174105503950003   </t>
  </si>
  <si>
    <t>BCA : 4760174021</t>
  </si>
  <si>
    <t xml:space="preserve">Mayadevitaaa@gmail.com       </t>
  </si>
  <si>
    <t>OS1710055</t>
  </si>
  <si>
    <t>Putri Amalia</t>
  </si>
  <si>
    <t>Jakarta, 05 November 1995</t>
  </si>
  <si>
    <t>Claim Process Admin</t>
  </si>
  <si>
    <t>Perumahan Bumi Pancoran Mas, Jl. Golf Raya blok K No. 6, Mampang, Depok</t>
  </si>
  <si>
    <t>0813-6410-8487</t>
  </si>
  <si>
    <t>3276014511950005</t>
  </si>
  <si>
    <t>BNI : 590561733</t>
  </si>
  <si>
    <t>pamalia05@gmail.com</t>
  </si>
  <si>
    <t>OS1711017</t>
  </si>
  <si>
    <t>Shelvi Widjaya</t>
  </si>
  <si>
    <t>30 Agustus 1995</t>
  </si>
  <si>
    <t>Marketing &amp; Indirect Material Procurement Admin</t>
  </si>
  <si>
    <t>Jl. Rela No. 7, Saharjo, Jakarta Selatan 12960</t>
  </si>
  <si>
    <t>02183702493 / 081219155560</t>
  </si>
  <si>
    <t>3174027008950003</t>
  </si>
  <si>
    <t>832790935011000</t>
  </si>
  <si>
    <t>BCA : 5271240601</t>
  </si>
  <si>
    <t>SHELVIWIDJAYA@GMAIL.COM</t>
  </si>
  <si>
    <t>OS1711042</t>
  </si>
  <si>
    <t>Akbar Ramadhan</t>
  </si>
  <si>
    <t>Jakarta, 16 April 1991</t>
  </si>
  <si>
    <t>Customer Service Officer</t>
  </si>
  <si>
    <t>Jl. Bersama RT 03 / 06 No. 91 Kampung Tengah, Cileungsi, Kabupaten Bogor 16820</t>
  </si>
  <si>
    <t>0218231992 / 085814933499</t>
  </si>
  <si>
    <t>3201071604910013</t>
  </si>
  <si>
    <t>71.573.762.3-436.000</t>
  </si>
  <si>
    <t>MANDIRI : 1330013356431</t>
  </si>
  <si>
    <t>akbar-ramadhan@outlook.com</t>
  </si>
  <si>
    <t>OS1801042</t>
  </si>
  <si>
    <t>Dea Elodia Erdawan</t>
  </si>
  <si>
    <t>Bogor, 26 Februari 1995</t>
  </si>
  <si>
    <t>Category Specialist</t>
  </si>
  <si>
    <t>Perum Balittro Blok EE No 59 RT 005/015 Kel. Menteng, Kec. Bogor Barat 16111</t>
  </si>
  <si>
    <t>0856-9113-5262</t>
  </si>
  <si>
    <t>3271046602950008</t>
  </si>
  <si>
    <t>0000059807968</t>
  </si>
  <si>
    <t>BCA 6820547045</t>
  </si>
  <si>
    <t>deaelodia@gmail.com</t>
  </si>
  <si>
    <t>OS1602064</t>
  </si>
  <si>
    <t>Fransisca Indah Widiastuti</t>
  </si>
  <si>
    <t>Jakarta, 29 November 1992</t>
  </si>
  <si>
    <t>Admin Finance</t>
  </si>
  <si>
    <t>UMP 2017 prev. 3.4jt; adjust 2 aug'16 prev 3.1 jt &amp; NO insurance</t>
  </si>
  <si>
    <t>Jl. Transad Raya Gg. Swadaya 1 No.8 Rt/Rw.002/008 Jatiranggon, Jatisampurna, Bekasi 17432</t>
  </si>
  <si>
    <t>081286004271</t>
  </si>
  <si>
    <t>3275106911920008</t>
  </si>
  <si>
    <t>750382319447000</t>
  </si>
  <si>
    <t>0001743306153 ok</t>
  </si>
  <si>
    <t>MANDIRI: 1670000376060</t>
  </si>
  <si>
    <t>fransiscaindahw@gmail.com</t>
  </si>
  <si>
    <t>OS1603015</t>
  </si>
  <si>
    <t>Amanda Terrena Putri</t>
  </si>
  <si>
    <t>MANADO, 14 aug 1993</t>
  </si>
  <si>
    <t>SC Analys &amp; Developer Staff</t>
  </si>
  <si>
    <t>adj eff 21 Mar'17 prev 4 jt e_14/3/2017</t>
  </si>
  <si>
    <t>Jl. Swadaya Raya No. 103 Rt. 02 Rw. 05 Duren Sawit Jakarta Timur</t>
  </si>
  <si>
    <t>081297212534 / 085697492315</t>
  </si>
  <si>
    <t>3174015408930003</t>
  </si>
  <si>
    <t>0001382749031 OK</t>
  </si>
  <si>
    <t>BCA: 272 1658 114 atas nama Amanda Terrena Putri.</t>
  </si>
  <si>
    <t>amandaterre@gmail.com</t>
  </si>
  <si>
    <t>Permanent 1/9/2017</t>
  </si>
  <si>
    <t>OS1708005</t>
  </si>
  <si>
    <t>Devi Chyntia Giokani</t>
  </si>
  <si>
    <t>Jakarta, 16 Desember 1993</t>
  </si>
  <si>
    <t>Finance Administration Officer</t>
  </si>
  <si>
    <t>Perum BSI Blok B.5/12 A RT 08/ RW 05, Kel. Duren Mekar Kec. Bojongsari, Kota Depok</t>
  </si>
  <si>
    <t>0251-8614105 / 087889377617</t>
  </si>
  <si>
    <t>3276035612930005</t>
  </si>
  <si>
    <t>82.453.793.0.448.000</t>
  </si>
  <si>
    <t>0001460404359</t>
  </si>
  <si>
    <t>BCA : 8800-86-3458</t>
  </si>
  <si>
    <t>dcgiokani@gmail.com</t>
  </si>
  <si>
    <t>terminated 31/8/2017, no referensi, absen sejak 4 sept</t>
  </si>
  <si>
    <t>OS1710116</t>
  </si>
  <si>
    <t>Wakiyo</t>
  </si>
  <si>
    <t>Sragen, 12 April 1964</t>
  </si>
  <si>
    <t>Jl. Pinang IV No. 10 RT 06 / RW 02, Kel. Pondok Labu Kec. Cilandak, jakarta Selatan</t>
  </si>
  <si>
    <t>BNI Fatmawati : 0117020708</t>
  </si>
  <si>
    <t>not extend 29/11/2017</t>
  </si>
  <si>
    <t>OS1801043</t>
  </si>
  <si>
    <t>Marcha Fairuz Izdihar</t>
  </si>
  <si>
    <t>Malang, 22 September 1995</t>
  </si>
  <si>
    <t>Distributor Administration Officer</t>
  </si>
  <si>
    <t>Jl. Lebak Bulus 3, No.13</t>
  </si>
  <si>
    <t>3174062209950004</t>
  </si>
  <si>
    <t>715561700016000</t>
  </si>
  <si>
    <t>0001784970145</t>
  </si>
  <si>
    <t>BCA 5865096078</t>
  </si>
  <si>
    <t>mrch.fairuz@gmail.com</t>
  </si>
  <si>
    <t>OS1710038</t>
  </si>
  <si>
    <t>Wahyuningtyas Rahmadhani</t>
  </si>
  <si>
    <t>Jakarta, 21 Februari 1995</t>
  </si>
  <si>
    <t>3674076102950001</t>
  </si>
  <si>
    <t>MANDIRI : 1640000820342</t>
  </si>
  <si>
    <t>ayutyasr@gmail.com</t>
  </si>
  <si>
    <t>not extend 08/04/2018</t>
  </si>
  <si>
    <t>LIST OF EMPLOYEE PLACED AT PT. GTA BY TRAVELPORT</t>
  </si>
  <si>
    <t>Allowance</t>
  </si>
  <si>
    <t>OS1502014</t>
  </si>
  <si>
    <t>Marjuni</t>
  </si>
  <si>
    <t>Kulon Progo, 16 Juni 1975</t>
  </si>
  <si>
    <t>ump 2018 eff 1 Jan'18 prev 3.355.750 ; UMP 2017 eff 1 jan '17 prev. 3,1jt;</t>
  </si>
  <si>
    <t>OT, cuti, late meal &gt;= 8 malam 20 ribu, incentive full month 150 ribu</t>
  </si>
  <si>
    <t>BPJS Kes &amp; Jamsostek</t>
  </si>
  <si>
    <t>Kp. Kecil Rt/Rw.002/008 Kel. Sukabumi Selatan Kec. Kebon Jeruk, Jakarta Barat</t>
  </si>
  <si>
    <t>0813 83333452</t>
  </si>
  <si>
    <t>3674031606750003</t>
  </si>
  <si>
    <t>72.253.344.5-035.000</t>
  </si>
  <si>
    <t>0001430587078 Sukabumi Selatan M1</t>
  </si>
  <si>
    <t>BCA : 5345159697</t>
  </si>
  <si>
    <t>OS1506101</t>
  </si>
  <si>
    <t xml:space="preserve">Fahrizal Ramadan </t>
  </si>
  <si>
    <t>Jakarta, 27 Mei 1986</t>
  </si>
  <si>
    <t>Ranco Indah Jalan Muara Bawah No.51 Rt/Rw.002/003 Kel. Tanjung Barat Kec. Jagakarsa, Jakarta Selatan</t>
  </si>
  <si>
    <t>0895347042869 / 081298868142 / 08131550050</t>
  </si>
  <si>
    <t>3276032705860003</t>
  </si>
  <si>
    <t>0001658555706 istri ada tunggakan, sudah info ke ybs</t>
  </si>
  <si>
    <t>BCA : 5345136093</t>
  </si>
  <si>
    <t>rijalkiftia27@gmail.com</t>
  </si>
  <si>
    <t>OS1701026</t>
  </si>
  <si>
    <t>Wira Wahyu Wardhana</t>
  </si>
  <si>
    <t>Surabaya, 17 Juli 1980</t>
  </si>
  <si>
    <t>ump 2018 eff 1 Jan'18 prev 3.355.750</t>
  </si>
  <si>
    <t>Perumahan Bukit Cirendeu, Jalan Bukit III Blok B1/18, Cirendeu, Pondok Cabe Rt/Rw 002/016, Kelurahan Pisangan, Kecamatan Ciputat Timur</t>
  </si>
  <si>
    <t>082122067797 / 085885429616</t>
  </si>
  <si>
    <t>3674051707800001</t>
  </si>
  <si>
    <t>68.099.124.7-015.000</t>
  </si>
  <si>
    <t>15035778891</t>
  </si>
  <si>
    <t>Mandiri : 124-00-0641280-4</t>
  </si>
  <si>
    <t>wirawiryu@gmail.com</t>
  </si>
  <si>
    <t>OS1705051</t>
  </si>
  <si>
    <t>Bambang Purnomo</t>
  </si>
  <si>
    <t>Jakarta, 22 Juni 1982</t>
  </si>
  <si>
    <t>Helper</t>
  </si>
  <si>
    <t>Puri Kartika Banjarsari Rt/Rw.005/011 Banjar Sari, Cipocok Jaya, Kota Serang, Banten</t>
  </si>
  <si>
    <t>081297833818 / '083805480613</t>
  </si>
  <si>
    <t>3604022207820070</t>
  </si>
  <si>
    <t>803979632401000</t>
  </si>
  <si>
    <t>0002090108621 cipocok jaya</t>
  </si>
  <si>
    <t>BRI : 738601003119538</t>
  </si>
  <si>
    <t>OS1705034</t>
  </si>
  <si>
    <t>Herman Tampubolon</t>
  </si>
  <si>
    <t>Jakarta, 22 November 1970</t>
  </si>
  <si>
    <t>Komplek Sawangan Village Cluster Palmarosa Blok E5/1 Depok</t>
  </si>
  <si>
    <t>081382634552</t>
  </si>
  <si>
    <t>3201022211700004</t>
  </si>
  <si>
    <t>0001476675461 klinik tugu sawangan baru</t>
  </si>
  <si>
    <t>BCA : 5725111719</t>
  </si>
  <si>
    <t>ogetampubolon@gmail.com, devatobing@yahoo.com</t>
  </si>
  <si>
    <t>OS1401002</t>
  </si>
  <si>
    <t>Nasukha</t>
  </si>
  <si>
    <t>Tegal, 5 November 1969</t>
  </si>
  <si>
    <t>UMP 2015 prev 2.441.000</t>
  </si>
  <si>
    <t>BPJS Kes eff Juli'14 &amp; Jamsostek</t>
  </si>
  <si>
    <t>Kalibata Timur IV F RT. 010 RW. 008, Kel. Kalibata, Kec. Pancoran, Jakarta Selatan</t>
  </si>
  <si>
    <t>0815 11138511</t>
  </si>
  <si>
    <t>0001210593194 OK</t>
  </si>
  <si>
    <t>BCA : 6540165287</t>
  </si>
  <si>
    <t>Resign per 30/09/16</t>
  </si>
  <si>
    <t>OS1509025</t>
  </si>
  <si>
    <t>Muhammad Roji</t>
  </si>
  <si>
    <t>Jakarta, 18 Oktober 1983</t>
  </si>
  <si>
    <t>Office Helper</t>
  </si>
  <si>
    <t>Jl. Swadaya Kemanggisan Rt/Rw.09/011 No.86 Jakarta Barat 11480</t>
  </si>
  <si>
    <t>085715416750 / 021.94643479</t>
  </si>
  <si>
    <t>3173071810830005</t>
  </si>
  <si>
    <t>71.789.694.8.031.000</t>
  </si>
  <si>
    <t>PBI AKTIF</t>
  </si>
  <si>
    <t>BCA : 5500168741</t>
  </si>
  <si>
    <t>Resign 31/10/16</t>
  </si>
  <si>
    <t>OS1511028</t>
  </si>
  <si>
    <t>Sofawi Wahadji</t>
  </si>
  <si>
    <t>Palembang, 29 Desember 1957</t>
  </si>
  <si>
    <t>UMP 2017 eff 1 jan '17 prev. 3,1jt;</t>
  </si>
  <si>
    <t>Kp. Sugutamu Rt/Rw.003/027 Baktijaya, Sukmajaya, Kota Depok</t>
  </si>
  <si>
    <t>0813 84911957</t>
  </si>
  <si>
    <t>3276052912570010</t>
  </si>
  <si>
    <t xml:space="preserve">0001302194485 - KELUARGA
</t>
  </si>
  <si>
    <t>BCA : 2111154408</t>
  </si>
  <si>
    <t>terminated 18/01/17</t>
  </si>
  <si>
    <t>OS1610037</t>
  </si>
  <si>
    <t>Jakarta, 5 aug 1991</t>
  </si>
  <si>
    <t>OT, cuti, late meal &gt;= 8 malam 20 ribu</t>
  </si>
  <si>
    <t>Kp. Panjang RT 04 / RW 09, Kel. Rawa Panjang, Kec. Bojong Gede, Bogor</t>
  </si>
  <si>
    <t>0898 1754 750</t>
  </si>
  <si>
    <t>3201130508910011</t>
  </si>
  <si>
    <t>73.885.640.0-403.000</t>
  </si>
  <si>
    <t>BCA : 5345008273</t>
  </si>
  <si>
    <t>suprapto050891@gmail.com</t>
  </si>
  <si>
    <t>kabur 26/01/17, kelebihan gaji</t>
  </si>
  <si>
    <t>Rahmat Hidayat</t>
  </si>
  <si>
    <t>Jakarta, 17 aug 1984</t>
  </si>
  <si>
    <t>Jl. Flamboyan III RT 02 / RW 10 Menteng Dalam</t>
  </si>
  <si>
    <t>081317260263</t>
  </si>
  <si>
    <t>BCA 5750698800 an Mila</t>
  </si>
  <si>
    <t>terminated 1/3/2017, absen sejak 20/2/2017</t>
  </si>
  <si>
    <t>Luki Rizki Kasianto</t>
  </si>
  <si>
    <t>Jakarta, 19 Januari 1993</t>
  </si>
  <si>
    <t>8 Maret 2017</t>
  </si>
  <si>
    <t>Tanah Kusir Rt/Rw.007/011 Kebayoran Lama Selatan, Kebayoran Lama, Jakarta Selatan</t>
  </si>
  <si>
    <t>3174051901930001</t>
  </si>
  <si>
    <t>terminated 30/3/2017</t>
  </si>
  <si>
    <t>OS1312002</t>
  </si>
  <si>
    <t>Yudha Hendratmo</t>
  </si>
  <si>
    <t>Jakarta, 30 Januari 1973</t>
  </si>
  <si>
    <t>UMP 2017 eff 1 jan '17 prev. 3,1jt; UMP 2015 prev 2.441.000</t>
  </si>
  <si>
    <t>Jl. Wijaya Kusuma Raya No.197 Kranji, Bekasi</t>
  </si>
  <si>
    <t>0815 14271438</t>
  </si>
  <si>
    <t>3275023001730006</t>
  </si>
  <si>
    <t>57.634.582.1-407.000</t>
  </si>
  <si>
    <t>0001386318284 OK</t>
  </si>
  <si>
    <t>Mandiri : 1240007261812</t>
  </si>
  <si>
    <t>yudha_hendratmo@yahoo.com</t>
  </si>
  <si>
    <t xml:space="preserve">pindah perusahaan </t>
  </si>
  <si>
    <t>OS1410014</t>
  </si>
  <si>
    <t>Achmadi</t>
  </si>
  <si>
    <t>Jember, 22 Desember 1971</t>
  </si>
  <si>
    <t>Jl. Bintara XIV Rt/Rw.03/04</t>
  </si>
  <si>
    <t>0857 78470604 / 081298073707</t>
  </si>
  <si>
    <t>3275022212710008</t>
  </si>
  <si>
    <t>13034227770</t>
  </si>
  <si>
    <t>0001793419457 M3</t>
  </si>
  <si>
    <t>Mandiri : 1240007261820</t>
  </si>
  <si>
    <t>Terminated 09/06/2017 (salary tidak dibayar)</t>
  </si>
  <si>
    <t>OS1708027</t>
  </si>
  <si>
    <t>Suyadi</t>
  </si>
  <si>
    <t>Sukoharjo, 11 Juni 1982</t>
  </si>
  <si>
    <t>M1?</t>
  </si>
  <si>
    <t>Permata Depok Regency Diamond 2 Blok C 9/12 RT 11 / RW 10, Kel. Ratu Jaya Kec. Cipayung, Kota Depok</t>
  </si>
  <si>
    <t>085778560262</t>
  </si>
  <si>
    <t>3174031106820001</t>
  </si>
  <si>
    <t>249091364014000</t>
  </si>
  <si>
    <t>0001650036339 KPRJ BHAKTI JAYA</t>
  </si>
  <si>
    <t>Mandiri : 1160005673562</t>
  </si>
  <si>
    <t>terminated 6/1/2018</t>
  </si>
  <si>
    <t>LIST OF EMPLOYEE PLACED AT PT. GTA Travel Services Indonesia</t>
  </si>
  <si>
    <t>ump 2018 eff 1 Jan'18 prev 3.355.750 ; UMP 2017 eff 1 jan '17 prev. 3,1jt; UMP 2015 prev 2.441.000</t>
  </si>
  <si>
    <t>OS1707030</t>
  </si>
  <si>
    <t>Afriadi</t>
  </si>
  <si>
    <t>Purbalingga, 10 aug 1994</t>
  </si>
  <si>
    <t>Ds. Purbasari RT 04 / RW 01, Kec. Karang Jambu Kab. Purbalingga</t>
  </si>
  <si>
    <t>085600560821</t>
  </si>
  <si>
    <t>BRI : 020601129707501 NM Afriadi</t>
  </si>
  <si>
    <t>LIST OF EMPLOYEE PLACED AT PT. TNS</t>
  </si>
  <si>
    <t>IndoHR / Referral</t>
  </si>
  <si>
    <t>Salary</t>
  </si>
  <si>
    <t>Meal, Transp /day</t>
  </si>
  <si>
    <t>No. Telp.</t>
  </si>
  <si>
    <t>Account</t>
  </si>
  <si>
    <t>OS1705001</t>
  </si>
  <si>
    <t>Dona Winona Kusuma W</t>
  </si>
  <si>
    <t>Jakarta, 5 Juni 1997</t>
  </si>
  <si>
    <t>ump eff Jan'18 prev 3.355.750</t>
  </si>
  <si>
    <t>Jl. Jati No.12 Rt/Rw.001/006 Cibubur, Ciracas, Jakarta Timur</t>
  </si>
  <si>
    <t>0815 1011 6282</t>
  </si>
  <si>
    <t>3175074506970003</t>
  </si>
  <si>
    <t>Mandiri : 1670002049467 a.n Dona Winona Kusuma Wardhani</t>
  </si>
  <si>
    <t>winonadonna@gmail.com</t>
  </si>
  <si>
    <t>BREAK ZEN</t>
  </si>
  <si>
    <t>Tunj. Sewa Motor</t>
  </si>
  <si>
    <t>Incentive</t>
  </si>
  <si>
    <t>OS1005013</t>
  </si>
  <si>
    <t>Referral</t>
  </si>
  <si>
    <t>Wahyudi Yuwono</t>
  </si>
  <si>
    <t>UMP 2018 eff 1 Jan'18 prev 3.355.750 ; UMP 2017 prev 3.1jt; UMP 2016 prev 2.7 jt ; UMP 2015 prev 2.441.000 eff 1 Jan'15 ; UMP 2014 prev 2.2jt ; new UMP 2013 prev 1.560.357 ; new UMP 2011 prev 1.118.009 ; UMP 2012 prev 1.290.000</t>
  </si>
  <si>
    <t>BPJS KES, JAMSOSTEK</t>
  </si>
  <si>
    <t>Jl. Mangga No. 32 Rt.005/002 Kel. Paberasan Kec. Sampang - Cilacap</t>
  </si>
  <si>
    <t>087821363358</t>
  </si>
  <si>
    <t>756894192522000</t>
  </si>
  <si>
    <t>0001137677613 OK</t>
  </si>
  <si>
    <t>Mandiri : 124-00-0580203-9</t>
  </si>
  <si>
    <t>OS1009002</t>
  </si>
  <si>
    <t>IndoHR</t>
  </si>
  <si>
    <t>Edy Suryadi</t>
  </si>
  <si>
    <t>Jl. Kubis III Rt.005/04 Pd. Cabe Ilir, Pamulang - Tangerang</t>
  </si>
  <si>
    <t>085693460568 / 97260871 / 081519886261 / 95841937</t>
  </si>
  <si>
    <t>0001138583597 OK</t>
  </si>
  <si>
    <t>Mandiri : 124-00-0577097-0</t>
  </si>
  <si>
    <t>OS1103004</t>
  </si>
  <si>
    <t>Wahyu Pujianto</t>
  </si>
  <si>
    <t>UMP 2018 eff 1 Jan'18 prev 3.355.750 ; UMP 2017 prev 3.1jt; UMP 2016 prev 2.7 jt ; UMP 2015 prev 2.441.000 eff 1 Jan'15 ; UMP 2014 prev 2.2jt ; new UMP 2013 prev 1.560.357 ; UMP 2012 prev 1.290.000 / 10.000</t>
  </si>
  <si>
    <t>Jl. Pemuda II Rt.006/02 No.10 Rawamangun, Jaktim 12960</t>
  </si>
  <si>
    <t>085691487819 / 47860115</t>
  </si>
  <si>
    <t>0001140718072 OK</t>
  </si>
  <si>
    <t>Mandiri Cab. Wisma Metropolitan : 122-00-05748226</t>
  </si>
  <si>
    <t>OS1202003</t>
  </si>
  <si>
    <t>Syaripudin Syah</t>
  </si>
  <si>
    <t>UMP 2018 eff 1 Jan'18 prev 3.355.750 ; UMP 2017 prev 3.1jt; UMP 2016 prev 2.7 jt ; UMP 2015 prev 2.441.000 eff 1 Jan'15 ; UMP 2014 prev 2.2jt ; new UMP 2013 prev 1.560.357 ;</t>
  </si>
  <si>
    <t>Jl. Masjid Nurul Fajri Rt.02/03 No.18 Pondok Jaya, Pondok Aren, Tangerang Selatan</t>
  </si>
  <si>
    <t>0856 7820115</t>
  </si>
  <si>
    <t>3674031201780010</t>
  </si>
  <si>
    <t>82.330.697.2.453.000</t>
  </si>
  <si>
    <t>0001145169279 OK</t>
  </si>
  <si>
    <t xml:space="preserve">Mandiri : 1020006114752 </t>
  </si>
  <si>
    <t>OS1207070</t>
  </si>
  <si>
    <t>Tohirin</t>
  </si>
  <si>
    <t>K3</t>
  </si>
  <si>
    <t xml:space="preserve">UMP 2018 eff 1 Jan'18 prev 3.355.750 ; UMP 2017 prev 3.1jt; UMP 2016 prev 2.7 jt ; UMP 2015 prev 2.441.000 eff 1 Jan'15 ; UMP 2014 prev 2.2jt ; new UMP 2013 prev 1.560.357 ; </t>
  </si>
  <si>
    <t>Gg. Muha No.5 Rt/Rw.004/006 Cipadu Jaya, Larangan, Kota Tangerang</t>
  </si>
  <si>
    <t xml:space="preserve"> 08788-0285-051</t>
  </si>
  <si>
    <t>59.558.762.7.416.000</t>
  </si>
  <si>
    <t>0001148070791 -KELUARGA</t>
  </si>
  <si>
    <t>Mandiri : 900-00-0708216-8</t>
  </si>
  <si>
    <t>renewal</t>
  </si>
  <si>
    <t>OS1209006</t>
  </si>
  <si>
    <t>Sukma Wijaya</t>
  </si>
  <si>
    <t>Jl. Jatinegara Kaum Rt.009 Rw.003 No. 1 Pulo Gadung, Jakarta Timur</t>
  </si>
  <si>
    <t>0857 80977258/ 0815 85752770</t>
  </si>
  <si>
    <t>58.510.067.0.003.000</t>
  </si>
  <si>
    <t>0001148834057 OK</t>
  </si>
  <si>
    <t>BCA : 5455320841</t>
  </si>
  <si>
    <t>OS1209008</t>
  </si>
  <si>
    <t>Wahyudin</t>
  </si>
  <si>
    <t>K2</t>
  </si>
  <si>
    <t>Jl. Bangka Raya Gg. V No. 23 C Rt/Rw.07/02 Pela Mampang, Mampang Prapatan, Jakarta Selatan</t>
  </si>
  <si>
    <t>0877 80621521 / 021 97506719</t>
  </si>
  <si>
    <t>09.523.595.8-001.000</t>
  </si>
  <si>
    <t>0001743302946 OK</t>
  </si>
  <si>
    <t>Mandiri : 9000-009-873135</t>
  </si>
  <si>
    <t>OS1209009</t>
  </si>
  <si>
    <t>Nurlela Sari</t>
  </si>
  <si>
    <t>Jl. Cepu No.17 Rt.009 Rw.006 Menteng, Jakarta Pusat</t>
  </si>
  <si>
    <t>0813 21293375</t>
  </si>
  <si>
    <t>0001148834046 OK</t>
  </si>
  <si>
    <t>BCA : 5055019751</t>
  </si>
  <si>
    <t>OS1304008</t>
  </si>
  <si>
    <t>UMP 2018 eff 1 Jan'18 prev 3.355.750 ; UMP 2017 prev 3.1jt; UMP 2016 prev 2.7 jt ; UMP 2015 prev 2.441.000 eff 1 Jan'15 ; UMP 2014 prev 2.2jt</t>
  </si>
  <si>
    <t>Jl. Raya Bogor, Gandaria III RT. 012/ 02 No. 27, Kel. Pekayon, Pasar Rebo, Jakarta Timur 13710</t>
  </si>
  <si>
    <t>083894379130 / 0838 70313420</t>
  </si>
  <si>
    <t>0001150972817 OK</t>
  </si>
  <si>
    <t>BCA : 1662961676 an. Purwanti</t>
  </si>
  <si>
    <t>OS1305012</t>
  </si>
  <si>
    <t>Sopyan Supriyadi</t>
  </si>
  <si>
    <t>Jl. Masjid No.25, RT.006/ RW. 01, Cinere, Depok</t>
  </si>
  <si>
    <t>021 99432644 / 081324049909</t>
  </si>
  <si>
    <t>80.835.604.2.448.000</t>
  </si>
  <si>
    <t>0001300171522 -KELUARGA</t>
  </si>
  <si>
    <t>Mandiri : 1570003560092</t>
  </si>
  <si>
    <t>OS1311085</t>
  </si>
  <si>
    <t>M. Angga Soemantri</t>
  </si>
  <si>
    <t>Bogor, 3 Februari 1987</t>
  </si>
  <si>
    <t>Kp. Tegal Batu Rt/Rw.001/003 Kel. Cibeureum Kec. Cisarua, Bogor</t>
  </si>
  <si>
    <t>0857 21120286</t>
  </si>
  <si>
    <t>71.807.715.9.434.000</t>
  </si>
  <si>
    <t>0001300194235 M1</t>
  </si>
  <si>
    <t>BCA : 5055087617</t>
  </si>
  <si>
    <t>OS1311086</t>
  </si>
  <si>
    <t>Bambang Mulyawan</t>
  </si>
  <si>
    <t>Jakarta, 7 September 1960</t>
  </si>
  <si>
    <t>Kp. Patahunan Rt/Rw.001/011 Kel. Cilebut Timur Kec. Sukaraja, Bogor</t>
  </si>
  <si>
    <t>08211 4404862</t>
  </si>
  <si>
    <t>88.089.230.2-403.000</t>
  </si>
  <si>
    <t>0001300201672 OK</t>
  </si>
  <si>
    <t>BCA : 0701603256</t>
  </si>
  <si>
    <t>OS1312004</t>
  </si>
  <si>
    <t>Moh. Subhan S</t>
  </si>
  <si>
    <t>Jakarta, 06 Juni 1979</t>
  </si>
  <si>
    <t>Jl. Puri Kembangan Raya Komp. Bugis RT. 002/ 003, Kembangan Selatan, Jakarta Barat</t>
  </si>
  <si>
    <t>08118824940 / 0857 78022671 / 021 70557622</t>
  </si>
  <si>
    <t>70.884.842.9.021.000</t>
  </si>
  <si>
    <t>0001300203832 OK</t>
  </si>
  <si>
    <t>Mandiri 
KCP JKT Sabang 
No : 103-00-0614956-7
A/N : Moh Subhan S</t>
  </si>
  <si>
    <t>OS1402010</t>
  </si>
  <si>
    <t>Agung Karnova</t>
  </si>
  <si>
    <t>Bandung, 23 Juni 1991</t>
  </si>
  <si>
    <t>Data Admin.</t>
  </si>
  <si>
    <t>adj eff 1 Jan'18 prev 3.355.750 ; UMP 2017 prev 3.108.000; UMP 2016 prev 2.8 jt</t>
  </si>
  <si>
    <t>NO OT, BPJS KES, JAMSOSTEK</t>
  </si>
  <si>
    <t>Jl. Palakali Raya Rt/Rw.04/06 No.11A Beji, Kukusan, Depok</t>
  </si>
  <si>
    <t>08118195146 / 08988729425 / 083819551551</t>
  </si>
  <si>
    <t>54.529.539.6.423.000</t>
  </si>
  <si>
    <t>0001300225577 OK</t>
  </si>
  <si>
    <t>BCA : 8320008914 a.n Agung Karnopa</t>
  </si>
  <si>
    <t>karnopa160411@gmail.com</t>
  </si>
  <si>
    <t>OS1406006</t>
  </si>
  <si>
    <t>Arif Suryana</t>
  </si>
  <si>
    <t>Jakarta, 10 November 1981</t>
  </si>
  <si>
    <t xml:space="preserve">UMP 2018 eff 1 Jan'18 prev 3.355.750 ; UMP 2017 prev 3.1jt; UMP 2016 prev 2.7 jt ; UMP 2015 prev 2.441.000 eff 1 Jan'15 ; </t>
  </si>
  <si>
    <t>Kp. Muara Bahari Rt/Rw.014/013 Tanjung Priok, Jakarta Utara</t>
  </si>
  <si>
    <t>0815 17337626 / 0815 14530206</t>
  </si>
  <si>
    <t>0001386299406 OK</t>
  </si>
  <si>
    <t>BCA : 0073579187</t>
  </si>
  <si>
    <t>arifsuryana10@gmail.com</t>
  </si>
  <si>
    <t>OS1408015</t>
  </si>
  <si>
    <t>Neng Irma</t>
  </si>
  <si>
    <t>Cirebon, 6 Juni 1995</t>
  </si>
  <si>
    <t>Finance Admin.</t>
  </si>
  <si>
    <t xml:space="preserve">adj eff 1 Jan'18 prev 3.5 jt ; UMP 2017 prev 3.1jt; UMP 2016 prev 2.7 jt ; UMP 2015 prev 2.441.000 eff 1 Jan'15 ; </t>
  </si>
  <si>
    <t>Perumahan Pura Bojonggede Blok B6 No.2 Kec. Tajurhalang Kab. Bogor</t>
  </si>
  <si>
    <t>081287513433 / 0878 72333516</t>
  </si>
  <si>
    <t>3209354606950006</t>
  </si>
  <si>
    <t>72.451.417.9.403.000</t>
  </si>
  <si>
    <t>0001259634352 OK</t>
  </si>
  <si>
    <t>Mandiri : 102-00-0631789-2</t>
  </si>
  <si>
    <t>OS1411003</t>
  </si>
  <si>
    <t>I Nyoman Trimayasa</t>
  </si>
  <si>
    <t>Denpasar, 20 Juni 1976</t>
  </si>
  <si>
    <t>adj eff 1 Jan'18 prev 3.5 jt ; UMP 2017 prev 3.1jt; UMP 2016 prev 2.8 jt</t>
  </si>
  <si>
    <t>Jl. Cokroaminoto 114 Ubung, Denpasar</t>
  </si>
  <si>
    <t>0813 37147488</t>
  </si>
  <si>
    <t>5171042006760006</t>
  </si>
  <si>
    <t>71.432.097.5.901.000</t>
  </si>
  <si>
    <t>0001793433576 OK</t>
  </si>
  <si>
    <t>BCA : 6690147490</t>
  </si>
  <si>
    <t>trimayasa@yahoo.com</t>
  </si>
  <si>
    <t>OS1411004</t>
  </si>
  <si>
    <t>Ernawati</t>
  </si>
  <si>
    <t>Padang, 1 April 1974</t>
  </si>
  <si>
    <t>Jl. Mayor Zen Ir. Margoyoso Rt/Rw.10/03 No.45 Kel. Sei Selayur Kec. Kalidoni, Palembang</t>
  </si>
  <si>
    <t>0815 32767631</t>
  </si>
  <si>
    <t>1671104104740006</t>
  </si>
  <si>
    <t>68.068.870.2.301.000</t>
  </si>
  <si>
    <t>0001388233089 OK</t>
  </si>
  <si>
    <t>BCA : 1150526872</t>
  </si>
  <si>
    <t>ernawati_tns_plg@yahoo.com</t>
  </si>
  <si>
    <t>OS1411013</t>
  </si>
  <si>
    <t>Suseno</t>
  </si>
  <si>
    <t>Purbalingga, 17 November 1959</t>
  </si>
  <si>
    <t>Pura Bojong Geder Blok B6 No.2, Tajur Halang, Bogor</t>
  </si>
  <si>
    <t>087873981559 / 085286655746</t>
  </si>
  <si>
    <t>3201371711590001</t>
  </si>
  <si>
    <t>59.558.752.8.403.000</t>
  </si>
  <si>
    <t>97J80180728</t>
  </si>
  <si>
    <t>0001793452061 -KELUARGA</t>
  </si>
  <si>
    <t>Mandiri : 1220005195832</t>
  </si>
  <si>
    <t xml:space="preserve">suseno@tnsglobal.com </t>
  </si>
  <si>
    <t>OS1502015</t>
  </si>
  <si>
    <t>Rifki Hidayat</t>
  </si>
  <si>
    <t>Jakarta, 16 Februari 1979</t>
  </si>
  <si>
    <t>adj eff 1 Jan'18 prev 3.5 jt ; UMP 2017 prev 3.210.000; UMP 2016 prev 3 jt</t>
  </si>
  <si>
    <t>Jl. Cideng Barat Dalam No.12 Rt/Rw.002/010 Cideng, Gambir, Jakarta Pusat</t>
  </si>
  <si>
    <t>085782355317 / 081806125572</t>
  </si>
  <si>
    <t>3171061602790005</t>
  </si>
  <si>
    <t>07.600.589.1.021.000</t>
  </si>
  <si>
    <t>0001425804467 istri mengurus di perusahaannya</t>
  </si>
  <si>
    <t>BCA : 3971023901</t>
  </si>
  <si>
    <t>rifki.hidayat92@yahoo.com, rifki.hidayat@tnsglobal.com</t>
  </si>
  <si>
    <t>OS1508035</t>
  </si>
  <si>
    <t>Saiful Anwar</t>
  </si>
  <si>
    <t>Jakarta, 12 September 1967</t>
  </si>
  <si>
    <t xml:space="preserve">UMP 2018 eff 1 Jan'18 prev 3.355.750 ; UMP 2017 prev 3.1jt; UMP 2016 prev 2.7 jt </t>
  </si>
  <si>
    <t>Jl. Tanah Koja Rt.001 Rw.010 Kel. Grogol Utara Kec. Kebayoran Lama, Jakarta Selatan</t>
  </si>
  <si>
    <t>0812 1888373</t>
  </si>
  <si>
    <t>0001123500723 OK</t>
  </si>
  <si>
    <t>BCA : 1781217404</t>
  </si>
  <si>
    <t>OS1601034</t>
  </si>
  <si>
    <t>Didik Hadhi Prayitno</t>
  </si>
  <si>
    <t>Jakarta, 8/10/1980</t>
  </si>
  <si>
    <t>UMP 2018 eff 1 Jan'18 prev 3.355.750 ; UMP 2017 prev 3.1jt</t>
  </si>
  <si>
    <t>Perum BSI Blok A15/10 Rt.011/005 Duren Mekar, Bojong Sari, Depok</t>
  </si>
  <si>
    <t>08119488213</t>
  </si>
  <si>
    <t>3276030810800010</t>
  </si>
  <si>
    <t>642250021412000</t>
  </si>
  <si>
    <t>tunggakan e_20/4/2016 tlp 2/6/2016, 14/7/2016</t>
  </si>
  <si>
    <t>BCA: 2860108391</t>
  </si>
  <si>
    <t>didikhadhiprayitno@gmail.com, didikhadhiprayitno08@gmail.com</t>
  </si>
  <si>
    <t>OS1608010</t>
  </si>
  <si>
    <t>Mega Sakirah</t>
  </si>
  <si>
    <t>Purbalingga, 4 Juli 1992</t>
  </si>
  <si>
    <t>Finance Admin</t>
  </si>
  <si>
    <t>adj eff 1 Jan'18 prev 3.4 jt ; UMP 2017 prev 3.1jt</t>
  </si>
  <si>
    <t>Jl. Kebagusan Dalam 1 No.21 Rt 008 Rw 004 Pasar Minggu</t>
  </si>
  <si>
    <t>082211777301</t>
  </si>
  <si>
    <t>3174044407920006</t>
  </si>
  <si>
    <t>734170301-017000</t>
  </si>
  <si>
    <t xml:space="preserve">0001774527794 OK
</t>
  </si>
  <si>
    <t>BCA : 5471008746</t>
  </si>
  <si>
    <t>sakirahmega@gmail.com</t>
  </si>
  <si>
    <t>OS1612011</t>
  </si>
  <si>
    <t>Fitri Handayani</t>
  </si>
  <si>
    <t>Jakarta, 19 September 1978</t>
  </si>
  <si>
    <t>Qualitative QC Executive</t>
  </si>
  <si>
    <t>adj eff 1 Jan'18 prev 3.5 jt ; UMP 2017 prev 3.1jt</t>
  </si>
  <si>
    <t>Komp. Deplu, Jl. Caraka Bhuana Blok A3 No. 10, RT 01/ RW 06 Kel. Jurangmangu Timur Kec. Pondok Aren</t>
  </si>
  <si>
    <t>087880112331</t>
  </si>
  <si>
    <t>3674035909780002</t>
  </si>
  <si>
    <t>368701504411000</t>
  </si>
  <si>
    <t>BCA : 2481506192</t>
  </si>
  <si>
    <t>fithand78@gmail.com</t>
  </si>
  <si>
    <t>OS1709001</t>
  </si>
  <si>
    <t>Muhamad Arifin</t>
  </si>
  <si>
    <t>Jakarta, 15 Maret 1982</t>
  </si>
  <si>
    <t>UMP 2018 eff 1 Jan'18 prev 3.355.750</t>
  </si>
  <si>
    <t>Jl. Kemiri VIII RT 01 / RW 04, Kel. Pondok Cabe Udik Kec. Pamulang Timur, Tangerang Selatan</t>
  </si>
  <si>
    <t>082122714320</t>
  </si>
  <si>
    <t>3674062503790006</t>
  </si>
  <si>
    <t>CIMB NIAGA : 702198986700</t>
  </si>
  <si>
    <t>OS1707032</t>
  </si>
  <si>
    <t>Sarifah Agista</t>
  </si>
  <si>
    <t>Bekasi, 18 aug 1996</t>
  </si>
  <si>
    <t>adj eff 1 Jan'18 prev 3.4 jt</t>
  </si>
  <si>
    <t>Perum Pondok Bambu Kuning Blok G2 No. 33, Bojonggede, Bogor</t>
  </si>
  <si>
    <t>0858-8361-7763</t>
  </si>
  <si>
    <t>3201135808960001</t>
  </si>
  <si>
    <t>MANDIRI : 900-00-3848202-3</t>
  </si>
  <si>
    <t>agista121@gmail.com</t>
  </si>
  <si>
    <t>OS1709049</t>
  </si>
  <si>
    <t>Dyah Ulandari</t>
  </si>
  <si>
    <t>Jakarta, 6 Agustus 1991</t>
  </si>
  <si>
    <t>UMP 2018 eff 1 Jan'18 prev 3.5 jt</t>
  </si>
  <si>
    <t>OT, BPJS KES, JAMSOSTEK</t>
  </si>
  <si>
    <t>Jl. Raya Centex, Gg. H. Hanafi No. 18, Ciracas, Jakarta Timur 13740</t>
  </si>
  <si>
    <t>08561719717</t>
  </si>
  <si>
    <t>3175094608910002</t>
  </si>
  <si>
    <t>640746087009000</t>
  </si>
  <si>
    <t>BCA : 6280834996</t>
  </si>
  <si>
    <t>ulandaridyah8@gmail.com</t>
  </si>
  <si>
    <t>OS1711041</t>
  </si>
  <si>
    <t>Munadi Arta</t>
  </si>
  <si>
    <t>Jakarta, 23 April 1965</t>
  </si>
  <si>
    <t>Jl. Nusa I RT 05 / RW 03, Kel. Kramat Jati Kec. Kramat Jati, Jakarta Timur</t>
  </si>
  <si>
    <t>3175042304650007</t>
  </si>
  <si>
    <t>470285024005000</t>
  </si>
  <si>
    <t>BCA : 1650233774</t>
  </si>
  <si>
    <t>OS1801051</t>
  </si>
  <si>
    <t>Yosephine Devina Tiurma</t>
  </si>
  <si>
    <t>Jakarta, 11 Juni 1995</t>
  </si>
  <si>
    <t>Qualitative Research Intern</t>
  </si>
  <si>
    <t>Jl. Rajawali Selatan VI/10, RT/RW 002/002, Gunung Sahari Utara, Sawah Besar, Jakarta Pusat</t>
  </si>
  <si>
    <t>081212227413</t>
  </si>
  <si>
    <t>3171025106950004</t>
  </si>
  <si>
    <t>0001737807502</t>
  </si>
  <si>
    <t>BCA 4212770802</t>
  </si>
  <si>
    <t>yosephine.devina.t@gmail.com</t>
  </si>
  <si>
    <t>terminated 25/05/2018</t>
  </si>
  <si>
    <t>OS1802063</t>
  </si>
  <si>
    <t>Selviani</t>
  </si>
  <si>
    <t>Palembang, 15 Mei 1999</t>
  </si>
  <si>
    <t>Account Executive</t>
  </si>
  <si>
    <t>Jl. Kapt. A Sastro No. 1242-1674 RT 021 / RW 07, Kel. Sungai Pangeran, Kec. Ilir Timur I</t>
  </si>
  <si>
    <t>081272727211</t>
  </si>
  <si>
    <t>1671055505990006</t>
  </si>
  <si>
    <t>Mandiri  1120558585852 a.n darwanto aries</t>
  </si>
  <si>
    <t>SELVIANIVI@GMAIL.COM</t>
  </si>
  <si>
    <t xml:space="preserve"> OS1804019</t>
  </si>
  <si>
    <t>Placement at KANTAR</t>
  </si>
  <si>
    <t>Risa Risnawati</t>
  </si>
  <si>
    <t>Bogor, 19 Februari 1995</t>
  </si>
  <si>
    <t>Bantarjati No. 16 RT 12 RW 04, Klapanunggal Kab. Bogor</t>
  </si>
  <si>
    <t>082299705522</t>
  </si>
  <si>
    <t>3201325902950001</t>
  </si>
  <si>
    <t>807794714436000</t>
  </si>
  <si>
    <t>17016173225</t>
  </si>
  <si>
    <t>0001470661604</t>
  </si>
  <si>
    <t>BCA 8691328643</t>
  </si>
  <si>
    <t>risarisnawati19@gmail.com</t>
  </si>
  <si>
    <t>kabur 5/5/2018, terminated 30/04/2018</t>
  </si>
  <si>
    <t>OS1805011</t>
  </si>
  <si>
    <t>Kantar Millwardbrown</t>
  </si>
  <si>
    <t>Afia Ramadhani</t>
  </si>
  <si>
    <t>Jakarta, 12 Februari 1996</t>
  </si>
  <si>
    <t>Market Research Intern</t>
  </si>
  <si>
    <t>NO OT, JAMSOSTEK</t>
  </si>
  <si>
    <t>Komplek Almanda F-99 RT 05 / RW 04, Kel. Sekeloa Kec. Coblong, Kota Bandung</t>
  </si>
  <si>
    <t>082219106212</t>
  </si>
  <si>
    <t>3273025202960011</t>
  </si>
  <si>
    <t>Mandiri 1310013825650</t>
  </si>
  <si>
    <t>afia_ramadhani@yahoo.co.id</t>
  </si>
  <si>
    <t xml:space="preserve"> OS1805012</t>
  </si>
  <si>
    <t>Ferdio Andrianto Willy Ren</t>
  </si>
  <si>
    <t>Karawang, 20 Maret 1995</t>
  </si>
  <si>
    <t>Apartemen Mediterania G R TWR C-21-GF RT 03 / RW 05, Tanjung Duren Selatan, Grogol Petamburan, Jakarta Barat</t>
  </si>
  <si>
    <t>087875083225</t>
  </si>
  <si>
    <t>3173042003951004</t>
  </si>
  <si>
    <t>843843079036000</t>
  </si>
  <si>
    <t>BCA 0762195133</t>
  </si>
  <si>
    <t>ferdioren.andrianto@gmail.com</t>
  </si>
  <si>
    <t>OS1705035</t>
  </si>
  <si>
    <t>Widya Garnieta Taruna</t>
  </si>
  <si>
    <t>Bandung, 4 Februari 1992</t>
  </si>
  <si>
    <t>15 Mei 2017</t>
  </si>
  <si>
    <t>salary prorate based on attendance / internship</t>
  </si>
  <si>
    <t>BPJS Kes, JKK &amp; JKM only</t>
  </si>
  <si>
    <t>Jl. Jurang No.709/181 Bandung 40161</t>
  </si>
  <si>
    <t xml:space="preserve">3273284402920003   </t>
  </si>
  <si>
    <t xml:space="preserve">734002777428000   </t>
  </si>
  <si>
    <t xml:space="preserve">0 1457126515   </t>
  </si>
  <si>
    <t xml:space="preserve">Mandiri : 130-00-1564764-0   </t>
  </si>
  <si>
    <t xml:space="preserve">witgarr@gmail.com       </t>
  </si>
  <si>
    <t>not extend 14/7/2017</t>
  </si>
  <si>
    <t>OS1405004</t>
  </si>
  <si>
    <t>Thya Paramita 1988a</t>
  </si>
  <si>
    <t>Jakarta, 28 Oktober 1991</t>
  </si>
  <si>
    <t xml:space="preserve">UMP 2017 prev 3.1jt; UMP 2016 prev 2.7 jt ; UMP 2015 prev 2.441.000 eff 1 Jan'15 ; </t>
  </si>
  <si>
    <t>Pondok Pekayon Indah Jl. Palem Timur Blok CC 19 No. 23. Bekasi Selatan</t>
  </si>
  <si>
    <t>0857 17823984</t>
  </si>
  <si>
    <t>554868950432000</t>
  </si>
  <si>
    <t>0000073138792 OK</t>
  </si>
  <si>
    <t>BCA : 2060138764</t>
  </si>
  <si>
    <t>paramita_thya@rocketmail.com, thyaparamita28@gmail.com</t>
  </si>
  <si>
    <t>permanent 1/8/2017</t>
  </si>
  <si>
    <t>UMP 2017 prev 3.1jt; UMP 2016 prev 2.7 jt ; UMP 2015 prev 2.441.000 eff 1 Jan'15 ; UMP 2014 prev 2.2jt ; new UMP 2013 prev 1.560.357 ; new UMP 2011 prev 1.118.009 ; UMP 2012 prev 1.290.000</t>
  </si>
  <si>
    <t>UMP 2017 prev 3.1jt; UMP 2016 prev 2.7 jt ; UMP 2015 prev 2.441.000 eff 1 Jan'15 ; UMP 2014 prev 2.2jt ; new UMP 2013 prev 1.560.357 ; UMP 2012 prev 1.290.000 / 10.000</t>
  </si>
  <si>
    <t>OS1104020</t>
  </si>
  <si>
    <t>Darseno</t>
  </si>
  <si>
    <t>UMP 2017 prev 3.1jt; UMP 2016 prev 2.7 jt ; UMP 2015 prev 2.441.000 eff 1 Jan'15 ; UMP 2014 prev 2.2jt ; new UMP 2013 prev 1.560.357 ; UMP 2012 prev 1.500.000</t>
  </si>
  <si>
    <t>Jl. Kemiri VIII RT.001 RW.004 Kel. Pondok Cabe Udik Kec. Pamulang, Tangerang</t>
  </si>
  <si>
    <t>081384233900</t>
  </si>
  <si>
    <t>59.558.760.1-411.000</t>
  </si>
  <si>
    <t>0001141245562 -KELUARGA</t>
  </si>
  <si>
    <t>Mandiri : 1220005373140</t>
  </si>
  <si>
    <t>UMP 2017 prev 3.1jt; UMP 2016 prev 2.7 jt ; UMP 2015 prev 2.441.000 eff 1 Jan'15 ; UMP 2014 prev 2.2jt ; new UMP 2013 prev 1.560.357 ;</t>
  </si>
  <si>
    <t>OS1309015</t>
  </si>
  <si>
    <t>Linda Indrianti</t>
  </si>
  <si>
    <t>Purwakarta, 6 Maret 1993</t>
  </si>
  <si>
    <t>UMP 2017 prev 3.1jt; UMP 2016 prev 2.7 jt ; UMP 2015 eff 1/1/2015 prev 2.685.100 ; increase per 2 Sept'14 prev 2.441.000 ; UMP 2014 prev 2.2jt</t>
  </si>
  <si>
    <t>Kp. Tonjong Rt.001 Rw.009 Ds. Tonjong Kec. Tajurhalang Kab. Bogor, Jawa Barat</t>
  </si>
  <si>
    <t>0812 90229843</t>
  </si>
  <si>
    <t>66.366.246.8-403.000</t>
  </si>
  <si>
    <t>0001154783327 OK</t>
  </si>
  <si>
    <t>BRI : 0813-01-034575-53-5</t>
  </si>
  <si>
    <t>lindaindrianti@gmail.com</t>
  </si>
  <si>
    <t>Permanent 1/8/2017</t>
  </si>
  <si>
    <t>shorten 31/8/2017, terminated</t>
  </si>
  <si>
    <t>OS1609010</t>
  </si>
  <si>
    <t>Indo HR</t>
  </si>
  <si>
    <t>Fazrin Arief</t>
  </si>
  <si>
    <t>Brebes, 14 aug 1986</t>
  </si>
  <si>
    <t>UMP 2017 prev 3.1jt</t>
  </si>
  <si>
    <t>JPK</t>
  </si>
  <si>
    <t>Kp. Tengah RT 03 / RW 06, Cileungsi, Bogor 16820, Jawa Barat</t>
  </si>
  <si>
    <t>087814148686 / 081380816005</t>
  </si>
  <si>
    <t>3201071408860004</t>
  </si>
  <si>
    <t>713946846436000</t>
  </si>
  <si>
    <t>BCA : 5455021160 ; 
BRI : 0206-01-097774-50-1</t>
  </si>
  <si>
    <t>Yantiqul Fasikhah</t>
  </si>
  <si>
    <t>Tegal, 20 Mei 1998</t>
  </si>
  <si>
    <t>Intern</t>
  </si>
  <si>
    <t>Apartemen Simprug Teras, Jl. Teuku Nyak Arief, Arteri Simprug, Jakarta Selatan</t>
  </si>
  <si>
    <t xml:space="preserve">UMP 2017 prev 3.1jt; UMP 2016 prev 2.7 jt ; UMP 2015 prev 2.441.000 eff 1 Jan'15 ; UMP 2014 prev 2.2jt ; new UMP 2013 prev 1.560.357 ; </t>
  </si>
  <si>
    <t>OS1612003</t>
  </si>
  <si>
    <t>Adin Galang Daniswara</t>
  </si>
  <si>
    <t>Malang, 19 Januari 1994</t>
  </si>
  <si>
    <t>HR Executive</t>
  </si>
  <si>
    <t>adj 5 Juni'17 prev 4.5 jt</t>
  </si>
  <si>
    <t>Jl. Pisang Agung  No. 58 RT 06 / RW 05, Kel. Pisang Candi Kec. Sukun, Malang</t>
  </si>
  <si>
    <t>087859245256</t>
  </si>
  <si>
    <t>3507221901940002</t>
  </si>
  <si>
    <t>80.570.613.2-623.000</t>
  </si>
  <si>
    <t>adin.daniswara@gmail.com</t>
  </si>
  <si>
    <t>permanent 30/9/2017</t>
  </si>
  <si>
    <t>OS1707031</t>
  </si>
  <si>
    <t>Merlina Siwi Romadhon</t>
  </si>
  <si>
    <t>Tulungagung, 29 Juli 1991</t>
  </si>
  <si>
    <t>Jl. Stadion No. 56, Kec. Kedungwaru Kab. Tulungaagung</t>
  </si>
  <si>
    <t>3504036907910003</t>
  </si>
  <si>
    <t>66.917.613.3-629.000</t>
  </si>
  <si>
    <t>14015556526</t>
  </si>
  <si>
    <t>MANDIRI : 141-00-1089259-4</t>
  </si>
  <si>
    <t>merlina.s.romadhon@gmail.com</t>
  </si>
  <si>
    <t>resign 30/9/2017</t>
  </si>
  <si>
    <t>OS1711015</t>
  </si>
  <si>
    <t>Edyna Ayu Qousersha</t>
  </si>
  <si>
    <t>Jakarta, 3 Agustus 1994</t>
  </si>
  <si>
    <t>Jl. Dempo A5/9, Bukit Permai 002/011 Kel. Cibubur Kec. Ciracas Jakarta Timur 13720</t>
  </si>
  <si>
    <t>087880880178</t>
  </si>
  <si>
    <t>3175094308940007</t>
  </si>
  <si>
    <t>83.174.294.5-009.000</t>
  </si>
  <si>
    <t>BNI : 0273891517</t>
  </si>
  <si>
    <t>edynaayu@gmail.com</t>
  </si>
  <si>
    <t>permanent 1/2/2018</t>
  </si>
  <si>
    <t>OS1711016</t>
  </si>
  <si>
    <t>Sasha Shadira</t>
  </si>
  <si>
    <t>Jakarta, 20 Juni 1995</t>
  </si>
  <si>
    <t>Graphic Designer</t>
  </si>
  <si>
    <t>Jalan Camar 6, Blok BL-8, RT/RW 002/008, Kel. Pondok Betung, Kec. Pondok Aren</t>
  </si>
  <si>
    <t>021-7357033 / 081519203862</t>
  </si>
  <si>
    <t>3674036006950010</t>
  </si>
  <si>
    <t>83.183.312.4-453.000</t>
  </si>
  <si>
    <t>0001723003301</t>
  </si>
  <si>
    <t>MANDIRI : 164-00-0227467-0</t>
  </si>
  <si>
    <t>s.shadira@gmail.com</t>
  </si>
  <si>
    <t>permanent 6/2/2018</t>
  </si>
  <si>
    <t>OS1711073</t>
  </si>
  <si>
    <t>Nadeen Samira Rusdi</t>
  </si>
  <si>
    <t>Jakarta, 18 September 1993</t>
  </si>
  <si>
    <t>JL. RE Martadinata No 19, Ciputat</t>
  </si>
  <si>
    <t>3674045809930001</t>
  </si>
  <si>
    <t>83.326.100.1-453.000</t>
  </si>
  <si>
    <t>Mandiri: 101-00-0973300-5</t>
  </si>
  <si>
    <t>samiranadeen@gmail.com</t>
  </si>
  <si>
    <t>permanent 18/2/2018</t>
  </si>
  <si>
    <t>OS1801049</t>
  </si>
  <si>
    <t>Hanief Rachmanu Kautsar</t>
  </si>
  <si>
    <t>18 Maret 1994</t>
  </si>
  <si>
    <t>Jl. Batu Merah 1 NO. 3 RT 02/ RW 02, Kel. Pejaten Timur Kec. Pasar Minggu Jakarta Selatan</t>
  </si>
  <si>
    <t>085891331235 / '085891331235</t>
  </si>
  <si>
    <t>3520171803940002</t>
  </si>
  <si>
    <t>83.564.342.0-646.000</t>
  </si>
  <si>
    <t>0000105321778</t>
  </si>
  <si>
    <t>Mandiri : 124-00-0799393-5</t>
  </si>
  <si>
    <t>HANIEF.RACHMANU21@GMAIL.COM</t>
  </si>
  <si>
    <t>terminated 30/3/2018</t>
  </si>
  <si>
    <t>OS1801050</t>
  </si>
  <si>
    <t>Wilona Olga Kaulika</t>
  </si>
  <si>
    <t>Padang, 10 November 1995</t>
  </si>
  <si>
    <t>Jl. Kanayakan Baru No. 37, Dago, Kec. Coblong Bandung</t>
  </si>
  <si>
    <t>085272527029</t>
  </si>
  <si>
    <t>1371045011950003</t>
  </si>
  <si>
    <t>836757443003000</t>
  </si>
  <si>
    <t>0000170511513</t>
  </si>
  <si>
    <t>BNI 0322421718</t>
  </si>
  <si>
    <t>wilonaok@gmail.com</t>
  </si>
  <si>
    <t>OS1801052</t>
  </si>
  <si>
    <t>Refi Hasriani Utami</t>
  </si>
  <si>
    <t>Jakarta, 27 Februari 1996</t>
  </si>
  <si>
    <t>Jl. Delima IX No. 35 RT 14 RW 03, Rambutan, Ciracas</t>
  </si>
  <si>
    <t>021-8401642 / 08161853999</t>
  </si>
  <si>
    <t>3175096702960002</t>
  </si>
  <si>
    <t>75.600.478.4-009.000</t>
  </si>
  <si>
    <t>0001808615946</t>
  </si>
  <si>
    <t>BNI 0375175409</t>
  </si>
  <si>
    <t>Refi.hasriani@gmail.com</t>
  </si>
  <si>
    <t>OS1709037</t>
  </si>
  <si>
    <t>R. Mohammad Nico Iskandar</t>
  </si>
  <si>
    <t>Visual Graphic Executive</t>
  </si>
  <si>
    <t>Jl. Cemara, BDN Jatiwaringin, Pondok Gede, Jakarta Timur</t>
  </si>
  <si>
    <t>087882780990</t>
  </si>
  <si>
    <t>3275081011960021</t>
  </si>
  <si>
    <t>82.916.069.6-447.000</t>
  </si>
  <si>
    <t>Mandiri : 1670001553626</t>
  </si>
  <si>
    <t>wellnicoagain@gmail.com, nicoiskandar12@gmail.com</t>
  </si>
  <si>
    <t>PERMANENT 1/4/2018</t>
  </si>
  <si>
    <t>LIST OF EMPLOYEES PLACED AT PT. NOKIA INDONESIA</t>
  </si>
  <si>
    <t>Reporting Manager</t>
  </si>
  <si>
    <t>Probation</t>
  </si>
  <si>
    <t>Permanent by IndoHR</t>
  </si>
  <si>
    <t xml:space="preserve">Meal &amp; Transport </t>
  </si>
  <si>
    <t>Other Allowance</t>
  </si>
  <si>
    <t>Comm. Allow.</t>
  </si>
  <si>
    <t>Incentive (Variable - based on KPI)</t>
  </si>
  <si>
    <t>E-mail</t>
  </si>
  <si>
    <t>No. NPWP</t>
  </si>
  <si>
    <t>OS1602076</t>
  </si>
  <si>
    <t>Fika Yuniafi</t>
  </si>
  <si>
    <t>Jakarta, 26 Juni 1988</t>
  </si>
  <si>
    <t>HR Operations Support</t>
  </si>
  <si>
    <t>adj 10% eff 22 Feb'18 prev 7.020.000 ; adj 8% eff 22 Feb'17 prev 6.5 jt</t>
  </si>
  <si>
    <t>BPJS KES, ASURANSI FAM 400</t>
  </si>
  <si>
    <t>Jl. Juragan Sinda V No.54 Rt.002/02 Kukusan Beji Depok 16425</t>
  </si>
  <si>
    <t>0856 91852553</t>
  </si>
  <si>
    <t>10018752013</t>
  </si>
  <si>
    <t>0001628834466 OK</t>
  </si>
  <si>
    <t>fikayuniafi@ymail.com, ext-fika.yuniafi@microsoft.com</t>
  </si>
  <si>
    <t>BCA : 5255041883</t>
  </si>
  <si>
    <t>34.790.180.3-412.000</t>
  </si>
  <si>
    <t>OS1501003</t>
  </si>
  <si>
    <t>Endang Dwimartiah Arsanti</t>
  </si>
  <si>
    <t>Uj. Pandang, 19 Maret 1975</t>
  </si>
  <si>
    <t>Regional Analyst</t>
  </si>
  <si>
    <t>Wahyu Wardhana</t>
  </si>
  <si>
    <t>Jamsostek, AKDHK, Insurance In/out patient Plan 400, Eye Glasses, and Dental</t>
  </si>
  <si>
    <t>Jl. Teluk Sibolga Kav. AL Blok B/10, Pondok Bambu, Jakarta 13430</t>
  </si>
  <si>
    <t>0813 82394243 / nti2fie@gmail.com, ed_arsanti@yahoo.com.sg</t>
  </si>
  <si>
    <t>nti2fie@gmail.com, ed_arsanti@yahoo.com.sg</t>
  </si>
  <si>
    <t>BCA an.Rr Endang D. Arsanti : 2741323470 / Jamsos : 08017369169</t>
  </si>
  <si>
    <t>67.903.770.5.008.000 / 3175075903750005</t>
  </si>
  <si>
    <t>not extend 11/1/2016</t>
  </si>
  <si>
    <t>BPJS PROSES</t>
  </si>
  <si>
    <t>OS1412001</t>
  </si>
  <si>
    <t>Sakti Halomoan Siregar</t>
  </si>
  <si>
    <t>Lubuksikaping, 28 April 1986</t>
  </si>
  <si>
    <t>Store Deployment Manager</t>
  </si>
  <si>
    <t>Syariful Akbar</t>
  </si>
  <si>
    <t>Jl. Asofa Raya No.26A Rt/Rw.001/004 Kel. Sukabumi Utara Kec. Kebon Jeruk, Jakarta Barat</t>
  </si>
  <si>
    <t>08 111582829 / ext-sakti.halomoan@microsoft.com</t>
  </si>
  <si>
    <t>ext-sakti.halomoan@microsoft.com</t>
  </si>
  <si>
    <t>BCA : 5500248736</t>
  </si>
  <si>
    <t>49.982.959.6.215.000 / 3173072804860012</t>
  </si>
  <si>
    <t>resign 20/1/2016</t>
  </si>
  <si>
    <t>BPJS DONE</t>
  </si>
  <si>
    <t>OS1410007</t>
  </si>
  <si>
    <t>Dewi Martanti Indriyani</t>
  </si>
  <si>
    <t>Surakarta, 4 Maret 1981</t>
  </si>
  <si>
    <t>Trade Marketing Coordinator</t>
  </si>
  <si>
    <t>Yadi Prayitno</t>
  </si>
  <si>
    <t>Pedurenan Masjid 4 No.1 Rt.02 Rw.4 Kel. Karet Kuningan Kec. Setiabudi, Jakarta Selatan</t>
  </si>
  <si>
    <t>0838 71988900 / ext-indri.martanti@microsoft.com</t>
  </si>
  <si>
    <t>ext-indri.martanti@microsoft.com</t>
  </si>
  <si>
    <t xml:space="preserve">BCA : 4890075270 </t>
  </si>
  <si>
    <t>55.689.717.1.002.000 / 3175034403810001</t>
  </si>
  <si>
    <t>resign 29/2/2016</t>
  </si>
  <si>
    <t>OS1601025</t>
  </si>
  <si>
    <t>Rizka Amelia</t>
  </si>
  <si>
    <t>Jakarta, 13 Maret 1986</t>
  </si>
  <si>
    <t>Jl. Gg. Keamanan I No.41 Rt/Rw.001/014 Tebet Barat, Jakarta Selatan</t>
  </si>
  <si>
    <t xml:space="preserve">021-94125496 / &amp;6281287079878  </t>
  </si>
  <si>
    <t>rizkamelia.2@gmail.com</t>
  </si>
  <si>
    <t>BCA: 4581539228</t>
  </si>
  <si>
    <t>599676418015000 / KTP : 3174015303860006</t>
  </si>
  <si>
    <t>RESIGN 24/2/16</t>
  </si>
  <si>
    <t>OS1505042</t>
  </si>
  <si>
    <t>Dewi Rachmayana</t>
  </si>
  <si>
    <t>Gresik, 3 April 1983</t>
  </si>
  <si>
    <t>Retail Investment Manager</t>
  </si>
  <si>
    <t>Komp. Cipondoh Makmur Blok G VIII/6 Tangerang 15148</t>
  </si>
  <si>
    <t>08119401131</t>
  </si>
  <si>
    <t>ext-dewi.rachmayana@microsoft.com</t>
  </si>
  <si>
    <t>BCA : 6890873471 / Jamsos : 14043827386</t>
  </si>
  <si>
    <t>68.471.389.4.416.000</t>
  </si>
  <si>
    <t>resign 31 Maret 2016</t>
  </si>
  <si>
    <t>PERMANENT</t>
  </si>
  <si>
    <t>OS1505048</t>
  </si>
  <si>
    <t>Andam</t>
  </si>
  <si>
    <t>Binjai, 6 Oktober 1984</t>
  </si>
  <si>
    <t>Supply Chain Coordinator</t>
  </si>
  <si>
    <t>Jay Exconde, Mr (Care Operation Director)
email : jay.exconde@microsoft.com</t>
  </si>
  <si>
    <t>Jl. Mojopahit Baru No. 20 C Medan</t>
  </si>
  <si>
    <t>08119882553</t>
  </si>
  <si>
    <t>10002313566</t>
  </si>
  <si>
    <t>0001658554907 OK</t>
  </si>
  <si>
    <t>andam.tjhan@live.com</t>
  </si>
  <si>
    <t>BCA : 8250022159</t>
  </si>
  <si>
    <t>35.123.222.8.124.000</t>
  </si>
  <si>
    <t>EOC 30 APR 2016</t>
  </si>
  <si>
    <t>OS1505049</t>
  </si>
  <si>
    <t>Heri Suhendro</t>
  </si>
  <si>
    <t>Pematangsiantar, 23 Januari 1980</t>
  </si>
  <si>
    <t>Jl. Letjend Suprapto NG.I/322 Ngampilan, Yogyakarta 25561</t>
  </si>
  <si>
    <t>08116027001</t>
  </si>
  <si>
    <t>12021376442</t>
  </si>
  <si>
    <t>0001658554953 OK</t>
  </si>
  <si>
    <t>heri.suhendro@outlook.com</t>
  </si>
  <si>
    <t>BCA : 7865051751</t>
  </si>
  <si>
    <t>25.001.227.5.117.000</t>
  </si>
  <si>
    <t>OS1501001</t>
  </si>
  <si>
    <t>Lydia Dewi Samudra</t>
  </si>
  <si>
    <t>Bogor, 19 Oktober 1990</t>
  </si>
  <si>
    <t>Novita Engel / Wahyu   Wardhana</t>
  </si>
  <si>
    <t>marcus.maelissa@microsoft.com</t>
  </si>
  <si>
    <t>eff Jan '16 prev BS 4.450.000, Jamsostek, AKDHK, Insurance In/out patient Plan 400, Eye Glasses, and Dental</t>
  </si>
  <si>
    <t>Mantarena IV No.11B Rt/Rw.001/003 Kel. Panaragan Kec. Kota Bogor Tengah, Kota Bogor</t>
  </si>
  <si>
    <t>0251.8340945 / 081319218783</t>
  </si>
  <si>
    <t>3271035910900002</t>
  </si>
  <si>
    <t>14019737700</t>
  </si>
  <si>
    <t>0001609562643 OK</t>
  </si>
  <si>
    <t>lydiads19@gmail.com, lydiadewi@corphr.com</t>
  </si>
  <si>
    <t>BCA : 5270283103</t>
  </si>
  <si>
    <t>97.190.520.404.000</t>
  </si>
  <si>
    <t>terminated 30/11/16</t>
  </si>
  <si>
    <t>OS1504001</t>
  </si>
  <si>
    <t>Komala Satriana</t>
  </si>
  <si>
    <t>Jakarta, 15 Januari 1976</t>
  </si>
  <si>
    <t>Investment Controller, MMDS</t>
  </si>
  <si>
    <t>Sripriya Ramachandra</t>
  </si>
  <si>
    <t>Adjust 7 % per 1 Apr '16 prev 19.200.000</t>
  </si>
  <si>
    <t>Jl. Taman Permata VI Blok F-19, Cluster Neo Permata Bintaro Sektor 9, Tangerang</t>
  </si>
  <si>
    <t>081908730500 / 081387772220 / 0217333354</t>
  </si>
  <si>
    <t>3671065501760001</t>
  </si>
  <si>
    <t>0001842674286 -KELUARGA</t>
  </si>
  <si>
    <t>komala.satriana@gmail.com</t>
  </si>
  <si>
    <t>Mandiri : 155.000.244.500.8</t>
  </si>
  <si>
    <t>49.988.778.4.402.000 a.n Agung Permana</t>
  </si>
  <si>
    <t>OS1505043</t>
  </si>
  <si>
    <t>Drajat Pradono</t>
  </si>
  <si>
    <t>Wonogiri, 27 April 1975</t>
  </si>
  <si>
    <t>Operational Manager</t>
  </si>
  <si>
    <t>Kav. PTB Blok J4 No.15 Duren Sawit, Klender, Jakarta Timur</t>
  </si>
  <si>
    <t>08111752543</t>
  </si>
  <si>
    <t>0001658555289 OK</t>
  </si>
  <si>
    <t>ext-drajat.pradono@microsoft.com</t>
  </si>
  <si>
    <t>BCA : 2551229493</t>
  </si>
  <si>
    <t>68.472.224.2.008.000</t>
  </si>
  <si>
    <t>OS1505047</t>
  </si>
  <si>
    <t>Denny Candrawijaya</t>
  </si>
  <si>
    <t>Malang, 17 Februari 1980</t>
  </si>
  <si>
    <t>adjust Jan '16 prev 8.165.190</t>
  </si>
  <si>
    <t>Komplek Mabad 1, Jl. Belimbing No. 71, Srengseng Sawah, Jagakarsa, Jakarta Selatan 12640</t>
  </si>
  <si>
    <t>08111990816</t>
  </si>
  <si>
    <t>08022923315</t>
  </si>
  <si>
    <t>0001658555144 OK</t>
  </si>
  <si>
    <t>dennycandra@windowslive.com</t>
  </si>
  <si>
    <t>BCA : 3631391034</t>
  </si>
  <si>
    <t>59.757.917.6.619.000</t>
  </si>
  <si>
    <t>OS1508022</t>
  </si>
  <si>
    <t>Feilie Hambali</t>
  </si>
  <si>
    <t>23 Mei 1981</t>
  </si>
  <si>
    <t>Secretary</t>
  </si>
  <si>
    <t>Adjust 10 % per 1 Apr '16 prev 12.960.000</t>
  </si>
  <si>
    <t>Jl. Siaga I No.21 Rt.008 Rw.04 Angke, Jakarta Barat 11330</t>
  </si>
  <si>
    <t>0812 1033 778 / 6307453 / 081315692700</t>
  </si>
  <si>
    <t>3173046305810001</t>
  </si>
  <si>
    <t>08003927186</t>
  </si>
  <si>
    <t>feilie.hambali@microsoft.com</t>
  </si>
  <si>
    <t>BCA : 2551264141 a.n Ham Feilie Hambali</t>
  </si>
  <si>
    <t>47.456.040.6-033.000</t>
  </si>
  <si>
    <t>OS1510004</t>
  </si>
  <si>
    <t>Ricky Setiawan</t>
  </si>
  <si>
    <t>Jakarta, 24 April 1981</t>
  </si>
  <si>
    <t>Lead Trainer, MMDS</t>
  </si>
  <si>
    <t>Jl. Cendana IV Blok E No.65 Komplek Poris Indah, Tangerang</t>
  </si>
  <si>
    <t>021-5546173 / 081296017622</t>
  </si>
  <si>
    <t>3171032404810001</t>
  </si>
  <si>
    <t>14021872123</t>
  </si>
  <si>
    <t>0001738832747 ok</t>
  </si>
  <si>
    <t>riqbest@gmail.com</t>
  </si>
  <si>
    <t>BCA : 5270460331 a.n Liauw Ricky Setiawan</t>
  </si>
  <si>
    <t>09.054.250.7.027.000</t>
  </si>
  <si>
    <t>LIST OF EMPLOYEES PLACED AT PT. TNS Mobile HMD Global</t>
  </si>
  <si>
    <t>OS1612022   </t>
  </si>
  <si>
    <t>BPJS KES, BNI LIFE 400 ALL BENEFIT</t>
  </si>
  <si>
    <t>OS1612024</t>
  </si>
  <si>
    <t>OS1612025</t>
  </si>
  <si>
    <t>entitle com allow eff Des'16 E_31/8/2017</t>
  </si>
  <si>
    <t>OS1705037</t>
  </si>
  <si>
    <t>Iin Surijono</t>
  </si>
  <si>
    <t>Jakarta, 10 aug 1979</t>
  </si>
  <si>
    <t>Channel Marketing Lead</t>
  </si>
  <si>
    <t>20%</t>
  </si>
  <si>
    <t>Jl. Pejagalan Raya No.31 Rt/Rw.001/002 Pekojan, Tambora, Jakarta Barat</t>
  </si>
  <si>
    <t xml:space="preserve">&amp;628128551003 / 08119106858   / (021) 6630232   </t>
  </si>
  <si>
    <t>3173045008790002</t>
  </si>
  <si>
    <t xml:space="preserve">0001633475632 </t>
  </si>
  <si>
    <t>isurijono@gmail.com</t>
  </si>
  <si>
    <t>BCA : 3011353272</t>
  </si>
  <si>
    <t>48.892.270.9.033.000</t>
  </si>
  <si>
    <t>OS1708006</t>
  </si>
  <si>
    <t>Nevy Marthen Mailoa</t>
  </si>
  <si>
    <t>Ambon, 1 November 1970</t>
  </si>
  <si>
    <t>Business Manager, East</t>
  </si>
  <si>
    <t>Jl. Toba No. 5 Perum Pesona Telaga RT 04 / RW 02, Kel. Harapan Jaya Kec. Cibinong, Bogor - Jawa Barat</t>
  </si>
  <si>
    <t>081808159799</t>
  </si>
  <si>
    <t>3276060111700005</t>
  </si>
  <si>
    <t>0002065359137</t>
  </si>
  <si>
    <t>nevymailoa1970@gmail.com</t>
  </si>
  <si>
    <t>BCA : 8690714788</t>
  </si>
  <si>
    <t>47.733.667.1-412.000</t>
  </si>
  <si>
    <t>OS1708007</t>
  </si>
  <si>
    <t>Irvan Ridha Hasibuan</t>
  </si>
  <si>
    <t>Jakarta, 27 April 1980</t>
  </si>
  <si>
    <t>Master Trainer</t>
  </si>
  <si>
    <t>Cempaka Putih Barat V/20 RT 07 / RW 03, Kel. Cempaka Putih Barat, Jakarta Pusat</t>
  </si>
  <si>
    <t>081287289495</t>
  </si>
  <si>
    <t>3171052704800004</t>
  </si>
  <si>
    <t>irvan.ridha80@gmail.com</t>
  </si>
  <si>
    <t>BCA : 0751451821</t>
  </si>
  <si>
    <t>59.094.983.0-024.000</t>
  </si>
  <si>
    <t>OS1711002</t>
  </si>
  <si>
    <t>Tony Alexander</t>
  </si>
  <si>
    <t>Jakarta, 11 November 1992</t>
  </si>
  <si>
    <t>Digital Lead</t>
  </si>
  <si>
    <t>Jl. Bina Waluya B.2 / 12 RT/RW : 003/004, Sunter Jaya - Tanjung Priok Jakarta Utara 14350</t>
  </si>
  <si>
    <t>021 - 6503223 / +6287894088262</t>
  </si>
  <si>
    <t>3172021111920004</t>
  </si>
  <si>
    <t>0001274945477</t>
  </si>
  <si>
    <t>tony.alexander.brand@gmail.com</t>
  </si>
  <si>
    <t>BCA : 4281528011</t>
  </si>
  <si>
    <t>64.189.163.5-048.000</t>
  </si>
  <si>
    <t>OS1612021   </t>
  </si>
  <si>
    <t>OS1612023 </t>
  </si>
  <si>
    <t>OS1612026</t>
  </si>
  <si>
    <t>OS1710001</t>
  </si>
  <si>
    <t>Fransisca Rhea Danaparamita</t>
  </si>
  <si>
    <t>Surabaya, 19 November 1988</t>
  </si>
  <si>
    <t>Digital Marketing Lead</t>
  </si>
  <si>
    <t>Pondok Pekayon Indah Blok A9 No. 20</t>
  </si>
  <si>
    <t>OS1707007</t>
  </si>
  <si>
    <t>Filino Nicholas Liberty</t>
  </si>
  <si>
    <t>Jakarta, 4 Juli 1986</t>
  </si>
  <si>
    <t>Analytics &amp; MIS Lead</t>
  </si>
  <si>
    <t>Jl. Kayu Mas Timur Blok A No 2, RT 002 / RW 009 Kelurahan Pulo Gadung Kecamatan Pulo Gadung, Jakarta Timur</t>
  </si>
  <si>
    <t>0214712441 / 081905303023</t>
  </si>
  <si>
    <t>3175020407360001</t>
  </si>
  <si>
    <t>filino.nicholas@gmail.com</t>
  </si>
  <si>
    <t>BCA : 0940677262</t>
  </si>
  <si>
    <t>77.004.660.5-003.000</t>
  </si>
  <si>
    <t>resign 25/10/2017</t>
  </si>
  <si>
    <t>LIST OF EMPLOYEE PLACED AT ALLEN &amp; OVERY</t>
  </si>
  <si>
    <t>BPJS Kes belum diconfirm klien</t>
  </si>
  <si>
    <t>PKWT Zen Armada (Break)</t>
  </si>
  <si>
    <t>Fixed Allow.</t>
  </si>
  <si>
    <t>email</t>
  </si>
  <si>
    <t>OS1708008</t>
  </si>
  <si>
    <t>Septa Marini Silaen</t>
  </si>
  <si>
    <t>Medan, 26 September 1981</t>
  </si>
  <si>
    <t>Legal Personal Assistant</t>
  </si>
  <si>
    <t>OT, Jamsostek, Asuransi 250 RI RJ, BPJS KES</t>
  </si>
  <si>
    <t>THR Christmas</t>
  </si>
  <si>
    <t>Jalan Nusa Indah 6 Gang 11 No. 227, Malaka Jaya, Duren Sawit, Jakarta</t>
  </si>
  <si>
    <t>Mandiri : 1040004140369</t>
  </si>
  <si>
    <t>24.625.472.6-125.000</t>
  </si>
  <si>
    <t>1207266609810001</t>
  </si>
  <si>
    <t>05J80144842</t>
  </si>
  <si>
    <t>0002256228966</t>
  </si>
  <si>
    <t>rini_silaen@yahoo.co.uk</t>
  </si>
  <si>
    <t>OS1511011</t>
  </si>
  <si>
    <t>Fitri Hestiyanti</t>
  </si>
  <si>
    <t>Tangerang, 1 Juni 1986</t>
  </si>
  <si>
    <t>Credit Controller</t>
  </si>
  <si>
    <t>gross</t>
  </si>
  <si>
    <t>OT, Jamsostek, Asuransi RI RJ</t>
  </si>
  <si>
    <t>Bpjs kes belum confirm</t>
  </si>
  <si>
    <t>Cimone Rt/Rw.002/001 Kel. Cimone Kec. Karawaci, Kota Tangerang 15114</t>
  </si>
  <si>
    <t>085697968539</t>
  </si>
  <si>
    <t>BCA : 2551231846</t>
  </si>
  <si>
    <t>57.740.117.7.402.000</t>
  </si>
  <si>
    <t>BPJS Kes belum confirm</t>
  </si>
  <si>
    <t>v3_haye@yahoo.co.id</t>
  </si>
  <si>
    <t>terminated 8/5/2016</t>
  </si>
  <si>
    <t>OS1607009</t>
  </si>
  <si>
    <t>Yane Handayani</t>
  </si>
  <si>
    <t>Bandung, 17 Nopember 1982</t>
  </si>
  <si>
    <t>GA Administrator</t>
  </si>
  <si>
    <t>Jl. Jelita No. 30 RT 04 / RW 02, Kel. Tengah Kec. Kramat Jati, Jakarta Timur 13540</t>
  </si>
  <si>
    <t>BCA : 6281011488</t>
  </si>
  <si>
    <t>47.467.829.9.424.000</t>
  </si>
  <si>
    <t>3175095711820016</t>
  </si>
  <si>
    <t>0001771296941
 - KELUARGA</t>
  </si>
  <si>
    <t>yh171182@gmail.com</t>
  </si>
  <si>
    <t>ada kasus, terminated 14/6/2017, gaji juni full</t>
  </si>
  <si>
    <t>OS1501009</t>
  </si>
  <si>
    <t>Fransiska Melania</t>
  </si>
  <si>
    <t>17 Mei 1981</t>
  </si>
  <si>
    <t>Legal Proffesional Assistant</t>
  </si>
  <si>
    <t>adj 1 Mei'17 prev 8 jt ; adjust 1 Mei'16 prev BS 6 jt nett FA none</t>
  </si>
  <si>
    <t>alamat KTP: Kav. PTB BLK L8/26, Tegal Alur, Kalideres, Jakarta Barat (u/ lap pajak) /
Permata Japos Blok B No.12A Peninggilan, Ciledug, Tangerang</t>
  </si>
  <si>
    <t>0816925108</t>
  </si>
  <si>
    <t>Mandiri : 1180006135239</t>
  </si>
  <si>
    <t>49.703.214.4.085.000</t>
  </si>
  <si>
    <t>3173065705810014</t>
  </si>
  <si>
    <t>0001774527726 OK</t>
  </si>
  <si>
    <t>fransiska_melania@yahoo.com</t>
  </si>
  <si>
    <t>OS1708026</t>
  </si>
  <si>
    <t>Marisa Puspita Dewi</t>
  </si>
  <si>
    <t>Kemayoran Gempol RT 13 / RW 07, Kel. Kebon Kosong Kec. Kemayoran, Jakarta Pusat</t>
  </si>
  <si>
    <t>021 42874382 / 081290931006</t>
  </si>
  <si>
    <t>Mandiri : 900 00 051 3527 3</t>
  </si>
  <si>
    <t>98 029 089 4 027 000</t>
  </si>
  <si>
    <t>3671080209870001</t>
  </si>
  <si>
    <t>12023062743</t>
  </si>
  <si>
    <t>0001636164213</t>
  </si>
  <si>
    <t>icha_ckalie@yahoo.com</t>
  </si>
  <si>
    <t>resign 18/9/2017</t>
  </si>
  <si>
    <t>OS1710039</t>
  </si>
  <si>
    <t>Reza Syahputra</t>
  </si>
  <si>
    <t>Jakarta, 24 Agustus 1990</t>
  </si>
  <si>
    <t>GA Officer</t>
  </si>
  <si>
    <t>Jl. Sesotya No. 2 RT:03/08, Kapuk, Cengkareng, Jakarta Barat 11720</t>
  </si>
  <si>
    <t>(021) 5414312 / 08176762325</t>
  </si>
  <si>
    <t>BCA : 4582222057</t>
  </si>
  <si>
    <t>451080584034000</t>
  </si>
  <si>
    <t>3173012408900015</t>
  </si>
  <si>
    <t>12003952368</t>
  </si>
  <si>
    <t>0002252068896</t>
  </si>
  <si>
    <t>reza.s.rachman@gmail.com</t>
  </si>
  <si>
    <t>resign 14/12/2017, tetapi Des hanya kerja 4 jam</t>
  </si>
  <si>
    <t>OS1708037</t>
  </si>
  <si>
    <t>Linda Tidja</t>
  </si>
  <si>
    <t>Bandung, 8 Juni 1983</t>
  </si>
  <si>
    <t>Receptionist =&gt; GA Coordinator 11 Des 17</t>
  </si>
  <si>
    <t>adj 11 Des '17 BS prev 4.5 jt fix none</t>
  </si>
  <si>
    <t>Perumahan My Residence 3, blok C 9, 003/013, Cilendek Barat, Bogor</t>
  </si>
  <si>
    <t>081293866333 / 085880942228</t>
  </si>
  <si>
    <t>BCA : 0060555036</t>
  </si>
  <si>
    <t>249714957411000</t>
  </si>
  <si>
    <t>3674054806830003</t>
  </si>
  <si>
    <t>0001460175434</t>
  </si>
  <si>
    <t>tidjalinda@gmail.com</t>
  </si>
  <si>
    <t>LIST OF EMPLOYEE PLACED AT PT. PEFINDO</t>
  </si>
  <si>
    <t>Fix Allowance (Mealtrans)</t>
  </si>
  <si>
    <t>OS1402003</t>
  </si>
  <si>
    <t>H Subarkah</t>
  </si>
  <si>
    <t>Jakarta, 7 Juli 1953</t>
  </si>
  <si>
    <t>OT, Jamsostek, Asuransi</t>
  </si>
  <si>
    <t>adj 1 Jan'18 BS prev 2.325 rb Fix 775 rb ; adjust 1 Jan 2016 BS prev 2 jt fix 500.000 ; Bpjs kes belum confirm</t>
  </si>
  <si>
    <t>Jl. KH Maisin No.7 Rt/Rw.006/015 Klender, Duren Sawit, Jakarta Timur</t>
  </si>
  <si>
    <t>0858 11893879 / 021.86604103</t>
  </si>
  <si>
    <t>BCA : 5700052445</t>
  </si>
  <si>
    <t>07.287.838.2.002.000</t>
  </si>
  <si>
    <t>OS1705023</t>
  </si>
  <si>
    <t>Mita Sahara</t>
  </si>
  <si>
    <t>Tangerang, 5 Februari 1997</t>
  </si>
  <si>
    <t>OT, Jamsostek, Asuransi, BPJS Kes</t>
  </si>
  <si>
    <t>adj 1 Jan'18 BS prev 3.1 jt</t>
  </si>
  <si>
    <t>Jl. Jombang Raya No.9 Rt/Rw.001/007 Parigi, Pondok Aren, Kota Tangerang Selatan</t>
  </si>
  <si>
    <t>Mandiri : 9000040951627</t>
  </si>
  <si>
    <t>3674034205910009</t>
  </si>
  <si>
    <t>74.758.419.1-453.000</t>
  </si>
  <si>
    <t>mitasahara05@gmail.com</t>
  </si>
  <si>
    <t>OS1803035</t>
  </si>
  <si>
    <t>Ani Saniyah</t>
  </si>
  <si>
    <t>Jakarta, 19 Mei 1986</t>
  </si>
  <si>
    <t>Jl. Masjid At-Taufiq RT 09 / RW 11, Kelapa Dua Wetan, Ciracas, Jakarta Timur</t>
  </si>
  <si>
    <t>BCA  6281201848</t>
  </si>
  <si>
    <t>3175095905860005</t>
  </si>
  <si>
    <t>829737527009000</t>
  </si>
  <si>
    <t>0001654610049</t>
  </si>
  <si>
    <t>not extend 11/06/2018</t>
  </si>
  <si>
    <t>OS1804060</t>
  </si>
  <si>
    <t>Maulana Efendi</t>
  </si>
  <si>
    <t>Cirebon, 25 April 1963</t>
  </si>
  <si>
    <t>BSI Blok B2B/45 RT 05 / RW 09, Kel. Pengasingan Kec. Sawangan, Kota Depok</t>
  </si>
  <si>
    <t>0822 1905 1924</t>
  </si>
  <si>
    <t>Mandiri 1220009710636</t>
  </si>
  <si>
    <t>3276032504630003</t>
  </si>
  <si>
    <t>0001742480695</t>
  </si>
  <si>
    <t>LIST OF EMPLOYEE PLACED AT PT. J&amp;J</t>
  </si>
  <si>
    <t>CC Lippo 500563</t>
  </si>
  <si>
    <t>dr. Andriyani ext.308</t>
  </si>
  <si>
    <t>CC</t>
  </si>
  <si>
    <t>User</t>
  </si>
  <si>
    <t>Original join date</t>
  </si>
  <si>
    <t>MEAL &amp; TRANSP</t>
  </si>
  <si>
    <t>T. PARKIR NETT</t>
  </si>
  <si>
    <t>Remark</t>
  </si>
  <si>
    <t>OS1404008</t>
  </si>
  <si>
    <t>Citra Ayu Cahyaningtyas</t>
  </si>
  <si>
    <t>Jakarta, 1 Juli 1991</t>
  </si>
  <si>
    <t>Claim TPMS - Staff</t>
  </si>
  <si>
    <t>Consumer - Lumina Phiong</t>
  </si>
  <si>
    <t>adj 14% apr'17 prev 4.166.800 ; adj Feb'16 prev 3.788.000 e_19/5/2016 ; adjust Jan'16(Basic&amp;All Tunj); adjust Okt '15 prev 3.080.000 ; adjust Apr'15 prev 2.902.500 ; adjust Jan'15 prev 2.800.000</t>
  </si>
  <si>
    <t>IP 350 OP 4.750 jt  &amp; Glasses 1.425 jt, Jamsostek</t>
  </si>
  <si>
    <t>Jl. H. Ahmad R. Rt/Rw.06/04 No.42 Pondok Bambu, Duren Sawit, Jakarta Timur 13430</t>
  </si>
  <si>
    <t>082213594094 / 021.93521127 / 0856 95574884 / 0852 10527222</t>
  </si>
  <si>
    <t>Mandiri : 900-00-1359445-3</t>
  </si>
  <si>
    <t>3175074107910007</t>
  </si>
  <si>
    <t>NPWP : 70.533.606.3.008.000</t>
  </si>
  <si>
    <t>0001623676241 OK</t>
  </si>
  <si>
    <t xml:space="preserve">Citraayucahyaningtyas@rocketmail.com, ccahyani@its.jnj.com </t>
  </si>
  <si>
    <t>REJOIN</t>
  </si>
  <si>
    <t>OS1505001</t>
  </si>
  <si>
    <t> 5814</t>
  </si>
  <si>
    <t>Wahyudi</t>
  </si>
  <si>
    <t>Jakarta, 9 Februari 1977</t>
  </si>
  <si>
    <t>Junior Collector</t>
  </si>
  <si>
    <t>adj 10% mei'17 prev 4.457.750 ; entitle t. parkir eff Jan'17 ; adj Mei'16 prev 4.052.000 e_19/5/2016 ; adjust Jan'16(Basic&amp;All Tunj);</t>
  </si>
  <si>
    <t>Jl. Terate VI Rt/Rw.005/04 No.1A Kel. Jembatan Lima Kec. Tambora, Jakarta Barat 11250</t>
  </si>
  <si>
    <t>BCA : 5850054870</t>
  </si>
  <si>
    <t>3173040902770008</t>
  </si>
  <si>
    <t>78.428.007.5.033.000</t>
  </si>
  <si>
    <t>0001640200746 OK</t>
  </si>
  <si>
    <t>OS1510063</t>
  </si>
  <si>
    <t>Rizky Suci Nugrahani</t>
  </si>
  <si>
    <t>18 September 1989</t>
  </si>
  <si>
    <t>Claim Admin Staff</t>
  </si>
  <si>
    <t>adj 14% eff Okt'17 prev 3.632.750 ; adj BS 10% eff Oct '16 prev. 3.302.500; adjust Jan'16(Basic&amp;All Tunj);</t>
  </si>
  <si>
    <t>Taman Yasmin III Jl. Seroja I No54 Bogor, Jawa Barat</t>
  </si>
  <si>
    <t>0857 22218858</t>
  </si>
  <si>
    <t>BRI : 0261-01-001438-53-5</t>
  </si>
  <si>
    <t>3271045809890014</t>
  </si>
  <si>
    <t>71.504.402.0.404.000</t>
  </si>
  <si>
    <t>0001738832286 OK</t>
  </si>
  <si>
    <t>r.sucinugrahani@gmail.com, rnugraha@its.jnj.com</t>
  </si>
  <si>
    <t>OS1511002</t>
  </si>
  <si>
    <t>Irawaty Silaen</t>
  </si>
  <si>
    <t>Medan, 11 Juni 1989</t>
  </si>
  <si>
    <t>Claim Controller</t>
  </si>
  <si>
    <t>adj 10% eff Nov'17 prev 5.940.000 ; adj BS 10% eff Nov '16 prev. 5.400.000; adjust Jan'16(Basic&amp;All Tunj);</t>
  </si>
  <si>
    <t>Jl. Pembina Raya No. 118 Rt/Rw.12/06 Palmeriam, Matraman, Jakarta Timur 13140</t>
  </si>
  <si>
    <t>08526833165 / 085268333165 / 0858 91627365</t>
  </si>
  <si>
    <t>Mandiri : 9000016262140</t>
  </si>
  <si>
    <t>1703125106890002</t>
  </si>
  <si>
    <t>0001738831983 OK</t>
  </si>
  <si>
    <t>iralaen@gmail.com, isilaen@its.jnj.com</t>
  </si>
  <si>
    <t>OS1511032</t>
  </si>
  <si>
    <t>Muhammad Yahya</t>
  </si>
  <si>
    <t>Boyolali, 17 Februari 1993</t>
  </si>
  <si>
    <t>Filing &amp; Sending Admin</t>
  </si>
  <si>
    <t>adj 14% eff Nov'17 prev 3.632.750 ; adj BS 10% eff Oct '16 prev. 3.302.500; adjust Jan'16(Basic&amp;All Tunj);</t>
  </si>
  <si>
    <t>Kp. Sawah RT 001/ RW 008 No. 20 Desa Bojonggede, Kec. Bojonggede Kab. Bogor, Bogor 16320</t>
  </si>
  <si>
    <t>0896204999283 / 08561894627</t>
  </si>
  <si>
    <t>Bank Syariah Mandiri : 7094347941</t>
  </si>
  <si>
    <t>3201131702930004</t>
  </si>
  <si>
    <t>75.172.557.3-403.000</t>
  </si>
  <si>
    <t>0001743303025 OK</t>
  </si>
  <si>
    <t>yahyamuhammad1993@gmail.com, myahya@its.jnj.com</t>
  </si>
  <si>
    <t>OS1512006</t>
  </si>
  <si>
    <t>Juwita Nurhasanah</t>
  </si>
  <si>
    <t>Jakarta, 11 Maret 1989</t>
  </si>
  <si>
    <t>Claim Admin</t>
  </si>
  <si>
    <t>adj 12% eff Dec'17 prev 4.510.000 ; adj BS 10% eff 1 Dec '16 prev. 4.1jt; adjust Jan'16(Basic&amp;All Tunj);</t>
  </si>
  <si>
    <t>Jl. Kampung Kepu IV No.220 Rt/Rw.005/01 Kel. Bungur Kec. Senen, Jakarta Pusat 10460</t>
  </si>
  <si>
    <t>021.42871769 / 081219178441</t>
  </si>
  <si>
    <t>BCA : 5890168355</t>
  </si>
  <si>
    <t>3171045103890005</t>
  </si>
  <si>
    <t>09.008.594.5.023.000</t>
  </si>
  <si>
    <t>0001208903973 OK</t>
  </si>
  <si>
    <t>juwitanurhasanah@ymail.com, jnurhasa@its.jnj.com</t>
  </si>
  <si>
    <t>OS1512025</t>
  </si>
  <si>
    <t>Mukti Wibowo</t>
  </si>
  <si>
    <t>Jakarta, 26 aug 1986</t>
  </si>
  <si>
    <t>adj 14% eff Dec'17 prev 3.632.750 ; adj BS 10% eff 1 Dec '16 prev. 3.302.500; adjust Jan'16(Basic&amp;All Tunj);</t>
  </si>
  <si>
    <t>Jl. Dewi Sartika Gg. Madali RT 001 / RW 006 No. 18, Kel. Cawang II Kec. Kramat Jati, Jakarta Timur 13630</t>
  </si>
  <si>
    <t>BCA : 2730076226</t>
  </si>
  <si>
    <t>3175042608860005</t>
  </si>
  <si>
    <t>74.670.682.9.005.000</t>
  </si>
  <si>
    <t>0001268979309 OK</t>
  </si>
  <si>
    <t>mwibowo2@its.jnj.com</t>
  </si>
  <si>
    <t>OS1603002</t>
  </si>
  <si>
    <t>Aniek Ashariani</t>
  </si>
  <si>
    <t>Solo, 25 Oktober 1966</t>
  </si>
  <si>
    <t>Sales Admin Supervisor</t>
  </si>
  <si>
    <t>consumer</t>
  </si>
  <si>
    <t>adj 10% apr'17 prev 14.145.080 ; adj Apr'16 prev 12.629.536 e_19/5/2016</t>
  </si>
  <si>
    <t>Perumahan Pondok Tirta Mandala Blok A4 No7 Rt/Rw.001/026 Sukamaju, Cilodong, Depok 16415</t>
  </si>
  <si>
    <t>08129520257 / 021.8742617</t>
  </si>
  <si>
    <t>Mandiri : 0700005190843</t>
  </si>
  <si>
    <t>49.7142976412-000</t>
  </si>
  <si>
    <t>0001623676509 OK</t>
  </si>
  <si>
    <t>aasharia@its.jnj.com</t>
  </si>
  <si>
    <t>OS1603003</t>
  </si>
  <si>
    <t>Hariyanto</t>
  </si>
  <si>
    <t>Jakarta, 23 aug 1968</t>
  </si>
  <si>
    <t>Senior Collector</t>
  </si>
  <si>
    <t>adj 6% apr'17 prev 6.749.961 ; entitle t. parkir eff Jan'17 ; adj Apr'16 prev 6.249.964 e_19/5/2016</t>
  </si>
  <si>
    <t>Jl. Madrasah I No.37 Rt/Rw.007/009 Sukabumi Utara, Kebon Jeruk, Jakarta Barat 11540</t>
  </si>
  <si>
    <t>081385763448</t>
  </si>
  <si>
    <t>Sinarmas : 0022312367</t>
  </si>
  <si>
    <t>69.5007872035.000</t>
  </si>
  <si>
    <t>0001623676566 -KELUARGA</t>
  </si>
  <si>
    <t>OS1603005</t>
  </si>
  <si>
    <t>Maryna Aulia</t>
  </si>
  <si>
    <t>Bekasi, 28 Maret 1988</t>
  </si>
  <si>
    <t>adj 10% apr'17 prev 5.333.386 ; adj Apr'16 prev 5.031.497 e_19/5/2016</t>
  </si>
  <si>
    <t>Jl. Mitraliur Blok C3 No.14 Rt/Rw.003/004 Komplek Borobudur, Perumahan Wisma Jaya, Bekasi Timur, Kota Bekasi</t>
  </si>
  <si>
    <t>085691029664 / 021-8810702</t>
  </si>
  <si>
    <t>BNI : 0106968904</t>
  </si>
  <si>
    <t>74.396.820.8.407.000</t>
  </si>
  <si>
    <t>0001623676419 OK</t>
  </si>
  <si>
    <t>maryna.aulia@yahoo.co.id, maulia@its.jnj.com</t>
  </si>
  <si>
    <t>OS1603006</t>
  </si>
  <si>
    <t>Candi Sahara</t>
  </si>
  <si>
    <t>Indramayu, 19 Juli 1983</t>
  </si>
  <si>
    <t>Filling &amp; Sending Staff</t>
  </si>
  <si>
    <t>adj 14% feb'17 prev 4.166.000 ; adj Feb'16 prev 3.788.000 e_19/5/2016</t>
  </si>
  <si>
    <t>Jl. Siapem II No.07 Rt.04 Rw.06 Kel. Lemahmekar Kab. Indramayu</t>
  </si>
  <si>
    <t>087 727090828 / 085891888354</t>
  </si>
  <si>
    <t>Mandiri syariah : 7049418382</t>
  </si>
  <si>
    <t>0001623676307 OK</t>
  </si>
  <si>
    <t>sahara.candi@gmail.com, csahara@its.jnj.com</t>
  </si>
  <si>
    <t>OS1604003</t>
  </si>
  <si>
    <t>Lancar Megawati Simbolon</t>
  </si>
  <si>
    <t>Pardomuan, 12 Oktober 1988</t>
  </si>
  <si>
    <t>AR Distributor Staff</t>
  </si>
  <si>
    <t>new indohr</t>
  </si>
  <si>
    <t>adj 20% apr'17 prev 3.7 jt</t>
  </si>
  <si>
    <t>Jl. Bambu Kuning Rt.001/002 Panjang Jaya Rawa Lumbu, Bekasi Barat</t>
  </si>
  <si>
    <t>Bank Syariah Mandiri : 7097561669</t>
  </si>
  <si>
    <t>7102135210880001</t>
  </si>
  <si>
    <t>68.742.913.4-432.000</t>
  </si>
  <si>
    <t xml:space="preserve">0001635201808 OK
</t>
  </si>
  <si>
    <t>lsimbolo@its.jnj.com</t>
  </si>
  <si>
    <t>OS1605002</t>
  </si>
  <si>
    <t>Andin Widiasti</t>
  </si>
  <si>
    <t>Bogor, 1 Maret 1994</t>
  </si>
  <si>
    <t>Admin Staff</t>
  </si>
  <si>
    <t>new J&amp;J</t>
  </si>
  <si>
    <t>adj 1 Feb'18 prev 3.825.555 ; adj 14% mei'17 prev 3.355.750 ; adj UMP eff 1 Jan '17 prev. 3.3jt</t>
  </si>
  <si>
    <t>Perum Ciomas Permai Blok A9 No.5A Rt.03 Rw. 13 Kec. Ciomas Kab. Bogor</t>
  </si>
  <si>
    <t xml:space="preserve">081293770755 / '087870327237  </t>
  </si>
  <si>
    <t>MANDIRI : 1330013530613</t>
  </si>
  <si>
    <t xml:space="preserve">3201294103940001   </t>
  </si>
  <si>
    <t>75.993.796.4.434.000</t>
  </si>
  <si>
    <t>0000043519915 OK</t>
  </si>
  <si>
    <t>awidiast@its.jnj.com, andwidiazti@gmail.com</t>
  </si>
  <si>
    <t>OS1606011</t>
  </si>
  <si>
    <t>Deti Salsiah</t>
  </si>
  <si>
    <t>Cianjur, 3 Desember 1990</t>
  </si>
  <si>
    <t>adj 1 Feb'18 prev 3.825.555 ; adj Juni'17 prev 3.355.750 ; adj UMP eff 1 Jan '17 prev. 3.3jt</t>
  </si>
  <si>
    <t>Jl. Kota Bambu Selatan VII RT 08 / RW 04, Kel. Kota Bambu Selatan Kec. Palmerah</t>
  </si>
  <si>
    <t>081381522877 / 081317201575 / 081317201575</t>
  </si>
  <si>
    <t xml:space="preserve">Mandiri : 9000002788983   </t>
  </si>
  <si>
    <t xml:space="preserve">3173074312900003   </t>
  </si>
  <si>
    <t>0001221933161
OK</t>
  </si>
  <si>
    <t>detisalsiah@gmail.com</t>
  </si>
  <si>
    <t>OS1612027</t>
  </si>
  <si>
    <t>Fanny Noviyanti</t>
  </si>
  <si>
    <t>Jakarta, 17 November 1995</t>
  </si>
  <si>
    <t>adj 14% eff Dec'17 prev 3.7 jt</t>
  </si>
  <si>
    <t>Kp. Rawakalong RT 05 RW 07 NO 29 Kel. Grogol Kec. Limo, Depok</t>
  </si>
  <si>
    <t>081295176427</t>
  </si>
  <si>
    <t>Mandiri : 070-00-0746236-4</t>
  </si>
  <si>
    <t>3276045711950003</t>
  </si>
  <si>
    <t>0001609562709</t>
  </si>
  <si>
    <t>fnoviyan@its.jnj.com, fannynovv@gmail.com</t>
  </si>
  <si>
    <t>resign 7/6/2018</t>
  </si>
  <si>
    <t>OS1802002</t>
  </si>
  <si>
    <t>Fitriani Muthmainah</t>
  </si>
  <si>
    <t>Brebes, 19 Oktober 1992</t>
  </si>
  <si>
    <t>Junior Staff - Claim SAP</t>
  </si>
  <si>
    <t>Jl. Skip Ujung Utan Kayu Selatan Rt/03 Rw/07 No.13 Jakarta Timur</t>
  </si>
  <si>
    <t>MANDIRI : 9000033695959</t>
  </si>
  <si>
    <t>3175015910920003</t>
  </si>
  <si>
    <t>806364337001000</t>
  </si>
  <si>
    <t>FMutmain@its.jnj.com</t>
  </si>
  <si>
    <t>OS1804013</t>
  </si>
  <si>
    <t>Ade Faisal</t>
  </si>
  <si>
    <t>Jakarta, 25 April 1992</t>
  </si>
  <si>
    <t>Claim Receiving &amp; Admin Coordinator</t>
  </si>
  <si>
    <t>Jl. Cempaka 5 Blok D14 No. 13, PTM, Cibitung, Bekasi</t>
  </si>
  <si>
    <t>085772235560</t>
  </si>
  <si>
    <t>MANDIRI 156-00-1326296-1</t>
  </si>
  <si>
    <t>3216072504920005</t>
  </si>
  <si>
    <t>66.216.103.3-435.000</t>
  </si>
  <si>
    <t>0001734911368</t>
  </si>
  <si>
    <t>adefaissal@gmail.com</t>
  </si>
  <si>
    <t>Frederika Kania Viadianti</t>
  </si>
  <si>
    <t>Jakarta, 2 Juni 1995</t>
  </si>
  <si>
    <t>AR Controller - Distributor</t>
  </si>
  <si>
    <t>Jl. Kayu Timur No. 4 RT 08 / RW 05, Kayu Putih, Pulo Gadung, Jakarta Timur</t>
  </si>
  <si>
    <t>021 4715487 / 081314440024</t>
  </si>
  <si>
    <t>BNI 0262380822</t>
  </si>
  <si>
    <t>3175024206950002</t>
  </si>
  <si>
    <t>KIS 0002339918919</t>
  </si>
  <si>
    <t>frederikania@gmail.com</t>
  </si>
  <si>
    <t>LIST OF EMPLOYEE PLACED AT PT. J&amp;J CILAG</t>
  </si>
  <si>
    <t>OS1311075</t>
  </si>
  <si>
    <t>L6923</t>
  </si>
  <si>
    <t>Windy Setia Dharma</t>
  </si>
  <si>
    <t>Pematang Siantar, 8 Februari 1982</t>
  </si>
  <si>
    <t>QA Admin</t>
  </si>
  <si>
    <t>Janssen - Herlina Aziz haziz@its.jnj.com</t>
  </si>
  <si>
    <t>adj 10% eff 1 Jan'18 prev 6.235.815 ; adj BS 12% prev 5.567.692 eff 1 jan '17</t>
  </si>
  <si>
    <t>Jl. Cipinang Bali I No.22. Rt 10 / Rw 13.Cipinang Muara, Jakarta Timur</t>
  </si>
  <si>
    <t>085777204575</t>
  </si>
  <si>
    <t>Mandiri: 0700005826511</t>
  </si>
  <si>
    <t>35.568.875.5-022.000</t>
  </si>
  <si>
    <t>0001623676228 OK</t>
  </si>
  <si>
    <t>wsetiadh@its.jnj.com</t>
  </si>
  <si>
    <t>OS1701029</t>
  </si>
  <si>
    <t>L6610</t>
  </si>
  <si>
    <t>Nasru Hayati</t>
  </si>
  <si>
    <t>Jakarta, 14 aug 1994</t>
  </si>
  <si>
    <t>IT Application Support Officer</t>
  </si>
  <si>
    <t>Janssen - Conna Almira</t>
  </si>
  <si>
    <t>adj 11% eff 1 Jan'18 prev 5.447.077</t>
  </si>
  <si>
    <t>Jati padang RT. 006 RW. 009 Jati Padang Pasar Minggu Jak Sel</t>
  </si>
  <si>
    <t>085711669262</t>
  </si>
  <si>
    <t>BCA: 5540404919</t>
  </si>
  <si>
    <t>54.446.780.6-017.000</t>
  </si>
  <si>
    <t>0001623676138 OK</t>
  </si>
  <si>
    <t>nhayati@its.jnj.com</t>
  </si>
  <si>
    <t>OS1510045</t>
  </si>
  <si>
    <t>L6200</t>
  </si>
  <si>
    <t>Aliah Amaliah Iqbal</t>
  </si>
  <si>
    <t>Lampa Toa, 16 Desember 1989</t>
  </si>
  <si>
    <t>Sales Admin</t>
  </si>
  <si>
    <t>Bernadette - Medical</t>
  </si>
  <si>
    <t>adj 10% eff 5 Okt'17 prev 3.657.690 ; adj BS 14% eff 5 Oct '16 prev 3.208.500 e_6/10/2016 ; adj Jan'16 prev 3.1 jt e_27/4/2016 ; adjust Jan'16(Basic&amp;All Tunj);</t>
  </si>
  <si>
    <t>Lampa Toa, Kel Mapilli, Kec Mapilli Polewali Mandar</t>
  </si>
  <si>
    <t>085299394524 / 08114114524</t>
  </si>
  <si>
    <t>BCA : 7890652373</t>
  </si>
  <si>
    <t>7604085612890001</t>
  </si>
  <si>
    <t>16.594.564.3.801.000</t>
  </si>
  <si>
    <t>0000130992737 OK</t>
  </si>
  <si>
    <t>aliahamaliahiqbal@gmail.com, aamaliah@its.jnj.com</t>
  </si>
  <si>
    <t>OS1512007</t>
  </si>
  <si>
    <t>Lianawati</t>
  </si>
  <si>
    <t>Palembang, 23 September 1987</t>
  </si>
  <si>
    <t>adj 10% eff 1 Des'17 prev 3.857.108 ; adj BS eff per 1 Dec '16 prev. 3.506.462; BS eff 1 Jan'16 prev BS 3,256,000 e_28/03/16; adjust Jan'16(Basic&amp;All Tunj);</t>
  </si>
  <si>
    <t>Jl. Letnan Mukmin No.1137 Palembang 30129</t>
  </si>
  <si>
    <t>081271992089 / 0857-64422203</t>
  </si>
  <si>
    <t>BCA : 0212579627</t>
  </si>
  <si>
    <t>1671106309870016</t>
  </si>
  <si>
    <t>15.873.497.0.301.000</t>
  </si>
  <si>
    <t>0001634899173 OK</t>
  </si>
  <si>
    <t>Lianahope87@gmail.com, Llianawa@its.jnj.com</t>
  </si>
  <si>
    <t>OS1512010</t>
  </si>
  <si>
    <t>251015, 251002</t>
  </si>
  <si>
    <t>Fauziah Said Badjuber</t>
  </si>
  <si>
    <t>Jakarta, 9 September 1973</t>
  </si>
  <si>
    <t>General Sales Administration</t>
  </si>
  <si>
    <t>adj eff 1 Jun '18 prev 9.871.223; adj 10% &amp; roll up bns eff 1 Mar'17 prev 8.628.692 ; adj 10% 1 Mar'16 prev 7.844.265 ; adjust Jan'16(Basic&amp;All Tunj);</t>
  </si>
  <si>
    <t>Jl. H Muhyin Kav.56 A No.06, Jakarta 17411</t>
  </si>
  <si>
    <t>Mandiri : 1190004338503</t>
  </si>
  <si>
    <t>3174014909730006</t>
  </si>
  <si>
    <t>47.748.229.3.432.000</t>
  </si>
  <si>
    <t>0001743303014 OK</t>
  </si>
  <si>
    <t>fsaid@its.jnj.com</t>
  </si>
  <si>
    <t>OS1512014</t>
  </si>
  <si>
    <t>Elisabeth Novita Sari</t>
  </si>
  <si>
    <t>Malang, 13 November 1992</t>
  </si>
  <si>
    <t>adj 10% eff 1 Jan'18 prev 5147100 ; Adj BS 14% eff 1 Jan '17 prev. 4.515.000; adjust Jan'16(Basic&amp;All Tunj);</t>
  </si>
  <si>
    <t>Jl. Mesjid XV Rt/Rw.04/08 No.9 Sudimara Timur, Ciledug, Tangerang 15151</t>
  </si>
  <si>
    <t>021.7333836 / 08998386061 / 081285337727</t>
  </si>
  <si>
    <t>BCA : 3452503911</t>
  </si>
  <si>
    <t>3671065311920005</t>
  </si>
  <si>
    <t>66.309.835.8.416.000</t>
  </si>
  <si>
    <t>0001623676577 OK</t>
  </si>
  <si>
    <t>elisabethnovitasari92@gmail.com, esari@its.jnj.com</t>
  </si>
  <si>
    <t>OS1601008</t>
  </si>
  <si>
    <t>Apriliya Budiarti</t>
  </si>
  <si>
    <t>Mojokerto, 19 April 1980</t>
  </si>
  <si>
    <t>Tiara</t>
  </si>
  <si>
    <t>refer</t>
  </si>
  <si>
    <t>adj 10% eff 1 Jan'18 prev 4853453 ; adj BS 10% eff 1 Jan '17 prev. 4.412.230; adjust Jan'16(Basic&amp;All Tunj);</t>
  </si>
  <si>
    <t>Ds. Jabonrowo RT 18 RW 09, Kel. Mojoruntut Kec. Krembung Sidoarjo 61275</t>
  </si>
  <si>
    <t>BCA : 2710666850</t>
  </si>
  <si>
    <t>3515035904800001</t>
  </si>
  <si>
    <t>69.420.473.6-603.000</t>
  </si>
  <si>
    <t>04JP0252764</t>
  </si>
  <si>
    <t>0001634899094 OK</t>
  </si>
  <si>
    <t>abudiart@its.jnj.com</t>
  </si>
  <si>
    <t>OS1601011</t>
  </si>
  <si>
    <t>Okdista Sari Mayalani</t>
  </si>
  <si>
    <t>Jakarta, 7 Oktober 1981</t>
  </si>
  <si>
    <t>adj 10% eff 1 Jan'18 prev 10.212.077 ; adj BS 10% eff 1 Jan '17 prev. 9.283.706; adjust Jan'16(Basic&amp;All Tunj);</t>
  </si>
  <si>
    <t>Jl. Skip No.21 Rt/Rw.013/014 Pisangan Baru, Matraman, Jakarta Timur</t>
  </si>
  <si>
    <t>BCA : 3422921823</t>
  </si>
  <si>
    <t>3175014710810010</t>
  </si>
  <si>
    <t>49.643.181.8-001.000</t>
  </si>
  <si>
    <t>09017509903</t>
  </si>
  <si>
    <t>0001634899364 OK</t>
  </si>
  <si>
    <t>osarimay@its.jnj.com</t>
  </si>
  <si>
    <t>OS1601012</t>
  </si>
  <si>
    <t>L6410</t>
  </si>
  <si>
    <t>Sumarno</t>
  </si>
  <si>
    <t>Blitar, 21 Maret 1959</t>
  </si>
  <si>
    <t>adj 8.5% eff 1 Jan'18 prev 14.859.686 ; adj BS 9 % eff 1 jan '17 prev 13.632.739 ; adjust Jan'16(Basic&amp;All Tunj);</t>
  </si>
  <si>
    <t>Jl. Cipinang Bali I No 43 RT 010 RW 013 Kel Cipinang Muara Kec Jatinegara Jakarta Timur 13420</t>
  </si>
  <si>
    <t>BCA : 0351699255</t>
  </si>
  <si>
    <t>3175032103590006</t>
  </si>
  <si>
    <t>17.834.939.5-002.000</t>
  </si>
  <si>
    <t>79MJ0003714</t>
  </si>
  <si>
    <t>0001214514494</t>
  </si>
  <si>
    <t>sumarno@its.jnj.com</t>
  </si>
  <si>
    <t>OS1601014</t>
  </si>
  <si>
    <t>Riandini Noviati</t>
  </si>
  <si>
    <t>Jakarta, 26 November 1982</t>
  </si>
  <si>
    <t>adj 10% eff 1 Jan'18 prev 5227664 ; adj BS 14% eff 1 Jan '17 prev. 4.585.670; adjust Jan'16(Basic&amp;All Tunj);</t>
  </si>
  <si>
    <t>Jl Pisangan Baru Tengah RT 004 RW 014 No 24 Kel Pisangan Baru Kec Matraman Jakarta Timur  13110</t>
  </si>
  <si>
    <t>BCA : 5800184713</t>
  </si>
  <si>
    <t>68.550.743.6-001.000</t>
  </si>
  <si>
    <t>0001634899285 M3</t>
  </si>
  <si>
    <t>rnoviati@its.jnj.com</t>
  </si>
  <si>
    <t>OS1601015</t>
  </si>
  <si>
    <t>Kadek Eva Dewi</t>
  </si>
  <si>
    <t>Denpasar, 28 November 1982</t>
  </si>
  <si>
    <t>adj 10% eff 1 Jan'18 prev 4524047 ; adj BS 14% eff 1 Jan '17 prev. 3.968.462; adjust Jan'16(Basic&amp;All Tunj);</t>
  </si>
  <si>
    <t>Jl. Gunung Sari IV Gg. Bonsai No. 52 Dusun Sari Buana Kel Tegal Harum Kec Denpasar Barat, Denpasar 80119</t>
  </si>
  <si>
    <t>Mandiri : 1450004595415</t>
  </si>
  <si>
    <t>5171046811820003</t>
  </si>
  <si>
    <t>68.366.891.7-901.000</t>
  </si>
  <si>
    <t>0001189565605 -KELUARGA</t>
  </si>
  <si>
    <t>kdewi@its.jnj.com</t>
  </si>
  <si>
    <t>OS1601016</t>
  </si>
  <si>
    <t>Gita Lestari Hanafi</t>
  </si>
  <si>
    <t>Bandung, 14 Juni 1978</t>
  </si>
  <si>
    <t>adj 10% eff 1 Jan'18 prev 5592306 ; adj BS 10% eff 1 Jan '17 prev. 5.083.915; adjust Jan'16(Basic&amp;All Tunj);</t>
  </si>
  <si>
    <t>Komp. Pandanwangi Blok F No. 12, RT 002/ RW 009. Kelurahan Cijawura, Kecamatan Buah Batu.  Bandung 40287</t>
  </si>
  <si>
    <t>0812 2356610</t>
  </si>
  <si>
    <t>BCA : 7750053585</t>
  </si>
  <si>
    <t>1050105406780001</t>
  </si>
  <si>
    <t>25.355.125.3.424.000</t>
  </si>
  <si>
    <t>04JP0253226</t>
  </si>
  <si>
    <t>0001657936372 OK</t>
  </si>
  <si>
    <t>glestari@its.jnj.com, glestari@its.jnj.com</t>
  </si>
  <si>
    <t>OS1601017</t>
  </si>
  <si>
    <t>Sudaryani</t>
  </si>
  <si>
    <t>Balikpapan, 3 Januari 1980</t>
  </si>
  <si>
    <t>adj 10% eff 1 Jan'18 prev 4493246 ; adj BS 10% eff 1 Jan '17 prev. 4.084.769; adjust Jan'16(Basic&amp;All Tunj);</t>
  </si>
  <si>
    <t>Mendiro RT 004 RW 025 Kel Sukoharjo Kec Ngaglik, Sleman, Yogyakarta 55581</t>
  </si>
  <si>
    <t>081915557755 / 08978681712</t>
  </si>
  <si>
    <t>MANDIRI : 1370006515395</t>
  </si>
  <si>
    <t>3404124301800003</t>
  </si>
  <si>
    <t>69.420.472.8.542.000</t>
  </si>
  <si>
    <t>04JP0254182</t>
  </si>
  <si>
    <t>0001657461925 OK</t>
  </si>
  <si>
    <t>sudaryan@its.jnj.com</t>
  </si>
  <si>
    <t>OS1601018</t>
  </si>
  <si>
    <t>Santi Patmawati</t>
  </si>
  <si>
    <t>Bandung, 14 April 1984</t>
  </si>
  <si>
    <t>Sales Admin (JKT)</t>
  </si>
  <si>
    <t>adj 10% eff 1 Jan'18 prev 5358000 ; adj BS 14% eff 1 Jan '17 prev. 4.7jt; adj basic salary 21 Sep '16 prev. 4.084.769 ; adjust Jan'16(Basic&amp;All Tunj);</t>
  </si>
  <si>
    <t>Jl Ahmad Yani Gang Sukanegla No. 16 RT 01 RW 01 Kelurahan Antapani Tengah Kecamatan Antapani Bandung 40291</t>
  </si>
  <si>
    <t>081312200025 / 08997919084</t>
  </si>
  <si>
    <t>BCA : 3462400826</t>
  </si>
  <si>
    <t>1050175404840001</t>
  </si>
  <si>
    <t>54.437.782.3.429.000</t>
  </si>
  <si>
    <t>08010852369</t>
  </si>
  <si>
    <t>spatmawa@its.jnj.com</t>
  </si>
  <si>
    <t>OS1601020</t>
  </si>
  <si>
    <t>L6920</t>
  </si>
  <si>
    <t>Sanova Hutagalung</t>
  </si>
  <si>
    <t>Pematang Siantar, 19 aug 1988</t>
  </si>
  <si>
    <t>Medical Affairs Admin</t>
  </si>
  <si>
    <t>adj 10% eff 20 Jan'18 prev 7.100.997 ; adj BS 10% eff 20 Jan '17 prev. 6.455.452; adjust Jan'16(Basic&amp;All Tunj); adjust 14% eff 20 Jan '16 prev 5.258.200</t>
  </si>
  <si>
    <t>Kemanggisan Grogol RT 013 RW 008 Kel/Kec Palmerah Jakarta Barat 11480</t>
  </si>
  <si>
    <t>BCA : 5520374851</t>
  </si>
  <si>
    <t>3173075908880007</t>
  </si>
  <si>
    <t>77.154.868.2-031.000</t>
  </si>
  <si>
    <t>11011716609 / 0001657461835</t>
  </si>
  <si>
    <t>0001657461835 OK</t>
  </si>
  <si>
    <t>shutagal@its.jnj.com</t>
  </si>
  <si>
    <t>OS1601021</t>
  </si>
  <si>
    <t>Wina Wirdayana</t>
  </si>
  <si>
    <t>Kisaran, 19 Oktober 1983</t>
  </si>
  <si>
    <t>adj 10% eff 26 jan '18 prev 3.871.211 ; adj BS 10% eff 26 jan '17 prev. 3.519.283; adjust Jan'16(Basic&amp;All Tunj);</t>
  </si>
  <si>
    <t>Jl. Amal Luhur Gg. Supir LK II  No. 1  Kel Dwikora Kec Medan Helvetia Medan 20123</t>
  </si>
  <si>
    <t>085261901801</t>
  </si>
  <si>
    <t>Mandiri : 1060002370065</t>
  </si>
  <si>
    <t>1271035910830006</t>
  </si>
  <si>
    <t>25.546.929.8-124.000</t>
  </si>
  <si>
    <t>0001634122438 - SUAMI TERDAFTAR DI INFOMEDIA SOLUSI HUMANIKA</t>
  </si>
  <si>
    <t>wwirdaya@its.jnj.com</t>
  </si>
  <si>
    <t>OS1602001</t>
  </si>
  <si>
    <t>Henny Ekawati Purwaningrum</t>
  </si>
  <si>
    <t>SEMARANG, 15-09-1979</t>
  </si>
  <si>
    <t>Jansen</t>
  </si>
  <si>
    <t>adj 10% eff 1 Mar'18 prev 4.524.560 ; adj 10% eff 1 Mar'17 prev 4.113.236</t>
  </si>
  <si>
    <t>Bukit Beringin Asri A5/125 Rt/Rw.003/006 Gondoriyo, Ngaliyan, Kota Semarang</t>
  </si>
  <si>
    <t>0812 2828657</t>
  </si>
  <si>
    <t>BCA: 2460446051</t>
  </si>
  <si>
    <t>3374035509790007</t>
  </si>
  <si>
    <t>24.868.202.3-503.000</t>
  </si>
  <si>
    <t>09004700929</t>
  </si>
  <si>
    <t>0001635098477 OK</t>
  </si>
  <si>
    <t>hpurwani@its.jnj.com, h_sani@yahoo.com</t>
  </si>
  <si>
    <t>OS1602070</t>
  </si>
  <si>
    <t>Fitria Hidayati</t>
  </si>
  <si>
    <t>Probolinggo,5 aug 1982</t>
  </si>
  <si>
    <t>adj 10% eff 1 Mar'18 prev 4.991.306 ; adj 10% eff 28 Apr'17 prev 4.537.551 ; adjust 27 Apr'16 prev 3.980.308</t>
  </si>
  <si>
    <t>Dusun Kronggengan RT 016 RW 008 Kel Kedungdalem Kec Dringu, Probolinggo</t>
  </si>
  <si>
    <t>081216225546</t>
  </si>
  <si>
    <t>BCA: 0390570520</t>
  </si>
  <si>
    <t>3513194508820003</t>
  </si>
  <si>
    <t>34.415.446.3-625.000</t>
  </si>
  <si>
    <t>0001634122888 -KELUARGA</t>
  </si>
  <si>
    <t>fhidayat@its.jnj.com</t>
  </si>
  <si>
    <t>OS1602071</t>
  </si>
  <si>
    <t>Ronayanti Ronazy</t>
  </si>
  <si>
    <t>Medan, 3 Januari 1973</t>
  </si>
  <si>
    <t>Sales Secretary</t>
  </si>
  <si>
    <t>adj 12% eff 1 Mar'18 prev 13.625.209 ; adj BS 10% eff 1 Mar '17 prev. 12.386.554</t>
  </si>
  <si>
    <t>Jl. H. Samali Gg. H Ayat No. 25 RT 013 RW 001 Kel Pejaten Barat Kec  Pasar Minggu Jakarta 12510</t>
  </si>
  <si>
    <t>0812 8250 623</t>
  </si>
  <si>
    <t>BCA: 1281462305 a.n RONAYANTI RONAZY</t>
  </si>
  <si>
    <t>3174044301730007</t>
  </si>
  <si>
    <t>37.515.118.0-017.000</t>
  </si>
  <si>
    <t>0001202813403 OK</t>
  </si>
  <si>
    <t>rronazy@its.jnj.com</t>
  </si>
  <si>
    <t>OS1602078</t>
  </si>
  <si>
    <t>Tjutju Suprijatna</t>
  </si>
  <si>
    <t>Bangka, 5 Oktober 1953</t>
  </si>
  <si>
    <t>Consumer II</t>
  </si>
  <si>
    <t>adj 14% per 22 Feb'17 prev 4 jt</t>
  </si>
  <si>
    <t>Jl. Bangka II No.32 Rt/Rw.010/001 Pela Mampang, Mampang Prapatan, Jakarta Selatan</t>
  </si>
  <si>
    <t>081314970758</t>
  </si>
  <si>
    <t>MANDIRI: 1220006075827</t>
  </si>
  <si>
    <t>3174030510530004</t>
  </si>
  <si>
    <t>58.518.882.4-014.000</t>
  </si>
  <si>
    <t>1800810494 - ANAK</t>
  </si>
  <si>
    <t>OS1604028</t>
  </si>
  <si>
    <t>Sugeng Wijayantho</t>
  </si>
  <si>
    <t>Jakarta, 26 Juni 1992</t>
  </si>
  <si>
    <t>Medical</t>
  </si>
  <si>
    <t>new from J&amp;J</t>
  </si>
  <si>
    <t>adj 10% eff 1 Feb'18 prev 4.025.000 ; adj BS eff 30 Jan '17 prev. 3.5jt</t>
  </si>
  <si>
    <t>Jl. Squadron, Kp Baru 01 RT 02/ RW 05 No. 19, Kec. Makasar Kel. Halim, Jakarta Timur</t>
  </si>
  <si>
    <t xml:space="preserve">021 - 80883156   / 082136336835  </t>
  </si>
  <si>
    <t xml:space="preserve">MANDIRI SYARIAH : 7098416344   </t>
  </si>
  <si>
    <t>3175082606920003</t>
  </si>
  <si>
    <t>0001218294819 OK</t>
  </si>
  <si>
    <t xml:space="preserve"> sugeng.wijayantho@yahoo.com</t>
  </si>
  <si>
    <t>OS1606002</t>
  </si>
  <si>
    <t>Rudy Andry Lengkong</t>
  </si>
  <si>
    <t>Ujung Pandang, 28 Juli 1963</t>
  </si>
  <si>
    <t>adj eff 4 Jun'17 prev 3.8 jt</t>
  </si>
  <si>
    <t>Jl. Ketapang No. 29 RT 04 / RW 10, Kel. Jati Padang Kec. Pasar Minggu</t>
  </si>
  <si>
    <t>082299602322 / 08577 8182085</t>
  </si>
  <si>
    <t>BCA : 2060023665</t>
  </si>
  <si>
    <t>3174042807630005</t>
  </si>
  <si>
    <t>79.070.658.4.017.000</t>
  </si>
  <si>
    <t>0001610963616
OK</t>
  </si>
  <si>
    <t>OS1607006</t>
  </si>
  <si>
    <t>Agus Setyawan</t>
  </si>
  <si>
    <t>23 Juni 1990</t>
  </si>
  <si>
    <t>UMPS 2018 eff 1 Jan '18 prev 3.355.750; UMP 2017 prev 3.1jt</t>
  </si>
  <si>
    <t>BPJS kes saja, no insurance</t>
  </si>
  <si>
    <t>Jl. Angkasa Puri Kp. Pamahan RT 02 / RW 09 No. 7, Kec. Jati Asih Bekasi 17422</t>
  </si>
  <si>
    <t>0857 1681 0457</t>
  </si>
  <si>
    <t xml:space="preserve">Mandiri : 156-00-1014635-7   </t>
  </si>
  <si>
    <t>3275092306900008</t>
  </si>
  <si>
    <t>55.228.870.6.432.000</t>
  </si>
  <si>
    <t>husnirudini8@gmail.com</t>
  </si>
  <si>
    <t>OS1607007</t>
  </si>
  <si>
    <t>Mohamad Husni Rudini</t>
  </si>
  <si>
    <t>29 April 1996</t>
  </si>
  <si>
    <t>Kp. Sindang Jaya, Ds. Jayamukti RT 01 / RW 01, Pancatengah, Tasikmalaya 46194</t>
  </si>
  <si>
    <t xml:space="preserve">Mandiri : 156-00-1105708-2   </t>
  </si>
  <si>
    <t xml:space="preserve">3206042904960001   </t>
  </si>
  <si>
    <t xml:space="preserve">76.317.512.2-425.000   </t>
  </si>
  <si>
    <t>1771296952 OK</t>
  </si>
  <si>
    <t>OS1608009</t>
  </si>
  <si>
    <t>Charlie Pramana Putra</t>
  </si>
  <si>
    <t>Pontianak, 27 Juni 1993</t>
  </si>
  <si>
    <t>IT Analyst =&gt; SFA/DMS Support Lead/Analyst 1/1/2018</t>
  </si>
  <si>
    <t>Gatot Dwi Saputra &amp; Retno Lilis</t>
  </si>
  <si>
    <t>adj 1 Jan'18 prev 9.9 jt ; adj 10% 1 Oct'17 prev 9 jt ; adjust 1 oct '16 prev 8jt</t>
  </si>
  <si>
    <t>Kalisari I, Jawa Timur, Surabaya, Indonesia 60275</t>
  </si>
  <si>
    <t>'087819975225</t>
  </si>
  <si>
    <t>Mandiri : 9000025210783</t>
  </si>
  <si>
    <t>6171052706930006</t>
  </si>
  <si>
    <t>84.663.789.0-701.000</t>
  </si>
  <si>
    <t>0001772969242 OK</t>
  </si>
  <si>
    <t>charliepramn@yahoo.com</t>
  </si>
  <si>
    <t>OS1610016</t>
  </si>
  <si>
    <t>Gatot Dwi Saputra</t>
  </si>
  <si>
    <t>Magelang, 27 Maret 1985</t>
  </si>
  <si>
    <t>IT Project Manager =&gt; Business Development Analyst</t>
  </si>
  <si>
    <t>adj 10% 1 Oct'17 prev 12 jt</t>
  </si>
  <si>
    <t xml:space="preserve">Cawang Rt 5/Rw 5, Bulurejo, Mertoyudan, Kab Magelang  </t>
  </si>
  <si>
    <t>087834255567 / 08122985667</t>
  </si>
  <si>
    <t>Mandiri : 136 00 0977666 4</t>
  </si>
  <si>
    <t>3371022703850001</t>
  </si>
  <si>
    <t>80.081.251.3-524.000</t>
  </si>
  <si>
    <t>0001151128787</t>
  </si>
  <si>
    <t>gr.saputra@ymail.com</t>
  </si>
  <si>
    <t>OS1610017</t>
  </si>
  <si>
    <t>Karina Elika</t>
  </si>
  <si>
    <t>Jakarta, 31 Juli 1981</t>
  </si>
  <si>
    <t>CDD Admin</t>
  </si>
  <si>
    <t>replacement</t>
  </si>
  <si>
    <t>adj 7.5% eff 3 Jun'17 prev 5 jt</t>
  </si>
  <si>
    <t>Jl. Kenanga A-178, Jatibening Permai, Pondok Gede - Bekasi 17412</t>
  </si>
  <si>
    <t>(021) 849 02128 / 087883350822</t>
  </si>
  <si>
    <t>Mandiri : 156 000 182448 3</t>
  </si>
  <si>
    <t>3275087107810025</t>
  </si>
  <si>
    <t>68.196.133.0-432.000</t>
  </si>
  <si>
    <t>karin.elika@gmail.com</t>
  </si>
  <si>
    <t>OS1610028</t>
  </si>
  <si>
    <t>Raja Nada Octava</t>
  </si>
  <si>
    <t>Jakarta, 20 Oktober 1994</t>
  </si>
  <si>
    <t>IT Analyst</t>
  </si>
  <si>
    <t xml:space="preserve">adj 1 Jun '18 prev 6.804.000; adj 20% eff 11 Nov'17 prev 5.670.000 ; adj 5% prev 5.4 jt eff 13 Apr'17 </t>
  </si>
  <si>
    <t>Jl. Anggrek 18 No. 4, Jatisampurna, Bekasi</t>
  </si>
  <si>
    <t>08974141996</t>
  </si>
  <si>
    <t>Mandiri : 157-00-0409454-7</t>
  </si>
  <si>
    <t>3275102010940006</t>
  </si>
  <si>
    <t xml:space="preserve">80.474.985.1-447.000 </t>
  </si>
  <si>
    <t>iceboy.nada@gmail.com</t>
  </si>
  <si>
    <t>OS1611009</t>
  </si>
  <si>
    <t>257800, 257000</t>
  </si>
  <si>
    <t>Puspita Dewi</t>
  </si>
  <si>
    <t>Jakarta, 31 aug 1984</t>
  </si>
  <si>
    <t>REMINDER INCREAMENT NOV'17 ; adj BS eff 1 Peb '17 prev. 6.972.900</t>
  </si>
  <si>
    <t>Jl. Dadap Dalam I No. 14 RT 07/ RW 01, Kel. Mekarjaya Kec. Sukmajaya, Depok</t>
  </si>
  <si>
    <t>081311111335</t>
  </si>
  <si>
    <t>BCA : 5250159864</t>
  </si>
  <si>
    <t>3276057108840008</t>
  </si>
  <si>
    <t>59.508.008.6-412.000</t>
  </si>
  <si>
    <t>07002121973</t>
  </si>
  <si>
    <t>0001256431465</t>
  </si>
  <si>
    <t>p.dewi8@gmail.com</t>
  </si>
  <si>
    <t>OS1311071</t>
  </si>
  <si>
    <t>L6820</t>
  </si>
  <si>
    <t>Bogor, 23 Maret 1980</t>
  </si>
  <si>
    <t>Janssen - Lidia Rusvita</t>
  </si>
  <si>
    <t>adj 1 jan '18 prev 4.564.027</t>
  </si>
  <si>
    <t>Jl. Pipa Gas Krukut Rt/Rw.001/001 Kel. Krukut Kec. Limo, Kota Depok</t>
  </si>
  <si>
    <t>021 99530651 / 081318187084</t>
  </si>
  <si>
    <t>Mandiri: 0700004970328</t>
  </si>
  <si>
    <t>35.637.499.1-412.000</t>
  </si>
  <si>
    <t>0001623676476 OK</t>
  </si>
  <si>
    <t>OS1311074</t>
  </si>
  <si>
    <t>Suparman</t>
  </si>
  <si>
    <t>Wonogiri, 14 April 1977</t>
  </si>
  <si>
    <t>M2 =&gt; M1</t>
  </si>
  <si>
    <t>JL. Mampang Prapatan I. Rt.007/006 Kel. Mampang Prapatan, Jakarta Selatan 12790</t>
  </si>
  <si>
    <t>081288177743</t>
  </si>
  <si>
    <t>Mandiri: 0700001065148</t>
  </si>
  <si>
    <t>35.635.603.0-014.000</t>
  </si>
  <si>
    <t>0001623676094 OK</t>
  </si>
  <si>
    <t>OS1311087</t>
  </si>
  <si>
    <t xml:space="preserve">8158201
</t>
  </si>
  <si>
    <t>Acep Suryanto</t>
  </si>
  <si>
    <t>Tasikmalaya, 27 Juni 1969</t>
  </si>
  <si>
    <t>Vision care - Tiara</t>
  </si>
  <si>
    <t>entitle OT &amp; meal 937.500 digabung ke BS 4.880.289 per Nov 2017</t>
  </si>
  <si>
    <t>Jl. Pondok Rumput I Gg. Ikan Mas No. 1 RT. 004/ 005, Kel. Kebo Pedes, Kec. Tanah Sereal, Bogor</t>
  </si>
  <si>
    <t>081806718359 / 0251 348436 / 087889282798</t>
  </si>
  <si>
    <t>Mandiri Syariah : 7074073845</t>
  </si>
  <si>
    <t>79.580.761.9-404.000</t>
  </si>
  <si>
    <t>0001623676329 OK</t>
  </si>
  <si>
    <t>suryantoacep@yahoo.co.id</t>
  </si>
  <si>
    <t>OS1701006</t>
  </si>
  <si>
    <t>Aina Mardiah SR</t>
  </si>
  <si>
    <t>V Suku Bawah, 8 November 1992</t>
  </si>
  <si>
    <t>adj 14% 3 Jan'18 prev 5.5 jt</t>
  </si>
  <si>
    <t>Kartika Wanasari Blok D5 No. 26 RT 09 / RW 31, Cibitung, Kab. Bekasi</t>
  </si>
  <si>
    <t>085274998105</t>
  </si>
  <si>
    <t>Mandiri : 070-00-0745524-4 KCP Bidakara</t>
  </si>
  <si>
    <t>1306144811920002</t>
  </si>
  <si>
    <t>75152961435000</t>
  </si>
  <si>
    <t>16012018491</t>
  </si>
  <si>
    <t>ainam42@gmail.com, amardia@its.jnj.com</t>
  </si>
  <si>
    <t>OS1609003</t>
  </si>
  <si>
    <t>Yayat Supriatna</t>
  </si>
  <si>
    <t>Kuningan, 21 November 1962</t>
  </si>
  <si>
    <t>adj 10% eff 1 Des'17 prev 4 jt</t>
  </si>
  <si>
    <t>Jl. Kemang Barat III No. 5 RT 15 / RW 05, Kel. Bangka Kec. Mampang Prapatan, Jakarta Selatan 12730</t>
  </si>
  <si>
    <t>081385956419</t>
  </si>
  <si>
    <t>BCA : 5225099771</t>
  </si>
  <si>
    <t>3174032111620001</t>
  </si>
  <si>
    <t>58.517.545.8-014.000</t>
  </si>
  <si>
    <t>0001676305438 OK</t>
  </si>
  <si>
    <t>OS1701045</t>
  </si>
  <si>
    <t>Ainul Mardhiah</t>
  </si>
  <si>
    <t>Medan, 31 aug 1981</t>
  </si>
  <si>
    <t xml:space="preserve">new </t>
  </si>
  <si>
    <t>adj 14% eff 24 Jan'18 prev 4 jt</t>
  </si>
  <si>
    <t>Jl. Keladi No. 56, Lingk. XI Tanjung Mulia Hilir Medan</t>
  </si>
  <si>
    <t>081376771119</t>
  </si>
  <si>
    <t>BCA : 7865012748</t>
  </si>
  <si>
    <t>1271207108810003</t>
  </si>
  <si>
    <t>59.284.082.1-113.000</t>
  </si>
  <si>
    <t>08011760009</t>
  </si>
  <si>
    <t>ainulmardiah319@gmail.com</t>
  </si>
  <si>
    <t>OS1702117</t>
  </si>
  <si>
    <t>Nia Hapsari Putri</t>
  </si>
  <si>
    <t>Jakarta, 8 April 1990</t>
  </si>
  <si>
    <t>Janssen</t>
  </si>
  <si>
    <t>adj 10% eff 6 Feb '18 prev 3.5 jt</t>
  </si>
  <si>
    <t xml:space="preserve">Jl. Basoka II No. 2, Sumur Batu, Jakarta Pusat 10640 </t>
  </si>
  <si>
    <t>0214250834 / 085920103488</t>
  </si>
  <si>
    <t>Mandiri : 157-00-0078339-0</t>
  </si>
  <si>
    <t>3171034804900001</t>
  </si>
  <si>
    <t>81.110.696.2-027.000</t>
  </si>
  <si>
    <t>0001437989534</t>
  </si>
  <si>
    <t>niahapsariputri@gmail.com, nhapsari@its.jnj.com</t>
  </si>
  <si>
    <t>OS1602062</t>
  </si>
  <si>
    <t>Andreas Ardiansyah M</t>
  </si>
  <si>
    <t>Jakarta, 15 Februari 1982</t>
  </si>
  <si>
    <t>Lifescan Graphic Designer</t>
  </si>
  <si>
    <t>Consumer II - Tiara</t>
  </si>
  <si>
    <t>adj 34% eff 1 Feb'18 prev 10.284.225 ; adj BS 14% eff 1 Jan '17 prev. 9.021.250</t>
  </si>
  <si>
    <t>Jl. Mandala Barat III/38 Rt/Rw.005/004 Kel. Tomang Kec. Grogol Petamburan, Jakarta Barat</t>
  </si>
  <si>
    <t>0818 815128</t>
  </si>
  <si>
    <t>BCA : 3981246860</t>
  </si>
  <si>
    <t>59.226.869.2-036.000</t>
  </si>
  <si>
    <t>0001801543599 OK</t>
  </si>
  <si>
    <t>memoire215@gmail.com, aardians@its.jnj.com</t>
  </si>
  <si>
    <t xml:space="preserve"> OS1609021</t>
  </si>
  <si>
    <t>Tri Wiarso</t>
  </si>
  <si>
    <t>Jakarta, 30 Juni 1991</t>
  </si>
  <si>
    <t>UMPS 2018 eff 1 Jan '18 prev 3.355.750</t>
  </si>
  <si>
    <t>Jl. Inspeksi Kali Sunter No. 25 RT 04/ RW 04, Kelapa Gading Barat, Jakarta Utara</t>
  </si>
  <si>
    <t>085882660716</t>
  </si>
  <si>
    <t>Mandiri : 125-00-1303190-1</t>
  </si>
  <si>
    <t>3326173006910002</t>
  </si>
  <si>
    <t>maspetrok62@gmail.com</t>
  </si>
  <si>
    <t>OS1708064</t>
  </si>
  <si>
    <t>Rado Setiawan</t>
  </si>
  <si>
    <t>Jakarta, 5 Desember 1989</t>
  </si>
  <si>
    <t>Komplek BTN Mina Bhakti Karangantu RT 04 / RW 04 Blok C No. 127, Kel. Banten Kec. Kasemen, Serang 42144</t>
  </si>
  <si>
    <t>BCA : 7410548318</t>
  </si>
  <si>
    <t>3172040512890013</t>
  </si>
  <si>
    <t>55.285.192.5.006.000</t>
  </si>
  <si>
    <t>17002078503</t>
  </si>
  <si>
    <t>RADOSETIAWAN05101989@GMAIL.COM</t>
  </si>
  <si>
    <t>OS1703038</t>
  </si>
  <si>
    <t> 5913</t>
  </si>
  <si>
    <t>Miswan Ismail</t>
  </si>
  <si>
    <t>Cilacap, 27 November 1963</t>
  </si>
  <si>
    <t>UMPS 2018 eff 1 Jan '18 prev 3.5jt</t>
  </si>
  <si>
    <t>Kp. Kapuk Rt/Rw.004/004 Lebak Bulus, Cilandak, Jakarta Selatan</t>
  </si>
  <si>
    <t>0813 14283451</t>
  </si>
  <si>
    <t>BCA : 3195073915</t>
  </si>
  <si>
    <t>3174062711630003</t>
  </si>
  <si>
    <t>45.589.916.1.016.000</t>
  </si>
  <si>
    <t>miswanismail@yahoo.com</t>
  </si>
  <si>
    <t>OS1712002</t>
  </si>
  <si>
    <t>Fauzan Fadlurrohman</t>
  </si>
  <si>
    <t>Jakarta, 21 Januari 1995</t>
  </si>
  <si>
    <t>IT Application Support</t>
  </si>
  <si>
    <t>Jl. Sungai Asahan Blok D No. 19 RT 01 / 19, Perum Harapan Jaya II Kec. Bekasi 17124</t>
  </si>
  <si>
    <t xml:space="preserve">BCA : 3210486151 </t>
  </si>
  <si>
    <t>3278032101950005</t>
  </si>
  <si>
    <t>80.141.664.5-425.000</t>
  </si>
  <si>
    <t>fauzan7n@gmail.com</t>
  </si>
  <si>
    <t>OS1802005</t>
  </si>
  <si>
    <t>Sri Pamilangsih</t>
  </si>
  <si>
    <t>Solo, 28 Mei 1956</t>
  </si>
  <si>
    <t>Senior Admin Assistant</t>
  </si>
  <si>
    <t>Jl. Gading X/No. 902 Pondok Bambu, Jakarta 13420</t>
  </si>
  <si>
    <t>0816 1904 028</t>
  </si>
  <si>
    <t>BCA  '5520253256</t>
  </si>
  <si>
    <t>3175076805560004</t>
  </si>
  <si>
    <t>17.918.348.8-002.000</t>
  </si>
  <si>
    <t>0001634898971</t>
  </si>
  <si>
    <t>SRUDYANT@its.jnj.com</t>
  </si>
  <si>
    <t>OS1803005</t>
  </si>
  <si>
    <t>Diah Puspita Anggraini</t>
  </si>
  <si>
    <t>Jakarta, 22 September 1983</t>
  </si>
  <si>
    <t>Procurement - Operational Buyer</t>
  </si>
  <si>
    <t>Kp. Payangan RT 06 / RW 07, Kel. Jatisari Kec. Jatiasih Kota Bekasi</t>
  </si>
  <si>
    <t>089 668 943 123</t>
  </si>
  <si>
    <t>MANDIRI  '070-00-0636181-5</t>
  </si>
  <si>
    <t>3275096209830006</t>
  </si>
  <si>
    <t>87.609.327.9-432.000</t>
  </si>
  <si>
    <t>0001634899015</t>
  </si>
  <si>
    <t>dpuspitaanggraini@gmail.com, danggrai@its.jnj.com</t>
  </si>
  <si>
    <t>not extend 13/06/2018</t>
  </si>
  <si>
    <t>OS1803006</t>
  </si>
  <si>
    <t>Fani Arista Gusnar</t>
  </si>
  <si>
    <t>Ujung Pandang, 28 jun 1990</t>
  </si>
  <si>
    <t>Janssen Cilag</t>
  </si>
  <si>
    <t>Tapuhaka, Kabaena Timur, Bombana</t>
  </si>
  <si>
    <t>0822 9313 3735</t>
  </si>
  <si>
    <t>7406066806900001</t>
  </si>
  <si>
    <t>fanigusnar@gmail.com</t>
  </si>
  <si>
    <t xml:space="preserve"> OS1804038</t>
  </si>
  <si>
    <t>Imelda Agustin Hutapea</t>
  </si>
  <si>
    <t>Jakarta, 21 Agustus 1981</t>
  </si>
  <si>
    <t xml:space="preserve"> Consumer</t>
  </si>
  <si>
    <t>Jl. Lobak I No. C 40 Blok L, Cinere Depok 16514</t>
  </si>
  <si>
    <t>021 7531011 / 08129699121</t>
  </si>
  <si>
    <t>BCA 3195007262</t>
  </si>
  <si>
    <t>3276046108810005</t>
  </si>
  <si>
    <t>246188650412000</t>
  </si>
  <si>
    <t>0001634899026</t>
  </si>
  <si>
    <t>ihutape1@its.jnj.com</t>
  </si>
  <si>
    <t>OS1804012</t>
  </si>
  <si>
    <t>Chintia Daniati</t>
  </si>
  <si>
    <t>Bandung, 26 Desember 1995</t>
  </si>
  <si>
    <t>CS Agent</t>
  </si>
  <si>
    <t>Jl. Z Jatipulo Gg Remaja 1 RT 16 / RW 08 No. 4, Jakarta Barat 11430</t>
  </si>
  <si>
    <t>088212590677</t>
  </si>
  <si>
    <t>DKI 50223713770</t>
  </si>
  <si>
    <t>3173076612950002</t>
  </si>
  <si>
    <t>0001223432032</t>
  </si>
  <si>
    <t>chintiafgan@yahoo.co.id</t>
  </si>
  <si>
    <t xml:space="preserve"> OS1805005</t>
  </si>
  <si>
    <t>Lina Winny</t>
  </si>
  <si>
    <t>Jakarta, 18 Mei 1982</t>
  </si>
  <si>
    <t>Channel Admin</t>
  </si>
  <si>
    <t>Consumer</t>
  </si>
  <si>
    <t>Jl. Gg Mushollah No. 32 RT 12 / RW 01, Lenteng Agung, Jagakarsa</t>
  </si>
  <si>
    <t>08999845301</t>
  </si>
  <si>
    <t>BCA 5470339987</t>
  </si>
  <si>
    <t>3174095805820001</t>
  </si>
  <si>
    <t>573966477017000</t>
  </si>
  <si>
    <t>14026894155</t>
  </si>
  <si>
    <t>lwinny@its.jnj.com</t>
  </si>
  <si>
    <t>OS1607004</t>
  </si>
  <si>
    <t>Oktario Pratama Nugraha</t>
  </si>
  <si>
    <t>Bandung, 10 Oktober 1987</t>
  </si>
  <si>
    <t>Analyst Support &amp; Implementation Engineer</t>
  </si>
  <si>
    <t>adjust 1 oct '16 prev 5.5jt</t>
  </si>
  <si>
    <t>Jl. Pamekar Raya No. 81, Komplek Panghegar Permai Ujung Berung, Bandung 40613</t>
  </si>
  <si>
    <t xml:space="preserve">Mandiri : 070-00-0715447-4
</t>
  </si>
  <si>
    <t>3273281010870004</t>
  </si>
  <si>
    <t>44.341.769.6.429.000</t>
  </si>
  <si>
    <t>0001740908529 panyileukan</t>
  </si>
  <si>
    <t>oktario.nugraha@gmail.com</t>
  </si>
  <si>
    <t>terminated 10/7/2017</t>
  </si>
  <si>
    <t>OS1702168</t>
  </si>
  <si>
    <t>Reri Rosana Wita</t>
  </si>
  <si>
    <t>Padang, 6 Januari 1989</t>
  </si>
  <si>
    <t>Tax Project Consultant</t>
  </si>
  <si>
    <t>Annur Residence Jl. M. Kahfi II, Gg. Masjid Annur RT 04 / RW 08, Srengseng Sawah, Jagakarsa, Jakarta Selatan</t>
  </si>
  <si>
    <t>MANDIRI : 9000009807158</t>
  </si>
  <si>
    <t xml:space="preserve">1371114601890003   </t>
  </si>
  <si>
    <t xml:space="preserve">150197853201000   </t>
  </si>
  <si>
    <t>0001657461958 CIPUTAT</t>
  </si>
  <si>
    <t xml:space="preserve">rrosanaw@its.jnj.com, rere.rosana@gmail.com       </t>
  </si>
  <si>
    <t>permanent 3/7/2017</t>
  </si>
  <si>
    <t>OS1411012</t>
  </si>
  <si>
    <t>Amma Annisa Rizkillah</t>
  </si>
  <si>
    <t>Jakarta, 30 November 1986</t>
  </si>
  <si>
    <t>Adm. Bagian CS Lifescan =&gt; Customer Service Executive</t>
  </si>
  <si>
    <t>Medical - Tiara</t>
  </si>
  <si>
    <t>adj 19 Nov '16 prev 4.788.808 ; adj Jan'16 e_29/3/2016 prev 4.446.750 ; adjust Jan'16(Basic&amp;All Tunj); change posisi &amp; adjust 19 Nov'15 prev 3.557.400</t>
  </si>
  <si>
    <t>Jl. Bunga Rampai II A/1 No.15 Rt/Rw.001/009 Kel. Malaka Jaya Kec. Duren Sawit, Jakarta Timur</t>
  </si>
  <si>
    <t>0857 10000 886</t>
  </si>
  <si>
    <t>BCA : 6330618360</t>
  </si>
  <si>
    <t>3175077011860005</t>
  </si>
  <si>
    <t>98.451.905.8.008.000</t>
  </si>
  <si>
    <t>09015894497</t>
  </si>
  <si>
    <t>0001623676263 -KELUARGA</t>
  </si>
  <si>
    <t>arizkil1@its.jnj.com</t>
  </si>
  <si>
    <t>resign 5/9/2017 last day 4/9/2017</t>
  </si>
  <si>
    <t>OS1601009</t>
  </si>
  <si>
    <t>Dyah Nariswari Sulistyaningrum</t>
  </si>
  <si>
    <t>Jakarta, 4 Oktober 1974</t>
  </si>
  <si>
    <t>adj BS 10% eff 1 Jan '17 prev 9.550.642; adjust Jan'16(Basic&amp;All Tunj);</t>
  </si>
  <si>
    <t>Jl. Tebet Timur Dalam No 58 Rt/Rw.001/009 Kel. Tebet Timur Kec. Tebet, Jakarta Selatan</t>
  </si>
  <si>
    <t>Mandiri : 1220000093339</t>
  </si>
  <si>
    <t>3174024410740001</t>
  </si>
  <si>
    <t>09.641.986.6-015.000</t>
  </si>
  <si>
    <t>09001815720</t>
  </si>
  <si>
    <t>0001634899342 OK</t>
  </si>
  <si>
    <t>dnariswa@its.jnj.com</t>
  </si>
  <si>
    <t>OS1701009</t>
  </si>
  <si>
    <t>Reza Satria Kusuma</t>
  </si>
  <si>
    <t>Jakarta 4 febuary 1991</t>
  </si>
  <si>
    <t>Application Support, Customer Connect</t>
  </si>
  <si>
    <t>Jln.SPG VII No.13 RT.005/009, Lubang Buaya, Cipayung, Jakarta timur</t>
  </si>
  <si>
    <t>Mandiri : 900-00-1562539-6</t>
  </si>
  <si>
    <t>3175100402910001</t>
  </si>
  <si>
    <t>71.998.046.8-009.000</t>
  </si>
  <si>
    <t>reyzadylandy@ymail.com</t>
  </si>
  <si>
    <t>resign 8/9/2017</t>
  </si>
  <si>
    <t>OS1701023</t>
  </si>
  <si>
    <t>Desi Ekawati</t>
  </si>
  <si>
    <t>Jakarta, 17 Desember 1985</t>
  </si>
  <si>
    <t>CMG Admin =&gt; Space Management Staff</t>
  </si>
  <si>
    <t>Late Meal 37.500/day</t>
  </si>
  <si>
    <t>Pondok Pekayon Indah, Jl. Pakis IV E Blok BB 35 No. 12 RT 04 / RW 12, Bekasi Selatan 17148</t>
  </si>
  <si>
    <t>0218205257 / 0812 10628965</t>
  </si>
  <si>
    <t>BCA : 7600354757</t>
  </si>
  <si>
    <t>3174015712850002</t>
  </si>
  <si>
    <t>58.484.434.4-015.000</t>
  </si>
  <si>
    <t>16029350580</t>
  </si>
  <si>
    <t>dizzie_eka@yahoo.com; dekawat@its.jnj.com</t>
  </si>
  <si>
    <t>OS1408008</t>
  </si>
  <si>
    <t>Rani Yurista</t>
  </si>
  <si>
    <t>Jakarta, 26 Juli 1983</t>
  </si>
  <si>
    <t>Admin. Procurement</t>
  </si>
  <si>
    <t>adj BS eff per 7 Feb '17 prev. 6.254.000; adj 6% 7 Aug'16 prev 5.9 jt ; change 1 Apr'16 prev BS 5.5 jt meal 400 rb ; adjust 7 Agust'15 prev 5 jt</t>
  </si>
  <si>
    <t>Jl. Raya H. Mawi, Parung, Bogor</t>
  </si>
  <si>
    <t>0812 80159619</t>
  </si>
  <si>
    <t>Mandiri : 07000-0594-7069</t>
  </si>
  <si>
    <t>3174076607830009</t>
  </si>
  <si>
    <t>68.735.864.8.412.000</t>
  </si>
  <si>
    <t>0001628022699 OK</t>
  </si>
  <si>
    <t>yurista_darwin11@yahoo.com, ryurista@its.jnj.com</t>
  </si>
  <si>
    <t>terminated 6/8/2017 (break), ADA EKSES KLAIM</t>
  </si>
  <si>
    <t>OS1410006</t>
  </si>
  <si>
    <t>Michael Sukianto</t>
  </si>
  <si>
    <t>Tangerang, 20 April 1986</t>
  </si>
  <si>
    <t>adj Jan'16 e_29/3/2016 prev 15.276.466 ; adjust Jan'16(Basic&amp;All Tunj); adjust 6% per 1 Okt '15 prev 14.411.760 ; adjust 10% per 1 Mar'15 prev 13.101.600</t>
  </si>
  <si>
    <t>Jl. Angke Jaya IX No.14 Rt/Rw.014/006 Kel. Angke Kec. Tambora, Jakarta Barat</t>
  </si>
  <si>
    <t>0878 97770705 / 021-99299150 / ext.700</t>
  </si>
  <si>
    <t>BCA : 0354058223</t>
  </si>
  <si>
    <t>3173042004860010</t>
  </si>
  <si>
    <t>24.842.305.5.416.000</t>
  </si>
  <si>
    <t>0001640200533 -KELUARGA</t>
  </si>
  <si>
    <t>msukiant@its.jnj.com</t>
  </si>
  <si>
    <t>break 1/10/2017 sudah PKWT 2, harus mengirimkan timesheet</t>
  </si>
  <si>
    <t>OS1707009</t>
  </si>
  <si>
    <t>Dida Hutami</t>
  </si>
  <si>
    <t>Jakarta, 5 Oktober 1995</t>
  </si>
  <si>
    <t>Jl. Suci Gg. Saibun RT 10 / RW 04 No. 39, Susukan, Jakarta Timur 13750</t>
  </si>
  <si>
    <t>BCA : 6281030946</t>
  </si>
  <si>
    <t>3175094510950011</t>
  </si>
  <si>
    <t>70.559.550.2.009.000</t>
  </si>
  <si>
    <t>0001632764248 klinik ardita ciracas</t>
  </si>
  <si>
    <t>didahut13@gmail.com</t>
  </si>
  <si>
    <t>TERMIANTED 9/11/2017</t>
  </si>
  <si>
    <t>OS1609012</t>
  </si>
  <si>
    <t>Ahmad Idris</t>
  </si>
  <si>
    <t>Jakarta, 13 September 1985</t>
  </si>
  <si>
    <t>adj 10% eff 22 Sept'17 BS prev 6.5 jt</t>
  </si>
  <si>
    <t>Jalan Pejaten Barat I No.42 RT.001/08 Kelurahan Pejaten Barat, Kecamatan Pasar Minggu Jakarta Selatan</t>
  </si>
  <si>
    <t>082185255853 / 021 7199570</t>
  </si>
  <si>
    <t>Mandiri : 1270005123227</t>
  </si>
  <si>
    <t>3174041309850001</t>
  </si>
  <si>
    <t>672679305017000</t>
  </si>
  <si>
    <t>a.idriez@yahoo.com</t>
  </si>
  <si>
    <t>OS1610027</t>
  </si>
  <si>
    <t xml:space="preserve">L6820  </t>
  </si>
  <si>
    <t>Ayuza Vania</t>
  </si>
  <si>
    <t>Jakarta, 8 Oktober 1992</t>
  </si>
  <si>
    <t>Recruitment Staff =&gt; General Administration</t>
  </si>
  <si>
    <t>Consumer II - Finance</t>
  </si>
  <si>
    <t>adj BS 10% eff 6 dec '16 prev. 6.792.076</t>
  </si>
  <si>
    <t>Jl. Bekasi Timur VI No. 13 RT 09 / RW 08, Cipinang Besar Utara, Jakarta Timur</t>
  </si>
  <si>
    <t xml:space="preserve">087782494552 </t>
  </si>
  <si>
    <t>BNI : 0203900080</t>
  </si>
  <si>
    <t>187110481092002</t>
  </si>
  <si>
    <t>71.165.196.8-002.000</t>
  </si>
  <si>
    <t>ayuzavania.av@gmail.com ; avania@its.jnj.com</t>
  </si>
  <si>
    <t>Resign 2/11/2017</t>
  </si>
  <si>
    <t>OS1711019</t>
  </si>
  <si>
    <t>Jl. Skip Ujung Utan Kayu Selatan 
  Rt/03 Rw/07 No.13 Jakarta Timur</t>
  </si>
  <si>
    <t>OS1512015</t>
  </si>
  <si>
    <t>Faiq Noer Priambodo</t>
  </si>
  <si>
    <t>Semarang, 23 aug 1989</t>
  </si>
  <si>
    <t>adj 10% 1 Oct'17 prev 9 jt ; adjust 1 Oct '16 prev 7.5jt ; adjust Juli '16 prev 3.6 jt ; adjust Jan'16(Basic&amp;All Tunj);</t>
  </si>
  <si>
    <t>Perum Mayang Pratama Blok B Jl. Jatikencana II No.49 Rt/Rw.02/08 Kel. Mustikasari Kec. Mustikajaya, Bekasi 17157</t>
  </si>
  <si>
    <t>082134700777 / 021-82601229</t>
  </si>
  <si>
    <t>Mandiri : 1560002711705</t>
  </si>
  <si>
    <t>3275112308890002</t>
  </si>
  <si>
    <t>74.848.650.3.432.000</t>
  </si>
  <si>
    <t>0000036267974 OK</t>
  </si>
  <si>
    <t>vaiqnp@gmail.com, fpriambo@its.jnj.com</t>
  </si>
  <si>
    <t>terminated 31/12/2017, ADA EKSES KLAIM</t>
  </si>
  <si>
    <t>OS1605001</t>
  </si>
  <si>
    <t>Putri Aryuni</t>
  </si>
  <si>
    <t>Baturaja, 22 Juni 1993</t>
  </si>
  <si>
    <t>Business Quality Specialist =&gt; Halal Quality Specialist</t>
  </si>
  <si>
    <t>Medical =&gt; 1/11/16 move to Consumer II</t>
  </si>
  <si>
    <t>change position eff per 1 Nov '16 (prev BS 3,5jt)</t>
  </si>
  <si>
    <t>Pasir Eurih Taman Sari, Bogor Jawa Barat</t>
  </si>
  <si>
    <t xml:space="preserve">081297153502   / 087726161314  </t>
  </si>
  <si>
    <t xml:space="preserve">Mandiri : 1320012413283   </t>
  </si>
  <si>
    <t xml:space="preserve">3201316206930004   </t>
  </si>
  <si>
    <t xml:space="preserve">740394937434000   </t>
  </si>
  <si>
    <t xml:space="preserve">0001767496375 OK
</t>
  </si>
  <si>
    <t>putriaryuni22@gmail.com</t>
  </si>
  <si>
    <t>OS1612008</t>
  </si>
  <si>
    <t>Syafriliza Herianda</t>
  </si>
  <si>
    <t>Jakarta, 6 Juli 1990</t>
  </si>
  <si>
    <t>Finance CFC</t>
  </si>
  <si>
    <t>adj BS eff 23 dec '16 prev. 7.337.000</t>
  </si>
  <si>
    <t>JL KS Tubun III RT 008 RW 07 No. 8, Slipi, Jakarta Barat 11410</t>
  </si>
  <si>
    <t>087889816818 / 021 - 53673722</t>
  </si>
  <si>
    <t>MANDIRI : 1170006466973</t>
  </si>
  <si>
    <t>3173074607900006</t>
  </si>
  <si>
    <t>980361299031000</t>
  </si>
  <si>
    <t>14001542563</t>
  </si>
  <si>
    <t>syafriliza.herianda@yahoo.com</t>
  </si>
  <si>
    <t>permanent 1/1/2018</t>
  </si>
  <si>
    <t>OS1612007</t>
  </si>
  <si>
    <t>Nakita Kuenbianto</t>
  </si>
  <si>
    <t>Jakarta, 9 aug 1992</t>
  </si>
  <si>
    <t>Finance Analyst</t>
  </si>
  <si>
    <t>adj 10% eff 16 Jun '17 prev 4.446.000</t>
  </si>
  <si>
    <t>Jl. Puloraya 7 No. 4, Petogogan, Kebayoran Baru, Jakarta Selatan</t>
  </si>
  <si>
    <t>021 73445925 / 0821 11285630</t>
  </si>
  <si>
    <t>BCA : 5271429321</t>
  </si>
  <si>
    <t>3174070908921001</t>
  </si>
  <si>
    <t>73.183.863.7-064.000</t>
  </si>
  <si>
    <t>nkuenbia@its.jnj.com; atakuenbianto@hotmail.com</t>
  </si>
  <si>
    <t>OS1702001</t>
  </si>
  <si>
    <t>M Sulistyo Adi Nugroho</t>
  </si>
  <si>
    <t>Surakarta, 25 Maret 1985</t>
  </si>
  <si>
    <t>CMG Admin</t>
  </si>
  <si>
    <t>adj 10% 1 Agust'17 prev 5 jt</t>
  </si>
  <si>
    <t>Perumahan Cikeas Gardenia Blok B4 / 17, Cikeas Udik</t>
  </si>
  <si>
    <t>08118555777</t>
  </si>
  <si>
    <t>BCA : 0152416545</t>
  </si>
  <si>
    <t>3175032503851002</t>
  </si>
  <si>
    <t>69.495.923.0-526.000</t>
  </si>
  <si>
    <t>10011703476</t>
  </si>
  <si>
    <t>mnugroho@its.jnj.com</t>
  </si>
  <si>
    <t>terminated 31/1/2018 move vendor</t>
  </si>
  <si>
    <t>OS1702167</t>
  </si>
  <si>
    <t>Priscilia Naila Rosada</t>
  </si>
  <si>
    <t>Jakarta, 13 Juli 1987</t>
  </si>
  <si>
    <t>Sales Solution &amp; Capabilities</t>
  </si>
  <si>
    <t>adj 10% 6 Agus'17 prev 6.969.600</t>
  </si>
  <si>
    <t>Jl. Aria Putra No. 30 RT 01 / RW 02, Kel. Serua Indah Kec. Ciputat, Kota Tangerang</t>
  </si>
  <si>
    <t xml:space="preserve">021 2935 3935 Ext. 155 / 085215496110  </t>
  </si>
  <si>
    <t>BCA : 4731098110</t>
  </si>
  <si>
    <t>3276115307870002</t>
  </si>
  <si>
    <t>88.300.344.4.412.000</t>
  </si>
  <si>
    <t xml:space="preserve">nailarosada@gmail.com       </t>
  </si>
  <si>
    <t>terminated 29/1/2018 SP 3 belum FCL</t>
  </si>
  <si>
    <t>OS1608002</t>
  </si>
  <si>
    <t>Rieska Restarina</t>
  </si>
  <si>
    <t>Jakarta, 12 April 1995</t>
  </si>
  <si>
    <t>Procurement Admin</t>
  </si>
  <si>
    <t>Wisma Harapan 1 Blok B No. 7 Mekarsari, Cimanggis Depok</t>
  </si>
  <si>
    <t>089636095608 / 021 87705558</t>
  </si>
  <si>
    <t>Mandiri : 1290011002215</t>
  </si>
  <si>
    <t>327602520490012</t>
  </si>
  <si>
    <t>76.613.259.1-412.000</t>
  </si>
  <si>
    <t>0001188974799</t>
  </si>
  <si>
    <t>rrestari@its.jnj.com, rieska.rieskaa@gmail.com</t>
  </si>
  <si>
    <t>OS1701024</t>
  </si>
  <si>
    <t>Andini Rizki Arsarisma</t>
  </si>
  <si>
    <t>Jakarta, 2 Maret 1990</t>
  </si>
  <si>
    <t>HR Operation-Benefits Specialist</t>
  </si>
  <si>
    <t>adj eff 5 Jan'18 prev 8.880.000</t>
  </si>
  <si>
    <t>Jl. Balikpapan 1 No. 45 E Petojo Utara, Gambir, Jakarta Pusat</t>
  </si>
  <si>
    <t>6327845 / 0812 1337 8260</t>
  </si>
  <si>
    <t>BCA : 1640409262</t>
  </si>
  <si>
    <t>3171014203900002</t>
  </si>
  <si>
    <t>70.582.319.3-029.000</t>
  </si>
  <si>
    <t>14030545884</t>
  </si>
  <si>
    <t>arsarismaandini@gmail.com, arizkiar@its.jnj.com</t>
  </si>
  <si>
    <t>resign 11/1/2018</t>
  </si>
  <si>
    <t>OS1701033</t>
  </si>
  <si>
    <t>Nian Safitri Lestari</t>
  </si>
  <si>
    <t>Jakarta, 6 Juni 1996</t>
  </si>
  <si>
    <t>adj 11% eff 18 Jun'17 prev 3.9 jt e_12/9/2017</t>
  </si>
  <si>
    <t>Jl. Karet Margonda Raya RT 02 / RW 19 No. 22 Kel. Kemirimuka Kec. Beji, Depok 16423</t>
  </si>
  <si>
    <t>085881935414</t>
  </si>
  <si>
    <t>BCA : 0354363620</t>
  </si>
  <si>
    <t>3276064606960003</t>
  </si>
  <si>
    <t>74.469.403.5-448.000</t>
  </si>
  <si>
    <t>15038781041</t>
  </si>
  <si>
    <t>nsafitri@its.jnj.com</t>
  </si>
  <si>
    <t>terminated 17/1/2018 move vendor</t>
  </si>
  <si>
    <t>OS1701043</t>
  </si>
  <si>
    <t>Tyan Afriliyani</t>
  </si>
  <si>
    <t>Jakarta, 29 April 1992</t>
  </si>
  <si>
    <t>adj 13% eff 27 Jul'17 prev 4.5 jt e_12/9/2017</t>
  </si>
  <si>
    <t>Jl. Raya Tengah Gg. Damai RT 14 / RW 03 NO. 47, Kel. Kampung Gedong Kec. Pasar Rebo, Jakarta Timur 13760</t>
  </si>
  <si>
    <t>021-87798225 / 082112885418</t>
  </si>
  <si>
    <t>Mandiri : 134.000.7325078</t>
  </si>
  <si>
    <t>3175056904920001</t>
  </si>
  <si>
    <t>72.648.671.5-009.000</t>
  </si>
  <si>
    <t>tyanafriliani@gmail.com</t>
  </si>
  <si>
    <t>permanent 26/1/2018</t>
  </si>
  <si>
    <t>OS1703006</t>
  </si>
  <si>
    <t>Fadli Zainuddin</t>
  </si>
  <si>
    <t>Jakarta, 3 Desember 1974</t>
  </si>
  <si>
    <t>Perum Duta Bintaro Kuta Blok A-3/11 RT 04 / RW 13, Pakujaya - Serpong Utara, Tangerang Selatan</t>
  </si>
  <si>
    <t>081315722274 / 0812 87395252</t>
  </si>
  <si>
    <t>BCA : 6560766911 A.N Fadli Zainudin</t>
  </si>
  <si>
    <t>3674020312740006</t>
  </si>
  <si>
    <t>55.539.934.3.411.000</t>
  </si>
  <si>
    <t>terminated 3/3/2018</t>
  </si>
  <si>
    <t>OS1605004</t>
  </si>
  <si>
    <t>Rachmad Yulyanto</t>
  </si>
  <si>
    <t>Jakarta, 9 juli 1993</t>
  </si>
  <si>
    <t>Clinical Specialist</t>
  </si>
  <si>
    <t>adj 10% eff Mei'17 prev 5.1 jt</t>
  </si>
  <si>
    <t>Jl. Bentengan Rt.007/03 No.17 Kel. Sunter Jaya Baru Kec. Tanjung Priok, Jakarta Utara</t>
  </si>
  <si>
    <t xml:space="preserve">081287477163 / 02165301424   </t>
  </si>
  <si>
    <t xml:space="preserve">BCA : 500599877   </t>
  </si>
  <si>
    <t xml:space="preserve">3172020907930010   </t>
  </si>
  <si>
    <t xml:space="preserve">714370814048000   </t>
  </si>
  <si>
    <t>BPJS No</t>
  </si>
  <si>
    <t>yuel.09.yr@gmail.com</t>
  </si>
  <si>
    <t>OS1701007</t>
  </si>
  <si>
    <t>Sulistiyaningsih</t>
  </si>
  <si>
    <t>Klaten, 10 Oktober 1994</t>
  </si>
  <si>
    <t>Pharmacovigilance Consultant</t>
  </si>
  <si>
    <t>adj 15% 3 Jan'18 prev 6 jt ; adj 20% 1 Juni'17 prev 5 jt</t>
  </si>
  <si>
    <t>Kalikuning RT 02 / RW 10, Jomboran, Klaten Tengah, Klaten</t>
  </si>
  <si>
    <t>085725654821</t>
  </si>
  <si>
    <t xml:space="preserve">Mandiri : 157-00-0363573-8 </t>
  </si>
  <si>
    <t>3310255010940001</t>
  </si>
  <si>
    <t>76.388.394.9-525.000</t>
  </si>
  <si>
    <t>16027646260</t>
  </si>
  <si>
    <t>sulistiyaningsih94@gmail.com, ssulist2@its.jnj.com</t>
  </si>
  <si>
    <t>resign 30/3/2018</t>
  </si>
  <si>
    <t>move vendor 30/04/2018 break 1 bln</t>
  </si>
  <si>
    <t>OS1511010</t>
  </si>
  <si>
    <t>Reda Samirana</t>
  </si>
  <si>
    <t>Bandar Lampung, 14 Januari 1995</t>
  </si>
  <si>
    <t>LifeScan Customer Service Representative</t>
  </si>
  <si>
    <t>adj 1 Nov'17 prev 3.790.769 ; adj 1 Nov '16 prev 3.446.154 ; adjust Jan'16(Basic&amp;All Tunj);</t>
  </si>
  <si>
    <t>Kramat Raya RT 01 / RW 01 No. 34 Johar Baru, Jakarta Pusat 15060</t>
  </si>
  <si>
    <t>BNI : 0304116035</t>
  </si>
  <si>
    <t>3201205401950001</t>
  </si>
  <si>
    <t>75.287.630.0-434.000</t>
  </si>
  <si>
    <t>0000199746101 OK</t>
  </si>
  <si>
    <t>redasamirana@yahoo.co.id, redasamirana@gmail.com, rsamiran@its.jnj.com</t>
  </si>
  <si>
    <t>resign 19/04/2018</t>
  </si>
  <si>
    <t>OS1604002</t>
  </si>
  <si>
    <t>Revina Rizky Angelia</t>
  </si>
  <si>
    <t>Jakarta, 1 April 1993</t>
  </si>
  <si>
    <t>adj 10% eff Mar'17 prev 10 jt</t>
  </si>
  <si>
    <t>Citra Swarna Regency, Bekasi Timur</t>
  </si>
  <si>
    <t>08788854 5165</t>
  </si>
  <si>
    <t>BCA : 8850674001</t>
  </si>
  <si>
    <t xml:space="preserve">3275014104930026
</t>
  </si>
  <si>
    <t>64.337.948.0.407.000</t>
  </si>
  <si>
    <t xml:space="preserve">0000041041438 OK
</t>
  </si>
  <si>
    <t>rangelia@its.jnj.com, rr01.angelia@gmail.com</t>
  </si>
  <si>
    <t>permanent 1/05/2018</t>
  </si>
  <si>
    <t>OS1505052</t>
  </si>
  <si>
    <t>Ayu Dwi Sastri</t>
  </si>
  <si>
    <t>Bukittinggi, 30 Mei 1991</t>
  </si>
  <si>
    <t>Regulatory Asisstant</t>
  </si>
  <si>
    <t>Medical - Bernadette</t>
  </si>
  <si>
    <t>adj BS 10% eff 1 Jan '17 prev. 4jt; adjust Jan'16(Basic&amp;All Tunj);</t>
  </si>
  <si>
    <t>Jl. AR Hakim No.18 Rt.023 Kel. Balai-Balai Kec. Padang Panjang Barat, Kota Padang Panjang, Sumatera Barat</t>
  </si>
  <si>
    <t>081374015252 / 087875341761</t>
  </si>
  <si>
    <t>BNI : 0173236620</t>
  </si>
  <si>
    <t>1374027005910001</t>
  </si>
  <si>
    <t>74.477.441.5-202.000</t>
  </si>
  <si>
    <t>0000018416654 OK</t>
  </si>
  <si>
    <t>bluesky.dwi@gmail.com, adwisast@its.jnj.com</t>
  </si>
  <si>
    <t>move vendor 18/5/2018</t>
  </si>
  <si>
    <t>OS1804014</t>
  </si>
  <si>
    <t>Jaka Saputra</t>
  </si>
  <si>
    <t>Pekalongan , 11 April 1995</t>
  </si>
  <si>
    <t>Filling Staff</t>
  </si>
  <si>
    <t>Jl . Panca Warga 30 RT 15 RW 02 Kel. Cipinang Besar Selatan , Kec. Jatinegara</t>
  </si>
  <si>
    <t>085813723273</t>
  </si>
  <si>
    <t>Mandiri Syariah 7083822605</t>
  </si>
  <si>
    <t>3175031104950002</t>
  </si>
  <si>
    <t>15008253211</t>
  </si>
  <si>
    <t>0001634898969</t>
  </si>
  <si>
    <t>jsaputr@its.jnj.com</t>
  </si>
  <si>
    <t>not extend 31/05/2018</t>
  </si>
  <si>
    <t>OS1804015</t>
  </si>
  <si>
    <t>Amin Jaeni</t>
  </si>
  <si>
    <t>Pemalang, 23 Agustus 1986</t>
  </si>
  <si>
    <t>Accounting Admin</t>
  </si>
  <si>
    <t>Kp. Basmol RT 005 / RW 006 No.79, Kembangan Utara – Kembangan – Jakarta Barat</t>
  </si>
  <si>
    <t>081932167761</t>
  </si>
  <si>
    <t>BCA 0125042070</t>
  </si>
  <si>
    <t>3173082308860005</t>
  </si>
  <si>
    <t>89.946.581.9-086.000</t>
  </si>
  <si>
    <t>0002098965521</t>
  </si>
  <si>
    <t>ajaeni@its.jnj.com</t>
  </si>
  <si>
    <t>OS1804039</t>
  </si>
  <si>
    <t>Ferdy Firdaus</t>
  </si>
  <si>
    <t>Logistik Staff</t>
  </si>
  <si>
    <t>KOMP.PURI KARTIKA BLOK B3 NO15 RT/RW 002/008 TAJUR, CILEDUG</t>
  </si>
  <si>
    <t>(021) 737-7922 / 0856-9595-8925</t>
  </si>
  <si>
    <t>BCA 5700285415</t>
  </si>
  <si>
    <t>3174101303850001</t>
  </si>
  <si>
    <t>58.473.003.0-013.000</t>
  </si>
  <si>
    <t>ferdyfirdaus85@gmail.com</t>
  </si>
  <si>
    <t>Termination notification</t>
  </si>
  <si>
    <t>tsari@its.jnj.com</t>
  </si>
  <si>
    <t>WWID</t>
  </si>
  <si>
    <t>Name</t>
  </si>
  <si>
    <t>Manager names</t>
  </si>
  <si>
    <t>Cost Center</t>
  </si>
  <si>
    <t>Sector</t>
  </si>
  <si>
    <t>Effective Termination date</t>
  </si>
  <si>
    <t>LIST OF EMPLOYEE PLACED AT PT. INTEGRATED HEALTHCARE INDONESIA</t>
  </si>
  <si>
    <t>Transport Allow.</t>
  </si>
  <si>
    <t>OS1610020</t>
  </si>
  <si>
    <t>Rizka Ramelda</t>
  </si>
  <si>
    <t>Bogor, 22 Januari 1996</t>
  </si>
  <si>
    <t>Admin. Engineering Staff</t>
  </si>
  <si>
    <t>OT, IP 350 OP 4.750 jt  &amp; Glasses 1.425 jt, Jamsostek</t>
  </si>
  <si>
    <t>roll up BS&amp;transp eff 1 Mar'17 e_9/3/2017 ; UMP 2017 prev 3.1jt</t>
  </si>
  <si>
    <t>Jl Mayor Idrus Rt 02 Rw 09 Kec Tapos, Kota Depok Jawa Barat</t>
  </si>
  <si>
    <t>082213532409</t>
  </si>
  <si>
    <t>Mandiri : 900-003842817-4</t>
  </si>
  <si>
    <t>66.033.701.5-412.000</t>
  </si>
  <si>
    <t>3276106201960001</t>
  </si>
  <si>
    <t>riiezkharamelda@gmail.com</t>
  </si>
  <si>
    <t>OS1702194</t>
  </si>
  <si>
    <t>Argha Pandu Ashari</t>
  </si>
  <si>
    <t>Gunungkidul, 9 aug 1992</t>
  </si>
  <si>
    <t>EHS&amp;S Admin</t>
  </si>
  <si>
    <t>adj Jan'18 prev ump Jan'17 3.355.750</t>
  </si>
  <si>
    <t>Ngrandu RT 03 / RW 01, Kel. Katongan Kec. Nglipar, Gunungkidul</t>
  </si>
  <si>
    <t>081228004001</t>
  </si>
  <si>
    <t>Mandiri : 1330014230114</t>
  </si>
  <si>
    <t>34.821.686.2.545.000</t>
  </si>
  <si>
    <t>3403020908920002</t>
  </si>
  <si>
    <t>0000174122752 KLINIK AL QOMAR</t>
  </si>
  <si>
    <t>pandhu.argha@gmail.com</t>
  </si>
  <si>
    <t>OS1709023</t>
  </si>
  <si>
    <t>Anwar Yunus</t>
  </si>
  <si>
    <t>Jakarta, 24 Desember 1978</t>
  </si>
  <si>
    <t>Gg. Q No. 10B RT 02 / RW 03, Kel. Cempaka Putih Timur Kec. Cempaka Putih, Jakarta Pusat</t>
  </si>
  <si>
    <t>0812090607886</t>
  </si>
  <si>
    <t>MANDIRI  1290011323272</t>
  </si>
  <si>
    <t>463018283024000</t>
  </si>
  <si>
    <t>3171052412780003</t>
  </si>
  <si>
    <t>0001633409357</t>
  </si>
  <si>
    <t>anwar.yunus.78@gmail.com</t>
  </si>
  <si>
    <t>OS1506112</t>
  </si>
  <si>
    <t>Elfa Fadly Lanin</t>
  </si>
  <si>
    <t>Jakarta, 14 Maret 1986</t>
  </si>
  <si>
    <t>Finance Staff</t>
  </si>
  <si>
    <t>Lippo Insurance IP 250 OP = 3jt  &amp; Glasses 750rb, Jamsostek</t>
  </si>
  <si>
    <t>Tamansari persada raya blok V no 2 Jatibening pondok gede</t>
  </si>
  <si>
    <t>021-86903555 / 081310639596</t>
  </si>
  <si>
    <t>BNI : 0374085751 a.n elyus lanin</t>
  </si>
  <si>
    <t>34.139.415.3.432.000</t>
  </si>
  <si>
    <t>3275081403860020</t>
  </si>
  <si>
    <t>inyolanin@gmail.com</t>
  </si>
  <si>
    <t>adjust 7 Agust'15 prev 5 jt</t>
  </si>
  <si>
    <t>move to J&amp;J 1/4/2016</t>
  </si>
  <si>
    <t>OS1408017</t>
  </si>
  <si>
    <t>Della Dwi Karina</t>
  </si>
  <si>
    <t>Jakarta, 12 aug 1988</t>
  </si>
  <si>
    <t>OT, Lippo Insurance IP 250 OP = 3jt  &amp; Glasses 750rb, Jamsostek</t>
  </si>
  <si>
    <t>UMP 2016 1 Jan 2016 prev 2.950.000 ; adjust 25 Feb'15 prev 2.750.000</t>
  </si>
  <si>
    <t>Jl. Malaka No.55 Rt/Rw.005/005 Kel. Cilangkap Kec. Cipayung, Jakarta Timur</t>
  </si>
  <si>
    <t>0896 30262426 / 089602459910</t>
  </si>
  <si>
    <t>Bank Niaga : 0250129780140</t>
  </si>
  <si>
    <t>89.177.785.6.009.000</t>
  </si>
  <si>
    <t>3175105208880004</t>
  </si>
  <si>
    <t>0001623676274 OK</t>
  </si>
  <si>
    <t>dellalivia12@gmail.com, ddwikari@its.jnj.com</t>
  </si>
  <si>
    <t>Resign 30/09/16</t>
  </si>
  <si>
    <t>OS1501027</t>
  </si>
  <si>
    <t>Risma Wardhany Putri</t>
  </si>
  <si>
    <t>Jakarta, 25 Februari 1994</t>
  </si>
  <si>
    <t>Admin EHS&amp;S-BE</t>
  </si>
  <si>
    <t>Jl. Kavling I Rt/Rw.006/001 Cipayung, Jakarta Timur</t>
  </si>
  <si>
    <t>0818 06892492 / 08977945464</t>
  </si>
  <si>
    <t>BCA : 1662804015</t>
  </si>
  <si>
    <t>72.264.083.6.009.000</t>
  </si>
  <si>
    <t>3175106502940004</t>
  </si>
  <si>
    <t>0001217391928 OK</t>
  </si>
  <si>
    <t>r.wardhany@yahoo.com, rputri1@its.jnj.com</t>
  </si>
  <si>
    <t>OS1611018</t>
  </si>
  <si>
    <t>Anne Jill Hutajulu</t>
  </si>
  <si>
    <t>Jakarta, 8 Juni 1993</t>
  </si>
  <si>
    <t>NO OT, IP 350 OP 4.750 jt  &amp; Glasses 1.425 jt, Jamsostek</t>
  </si>
  <si>
    <t>Jl. Melur Dalam V no. 6, Tg. Priok, Jakarta Utara</t>
  </si>
  <si>
    <t>021-43934953 / 08164613397</t>
  </si>
  <si>
    <t>Mandiri : 1200007611747</t>
  </si>
  <si>
    <t>74.365.980.7-042.000</t>
  </si>
  <si>
    <t>3172024806930003</t>
  </si>
  <si>
    <t>ahutaju@its.jnj.com</t>
  </si>
  <si>
    <t>permanent 01/01/17, 
last day 31/12/16</t>
  </si>
  <si>
    <t>OS1609016</t>
  </si>
  <si>
    <t>Wiwiet Restyani Putri</t>
  </si>
  <si>
    <t>Jakarta, 16 Mei 1992</t>
  </si>
  <si>
    <t>Jalan Karya Bakti Rt 004 Rw 04 No. 30 Tanah Baru, Beji, Kota Depok</t>
  </si>
  <si>
    <t>021- 7757222 / 0815-8666-7120</t>
  </si>
  <si>
    <t>Mandiri : 157-00-0176502-4</t>
  </si>
  <si>
    <t>80.168.426.7-448.000</t>
  </si>
  <si>
    <t>3276065605920001</t>
  </si>
  <si>
    <t>wiwietrp@gmail.com</t>
  </si>
  <si>
    <t>Resign 28/02/17</t>
  </si>
  <si>
    <t>LIST OF EMPLOYEE PLACED AT PT. THAMRIN NINE</t>
  </si>
  <si>
    <t>BPJS Kes confirm Mei 2015</t>
  </si>
  <si>
    <t>PKWT ZEN ARMADA (Break)</t>
  </si>
  <si>
    <t>Tunjangan Tetap</t>
  </si>
  <si>
    <t>OS1309003</t>
  </si>
  <si>
    <t>Gandung Triyono</t>
  </si>
  <si>
    <t>Jakarta, 27 Maret 1972</t>
  </si>
  <si>
    <t>Safety Officer</t>
  </si>
  <si>
    <t>adj 1 Apr '18 prev. 5.342.056;  dj 1 Apr'17 prev 5087672 ; adj Jan'16 prev BS 4.522.375 ; adjust April'15 prev 3.932.500 ; adjust Jan'14 prev 3.575.000</t>
  </si>
  <si>
    <t>OT FDR, Tunj. Kes. 1bln gaji, BPJS KES</t>
  </si>
  <si>
    <t>Basic Salary &amp; Tunj. Tetap Nett =&gt; Gross</t>
  </si>
  <si>
    <t>Jl. Raya Centex Rt/Rw.012/010 No.31 Ciracas, Jakarta Timur</t>
  </si>
  <si>
    <t>0813 81433868</t>
  </si>
  <si>
    <t>BCA : 6280765188</t>
  </si>
  <si>
    <t>NPWP : 17.866.163.3-005.000</t>
  </si>
  <si>
    <t>0001447012787 OK</t>
  </si>
  <si>
    <t>gandungt9@yahoo.co.id</t>
  </si>
  <si>
    <t>OS1309004</t>
  </si>
  <si>
    <t>Arfianto Syahputra</t>
  </si>
  <si>
    <t>Surabaya, 29 Januari 1977</t>
  </si>
  <si>
    <t>Koordinator GA</t>
  </si>
  <si>
    <t>adj 1 Apr '18 prev. 4.827.138; adj 1 Apr'17 prev 4597274 ; adj Jan'16 prev BS 4.179.340 Fix 1.100.000 ; adjust April'15 prev 3.799.400 ; adjust Jan'14 prev 3.454.000</t>
  </si>
  <si>
    <t>Kp. Lio Rt/Rw.001/001, Jl. H. Ganol No.53 Kel. Perigi Baru Kec. Pondok Aren, Kota Tangerang Selatan</t>
  </si>
  <si>
    <t>0812 94975571</t>
  </si>
  <si>
    <t>Permata : 4104457326</t>
  </si>
  <si>
    <t>NPWP : 35.861.209.1-411.000</t>
  </si>
  <si>
    <t>0001870230857 OK</t>
  </si>
  <si>
    <t>arfianto.syahputra@gmail.com,</t>
  </si>
  <si>
    <t>OS1309005</t>
  </si>
  <si>
    <t>Dewi Sulastri</t>
  </si>
  <si>
    <t>Cirebon, 22 Oktober 1974</t>
  </si>
  <si>
    <t>Senior Admin BM - OA</t>
  </si>
  <si>
    <t>adj 1 Apr '18 prev. 4.969.498; adj 1 Apr'17 prev 4321303 ; adj Jan'16 prev BS 3.928.458 Fix 1.000.000 ;adjust April'15 prev 3.416.050 ; adjust Jan'14 prev 3.105.500</t>
  </si>
  <si>
    <t>Kp. Muara Bahari Bak Air V No.268 Rt/Rw.014/013 Tanjung Priok, Jakarta Utara</t>
  </si>
  <si>
    <t>0815 17337626</t>
  </si>
  <si>
    <t>BCA : 5395025501</t>
  </si>
  <si>
    <t>NPWP : 68.855.184.5-042.000</t>
  </si>
  <si>
    <t>0001386299979 OK</t>
  </si>
  <si>
    <t>dewi_nn22@yahoo.co.id</t>
  </si>
  <si>
    <t>OS1309007</t>
  </si>
  <si>
    <t>Jamin</t>
  </si>
  <si>
    <t>Cepu, 12 Desember 1955</t>
  </si>
  <si>
    <t>Senior Teknisi</t>
  </si>
  <si>
    <t>adj 1 Apr '18 prev. 4.721.405; adj 1 Apr '18 prev. 4.721.405; adj 1 Apr'17 prev 4292186 ; adj Jan'16 prev BS 3.570.060 Fix 750.000 ;adjust April'15 prev 3.245.509 ; adjust Jan'14 prev 2.950.463</t>
  </si>
  <si>
    <t>Jl. Palem Raya, Taman Kutabumi Blok C-3 No.19 Rt/Rw.006/012 Kel. Kutabumi Kec. Pasar Kemis, Tangerang</t>
  </si>
  <si>
    <t>0813 11330043</t>
  </si>
  <si>
    <t>Permata : 4102392375</t>
  </si>
  <si>
    <t>NPWP : 57.664.335.7-416.000</t>
  </si>
  <si>
    <t>0001653611949 - KELUARGA</t>
  </si>
  <si>
    <t>OS1309008</t>
  </si>
  <si>
    <t>Sunardi</t>
  </si>
  <si>
    <t>Klaten, 20 Mei 1958</t>
  </si>
  <si>
    <t>adj 1 Apr '18 prev. 5.225.831; adj 1 Apr'17 prev 4544201 ; adj Jan'16 prev BS 4.131.092 Fix 1.450.000 ; adjust April'15 prev 3.755.538 ; adjust Jan'14 prev 3.414.125</t>
  </si>
  <si>
    <t>Jl. Raden Fatah Rt/Rw.001/001 Kel. Parung Serab Kec. Ciledug, Kota Tangerang</t>
  </si>
  <si>
    <t>0812 1948724</t>
  </si>
  <si>
    <t>Permata : 4102392391</t>
  </si>
  <si>
    <t>NPWP : 57.664.337.3-416.000</t>
  </si>
  <si>
    <t>10022605389</t>
  </si>
  <si>
    <t>0001870229169 -KELUARGA</t>
  </si>
  <si>
    <t>sunardi664@yahoo.com</t>
  </si>
  <si>
    <t>OS1309009</t>
  </si>
  <si>
    <t>Ade Susanto</t>
  </si>
  <si>
    <t>Jakarta, 6 Desember 1989</t>
  </si>
  <si>
    <t>adj 1 Apr '18 prev. 2.809.097; adj 1 Jan '18 BS prev 2.716.813 ; adj 1 Apr'17 prev 2516813 ; UMP 2017 prev 2.475.000 / FA 825rb; adj Jan'16 prev BS 2.325.000 Fix 775.000 ; adjust April'15 prev 1.830.750 ; adjust Jan'14 prev 1.750.000 / 450.000</t>
  </si>
  <si>
    <t>Jl. Menteng Wadas Utara Rt/Rw.001/011 Kel. Pasar Manggis Kec. Setiabudi, Jakarta Selatan</t>
  </si>
  <si>
    <t>0856 94377708</t>
  </si>
  <si>
    <t>BCA : 5395088545</t>
  </si>
  <si>
    <t>75.658.018.9-018.000</t>
  </si>
  <si>
    <t>0001653611725 M0</t>
  </si>
  <si>
    <t>adesanto64@gmail.com</t>
  </si>
  <si>
    <t>OS1311002</t>
  </si>
  <si>
    <t>Abdul Azis</t>
  </si>
  <si>
    <t>Jakarta, 25 aug 1979</t>
  </si>
  <si>
    <t>adj 1 Apr '18 prev. 2.809.097; adj 1 Jan '18 BS prev 2.616.813 ; adj 1 Apr'17 prev 2516813 ; UMP 2017 prev. BS 2.425.000 / FA 775rb; adj Jan'16 prev BS 2.325.000 ; adjust April'15 prev 1.830.750 ; adjust Jan'14 prev 1.650.000 / 550.000</t>
  </si>
  <si>
    <t>Jl. Meruyung Raya Gg. H. Narip Rt/Rw.02/02 No.52 Kel. Meruyung Kec Limo, Depok 16515</t>
  </si>
  <si>
    <t>021 97053753</t>
  </si>
  <si>
    <t>Mandiri : 157-00-0542740-7</t>
  </si>
  <si>
    <t>NPWP : 25.786.120.3.412.000</t>
  </si>
  <si>
    <t>0001653611872 OK</t>
  </si>
  <si>
    <t>abdazizputraraja@yahoo.com, azizputraraja@gmail.com</t>
  </si>
  <si>
    <t>OS1311004</t>
  </si>
  <si>
    <t>Jakarta, 3 November 1974</t>
  </si>
  <si>
    <t>adj 1 Apr '18 prev. 2.809.097; adj 1 Jan '18 BS prev 2.616.813 ; adj 1 Apr'17 prev 2516813 ; UMP 2017 prev. BS 2.425.000 / FA 825rb; adj Jan'16 prev BS 2.325.000 Fix 775.000 ; adjust April'15 prev 2.090.000 ; adjust Jan'14 prev 1.900.000</t>
  </si>
  <si>
    <t>Jl. Manggis I Rt/Rw.005/007 Kel. Manggarai Selatan Kec. Tebet, Jakarta Selatan</t>
  </si>
  <si>
    <t>085280992155 / 085776778704</t>
  </si>
  <si>
    <t>CIMB Niaga : 688-01-05707-18-3</t>
  </si>
  <si>
    <t>75.609.735.8-015.000</t>
  </si>
  <si>
    <t>0001870225582 M2</t>
  </si>
  <si>
    <t>raihankhedira@gmail.com</t>
  </si>
  <si>
    <t>OS1311005</t>
  </si>
  <si>
    <t>Septian Utomo</t>
  </si>
  <si>
    <t>Jakarta, 15 September 1989</t>
  </si>
  <si>
    <t>Koordinator HKP</t>
  </si>
  <si>
    <t>adj 1 Apr '18 prev. 3.811.500; adj 1 Apr'17 prev 3465000 ; adj Jan'16 prev BS 3.300.000 Fix 550.000 ; adjust April'15 prev 3 juta ; adjust 1 Agust'14 prev 1.830.750 / 610.250 ; adjust Jan'14 prev 1.650.000 / 550.000</t>
  </si>
  <si>
    <t>Jl. Bangka XI C No.15N Rt/Rw.005/010 Kel. Pela Mampang Kec. Mampang Prapatan, Jakarta Selatan</t>
  </si>
  <si>
    <t>0877 80555342</t>
  </si>
  <si>
    <t>BCA : 2861608923 an. Shanti</t>
  </si>
  <si>
    <t>0001658555098 OK</t>
  </si>
  <si>
    <t>ianumoto@gmail.com</t>
  </si>
  <si>
    <t>OS1311006</t>
  </si>
  <si>
    <t>Dany Sartika</t>
  </si>
  <si>
    <t>Jakarta, 28 Februari 1981</t>
  </si>
  <si>
    <t>adj 1 Jan '18 BS prev 2.616.813 ; adj 1 Apr'17 prev 2516813 ; UMP 2017 prev. BS 2.425.000 / FA 775rb; adj Jan'16 prev BS 2.325.000 ; adjust April'15 prev 1.830.750 ; adjust Jan'14 prev 1.650.000 / 550.000</t>
  </si>
  <si>
    <t>Jl. Pademangan IV Gg. 20 No.9 Rt/Rw.017/008 Kel. Pademangan Timur Kec. Pademangan, Jakarta Utara</t>
  </si>
  <si>
    <t>0858 10399510 / 0856 95954554</t>
  </si>
  <si>
    <t>BCA : 3101929572 an Dewi Setyawati</t>
  </si>
  <si>
    <t>NPWP : 59.011.012.8-044.000</t>
  </si>
  <si>
    <t>0001653611703 OK</t>
  </si>
  <si>
    <t>OS1409002</t>
  </si>
  <si>
    <t>Rasjono</t>
  </si>
  <si>
    <t>Jakarta, 15 aug 1983</t>
  </si>
  <si>
    <t>GA Staff</t>
  </si>
  <si>
    <t>adj 1 Jan '18 BS prev 2.666.813 ; adj 1 Apr'17 prev 2516813 ; UMP 2017 prev 2.425.000 / FA 775rb; adj Jan'16 prev BS 2.325.000 ; adjust April'15 prev 1.830.750</t>
  </si>
  <si>
    <t>Jl. Palmerah Barat Rt/Rw.009/007 Palmerah, Jakarta Barat</t>
  </si>
  <si>
    <t>0812 82672908</t>
  </si>
  <si>
    <t>BCA : 2881443386</t>
  </si>
  <si>
    <t>NPWP : 70.868.510.2.031.000</t>
  </si>
  <si>
    <t>0001297350347 M2</t>
  </si>
  <si>
    <t>KTP : 3173071508830005</t>
  </si>
  <si>
    <t>OS1601001</t>
  </si>
  <si>
    <t>Karyani</t>
  </si>
  <si>
    <t>Cirebon, 10 Juli 1984</t>
  </si>
  <si>
    <t>Junior Engineering Supervisor</t>
  </si>
  <si>
    <t xml:space="preserve">adj 1 Apr '18 prev. 3.850.000; adj 1 Apr'17 prev 3500000 ; </t>
  </si>
  <si>
    <t>Jl. Melawan Dalam Rt/Rw.007/007 Kel. Mangga Dua Selatan Kec. Sawah Besar, Jakarta Pusat 10730</t>
  </si>
  <si>
    <t>0819 34191939</t>
  </si>
  <si>
    <t>BCA : 0845223837</t>
  </si>
  <si>
    <t>3171021007841001</t>
  </si>
  <si>
    <t>55.430.314.9.026.000</t>
  </si>
  <si>
    <t>0001628063548 OK</t>
  </si>
  <si>
    <t>ian.anindia@gmail.com</t>
  </si>
  <si>
    <t>OS1710035</t>
  </si>
  <si>
    <t>Yosca Mario D</t>
  </si>
  <si>
    <t>Jakarta, 5 Januari 1991</t>
  </si>
  <si>
    <t>Finance Supervisor</t>
  </si>
  <si>
    <t>Jl. Kebon Bawang II No. 40 RT 09 / RW 07, Kel. Kebon Bawang Kec. Tanjung Priok, Jakarta Utara</t>
  </si>
  <si>
    <t>021 - 4350368 / 085777924554</t>
  </si>
  <si>
    <t>3172020501910002</t>
  </si>
  <si>
    <t>73.255.278.1-042.000</t>
  </si>
  <si>
    <t>lietzbergsierg@gmail.com</t>
  </si>
  <si>
    <t>OS1710051</t>
  </si>
  <si>
    <t>Nandi Alfarisi</t>
  </si>
  <si>
    <t>Bekasi, 27 Januari 1999</t>
  </si>
  <si>
    <t xml:space="preserve">adj 1 Jan '18 BS prev 2.516.813 </t>
  </si>
  <si>
    <t>Kp. Galian Bunut RT 02 / RW 05, Kel. Sukaindah Kec. Sukakarya, Bekasi</t>
  </si>
  <si>
    <t>0858 19475850</t>
  </si>
  <si>
    <t>BCA : 5395092429</t>
  </si>
  <si>
    <t>3216142701990001</t>
  </si>
  <si>
    <t>820779916414000</t>
  </si>
  <si>
    <t>OS1508019</t>
  </si>
  <si>
    <t>Aista Maryam</t>
  </si>
  <si>
    <t>Bekasi, 22 Juli 1993</t>
  </si>
  <si>
    <t>Admin BM - OA/GA</t>
  </si>
  <si>
    <t>OT FDR, Tunj. Kes. 1bln gaji</t>
  </si>
  <si>
    <t>Basic Salary &amp; Tunj. Tetap Nett</t>
  </si>
  <si>
    <t>Kp. Pedurenan Rt/Rw.001/002 Jatiluhur, Jatiasih, Kota Bekasi</t>
  </si>
  <si>
    <t>0895 04330012</t>
  </si>
  <si>
    <t>BCA : 5770702854</t>
  </si>
  <si>
    <t>3275096207930020</t>
  </si>
  <si>
    <t>71.105.806.4.432.000</t>
  </si>
  <si>
    <t>0001339998197 OK</t>
  </si>
  <si>
    <t>aista.maryam@yahoo.com</t>
  </si>
  <si>
    <t>resign 3/3/2016, kelebihan gaji</t>
  </si>
  <si>
    <t>OS1311003</t>
  </si>
  <si>
    <t>Muji Riyanto</t>
  </si>
  <si>
    <t>Purworejo, 9 November 1990</t>
  </si>
  <si>
    <t>adjust April'15 prev 1.830.750 ; adjust Jan'14 prev 1.650.000 / 550.000</t>
  </si>
  <si>
    <t>Jl. Gandaria 3 Rt/Rw.011/002 Kel. Pekayon Kec. Pasar Rebo, Jakarta Timur 13710</t>
  </si>
  <si>
    <t>085770890300 / 081295083918</t>
  </si>
  <si>
    <t>Permata Bank :  4108238424</t>
  </si>
  <si>
    <t>0001216423168 OK</t>
  </si>
  <si>
    <t>mujiriyanto182@gmail.com</t>
  </si>
  <si>
    <t>resign 20/4/2016</t>
  </si>
  <si>
    <t>OS1601002</t>
  </si>
  <si>
    <t>Melati Fitriyani</t>
  </si>
  <si>
    <t>Jakarta, 16 Mei 1988</t>
  </si>
  <si>
    <t>OT FDR</t>
  </si>
  <si>
    <t>Jl. Belawan No 56 Rt 11 / Rw 03, Kel. Cideng Kec Gambir, 10150, Jakarta</t>
  </si>
  <si>
    <t>0896 51474101</t>
  </si>
  <si>
    <t>BCA : 5260311249</t>
  </si>
  <si>
    <t>3171015605880003</t>
  </si>
  <si>
    <t xml:space="preserve">71.002.152.8.028.000 </t>
  </si>
  <si>
    <t xml:space="preserve">0001766676756 OK
</t>
  </si>
  <si>
    <t>mfitriyani74@gmail.com</t>
  </si>
  <si>
    <t>Resign 31/08/16, 
tidak jadi diperpanjang</t>
  </si>
  <si>
    <t>OS1309010</t>
  </si>
  <si>
    <t>Widodo</t>
  </si>
  <si>
    <t>Klaten, 16 November 1984</t>
  </si>
  <si>
    <t>UMP 2017 prev 2.425.000 / FA 775rb; adj Jan'16 prev BS 2.325.000 ; adjust April'15 prev 2.200.000 ; adjust Jan'14 prev 2.000.000</t>
  </si>
  <si>
    <t>Jl. Sosial Rt/Rw.004/002 Kel. Wijaya Kusuma Kec. Grogol Petamburan, Jakarta Barat</t>
  </si>
  <si>
    <t>0858 83964564</t>
  </si>
  <si>
    <t>Permata : 4107834392</t>
  </si>
  <si>
    <t>NPWP : 87.528.273.3-036.000</t>
  </si>
  <si>
    <t>0001738832062 OK</t>
  </si>
  <si>
    <t>terminated 19/5/2017, SP 3</t>
  </si>
  <si>
    <t>OS1703005</t>
  </si>
  <si>
    <t>RESIGN 4/9/2017</t>
  </si>
  <si>
    <t>OS1706017</t>
  </si>
  <si>
    <t>Afmola</t>
  </si>
  <si>
    <t>Lhokseumawe, 20 Februari 1984</t>
  </si>
  <si>
    <t>Jl. Rawa Bambu 2 Komplek AL No.7 Rt/Rw.04/08 Pasar Minggu, Jakarta Selatan</t>
  </si>
  <si>
    <t>0822 98302514</t>
  </si>
  <si>
    <t>BCA : 5470488869</t>
  </si>
  <si>
    <t>3174042002840017</t>
  </si>
  <si>
    <t>75.436.803.3.017.000</t>
  </si>
  <si>
    <t>0001321106422 psr minggu 1</t>
  </si>
  <si>
    <t>afmolajazz305@gmail.com</t>
  </si>
  <si>
    <t>resign 5/9/2017, no referensi, less 1 month</t>
  </si>
  <si>
    <t>T. Laptop</t>
  </si>
  <si>
    <t>Standby allowance</t>
  </si>
  <si>
    <t>Insentif</t>
  </si>
  <si>
    <t>Meals &amp; Transport</t>
  </si>
  <si>
    <t>Nov</t>
  </si>
  <si>
    <t>Dec</t>
  </si>
  <si>
    <t>Jan</t>
  </si>
  <si>
    <t>Feb</t>
  </si>
  <si>
    <t>Mar</t>
  </si>
  <si>
    <t>Apr</t>
  </si>
  <si>
    <t>May</t>
  </si>
  <si>
    <t>Jun</t>
  </si>
  <si>
    <t>Jul</t>
  </si>
  <si>
    <t>Aug</t>
  </si>
  <si>
    <t>Sep</t>
  </si>
  <si>
    <t>Oct</t>
  </si>
  <si>
    <t>OS1311009</t>
  </si>
  <si>
    <t>Agusna Falys</t>
  </si>
  <si>
    <t>Tegal, 14 Februari 1967</t>
  </si>
  <si>
    <t>Siti Rizka</t>
  </si>
  <si>
    <t>Meal Rp.11.111/day &amp; Trans Rp. 5,550/day</t>
  </si>
  <si>
    <t>UMP 2018 prev 3.355.750 ; UMP 2017 prev. 3.1jt; UMP 2015 prev 2.441.000 ; UMP 2014 prev 2.250.000</t>
  </si>
  <si>
    <t>Asuransi Plan 200, Reimbursement max 2jt, Jamsostek, BPJS KES, OT</t>
  </si>
  <si>
    <t>Jl. Pancoran Barat V No. 32, RT/RW. 004/ 006, Pancoran</t>
  </si>
  <si>
    <t>087880085963 / 0815 85211856</t>
  </si>
  <si>
    <t>BCA : 4361119236</t>
  </si>
  <si>
    <t xml:space="preserve">NPWP : 59.099.042.0-061.000 </t>
  </si>
  <si>
    <t>0001210938276 M2</t>
  </si>
  <si>
    <t>OS1311010</t>
  </si>
  <si>
    <t>Suwarna</t>
  </si>
  <si>
    <t>Tegal, 16 Desember 1967</t>
  </si>
  <si>
    <t>Jl. Bangka XI C RT/RW. 001/ 010, Kel. Pela Mampang, Jakarta Selatan</t>
  </si>
  <si>
    <t>0818 08036402</t>
  </si>
  <si>
    <t>BCA : 3751415719 a.n Suwarna</t>
  </si>
  <si>
    <t>97.086.374.2-014.00</t>
  </si>
  <si>
    <t>0001609562766 OK</t>
  </si>
  <si>
    <t>OS1311012</t>
  </si>
  <si>
    <t>Sutarno</t>
  </si>
  <si>
    <t>Banyumas, 14 April 1968</t>
  </si>
  <si>
    <t>adj 7% eff 1 Jan'18 prev 3.626.375 ; UMP 2017 prev. 3.350.000; adj Jan'16 e_4/4/2016 prev 3.1 jt ; UMP 2016 prev 3.042.510 ; UMP 2015 prev 2.741.000 ; UMP 2014 prev 2.550.000</t>
  </si>
  <si>
    <t>Kp. Rawakalong RT/RW. 005/ 007, Kel. Grogol, Kec. Limo, Depok</t>
  </si>
  <si>
    <t>0812 9487807</t>
  </si>
  <si>
    <t>BCA : 0840018687</t>
  </si>
  <si>
    <t xml:space="preserve"> 58.126.677.2-412.000</t>
  </si>
  <si>
    <t>0001609562687 -KELUARGA</t>
  </si>
  <si>
    <t>sutarnoangga93@gmail.com</t>
  </si>
  <si>
    <t>OS1507002</t>
  </si>
  <si>
    <t>Untoro Kurniawan</t>
  </si>
  <si>
    <t>Temanggung, 30 Juni 1979</t>
  </si>
  <si>
    <t>Technical Chef</t>
  </si>
  <si>
    <t>Rika Sandi</t>
  </si>
  <si>
    <t>adj eff Jan'17 prev 19.5 jt ; BS nett</t>
  </si>
  <si>
    <t>Asuransi Plan 200, Reimbursement max 2jt, Jamsostek, BPJS KES</t>
  </si>
  <si>
    <t>Puri Bintara Regency Blok K No.15 Rt/Rw.006/013 Bintara Jaya, Bekasi Barat, Kota Bekasi</t>
  </si>
  <si>
    <t>021.88860069 / 082124731250</t>
  </si>
  <si>
    <t>CIMB : 925-01-06644-18-4</t>
  </si>
  <si>
    <t>3275023006790022</t>
  </si>
  <si>
    <t>24.477.102.8.517.000</t>
  </si>
  <si>
    <t xml:space="preserve">0001376693954 - KELUARGA TERDAFTAR DI  INDOFOOD SUKSES MAKMUR PT DIVISI BOGASARI
</t>
  </si>
  <si>
    <t>untoro.dnp@yahoo.co.id</t>
  </si>
  <si>
    <t>OS1507003</t>
  </si>
  <si>
    <t>Itbah Bani Ibrahim</t>
  </si>
  <si>
    <t>Pemalang, 25 April 1989</t>
  </si>
  <si>
    <t>adj eff Jan'17 prev 7.8 jt ; adjust 1 Mar'16 prev 6.5 jt ; BS nett</t>
  </si>
  <si>
    <t>Jl. Bendungan Melayu Utara No.89/164 Rt/Rw.007/01 Tugu Selatan, Koja, Jakarta Utara 14260</t>
  </si>
  <si>
    <t>BCA : 0073468725</t>
  </si>
  <si>
    <t>3172032504890017</t>
  </si>
  <si>
    <t>54.331.919.8.045.000</t>
  </si>
  <si>
    <t>PBI (APBN</t>
  </si>
  <si>
    <t>itbahbaniibrahim@gmail.com</t>
  </si>
  <si>
    <t>OS1601022</t>
  </si>
  <si>
    <t>Agam Febrianda</t>
  </si>
  <si>
    <t>Jakarta, 28 Pebruari 1986</t>
  </si>
  <si>
    <t>Helpdesk</t>
  </si>
  <si>
    <t xml:space="preserve">Ridwanto ‘Wawin’ Widjaya
</t>
  </si>
  <si>
    <t xml:space="preserve">asuransi cover family per 1 Jan '18 ; adj BS eff 1 jan '17 prev. 4.5jt &amp; entitle insentif </t>
  </si>
  <si>
    <t>Taman Wisma Asri Jl. Delima X Blok D14 No. 29, Bekasi 17121</t>
  </si>
  <si>
    <t>085694310494</t>
  </si>
  <si>
    <t>BCA: 662930413</t>
  </si>
  <si>
    <t>3275032802860012</t>
  </si>
  <si>
    <t>'55.072.23.00407.000</t>
  </si>
  <si>
    <t>0001738837214 OK</t>
  </si>
  <si>
    <t>FEBRIANDA.86@gmail.com</t>
  </si>
  <si>
    <t>permanen 1/6/2018</t>
  </si>
  <si>
    <t>OS1601023</t>
  </si>
  <si>
    <t>Achmad</t>
  </si>
  <si>
    <t>Raha, 10 Januari 1993</t>
  </si>
  <si>
    <t>Puri Citayam Permai Blok C9 No. 5 Kec. Bojonggede Kab. Bogor</t>
  </si>
  <si>
    <t>085256163104/085717131815</t>
  </si>
  <si>
    <t>BCA: 3751493159</t>
  </si>
  <si>
    <t>7309141001930004</t>
  </si>
  <si>
    <t>81.516.352.2.403.000</t>
  </si>
  <si>
    <t>0001278078333</t>
  </si>
  <si>
    <t>achmad.mdlzwise@gmail.com</t>
  </si>
  <si>
    <t>OS1601024</t>
  </si>
  <si>
    <t>Erwin Sendiko</t>
  </si>
  <si>
    <t>24 September 1986</t>
  </si>
  <si>
    <t>asuransi cover family per 1 Jan '18 ; adj BS eff 1 jan '17 prev. 4.5jt &amp; entitle insentif; adjust 1 Apr'16 prev 3.5 jt</t>
  </si>
  <si>
    <t>Jl. Rambai 2 No 2b Rt/Rw.004/002 Kebayoran Baru, Jakarta Selatan 12130</t>
  </si>
  <si>
    <t>08111637524</t>
  </si>
  <si>
    <t>BCA: 2281393661</t>
  </si>
  <si>
    <t>3174072409860004</t>
  </si>
  <si>
    <t>'09.649.4315019000</t>
  </si>
  <si>
    <t>0001743306118 OK</t>
  </si>
  <si>
    <t>ERWINSENDIKO@gmail.com, erwin@corphr.com</t>
  </si>
  <si>
    <t>OS1609014</t>
  </si>
  <si>
    <t>Yane Octaria Ahmad</t>
  </si>
  <si>
    <t>Cirebon, 15 Oktober 1992</t>
  </si>
  <si>
    <t>HR Admin =&gt; HR Training &amp; Recruitment Staff</t>
  </si>
  <si>
    <t>Musafa</t>
  </si>
  <si>
    <t>adj 1 Mar'18 prev 3.5 jt ; change title e_17/3/2017</t>
  </si>
  <si>
    <t>NO OT, BPJS KES</t>
  </si>
  <si>
    <t>Jl. Rik-rik no.9 Bandung</t>
  </si>
  <si>
    <t>087821452448</t>
  </si>
  <si>
    <t>CIMB : 760067971000</t>
  </si>
  <si>
    <t>3273075511920005</t>
  </si>
  <si>
    <t>octariayane@gmail.com</t>
  </si>
  <si>
    <t>OS1701049</t>
  </si>
  <si>
    <t>Arif Sakti Eka Putra</t>
  </si>
  <si>
    <t>Chef</t>
  </si>
  <si>
    <t>BS nett</t>
  </si>
  <si>
    <t>Jl. Pengantin Ali RT 01 / RW 06 No. 7, Ciracas Jakarta Timur</t>
  </si>
  <si>
    <t>021-8715157 / 0821 65173757</t>
  </si>
  <si>
    <t>BNI : 0503058483</t>
  </si>
  <si>
    <t>3175092712890004</t>
  </si>
  <si>
    <t>rizkiarmada@yahoo.co.id</t>
  </si>
  <si>
    <t xml:space="preserve"> OS1710070</t>
  </si>
  <si>
    <t>Wasista Legowo</t>
  </si>
  <si>
    <t>Jakarta, 22 Desember 1978</t>
  </si>
  <si>
    <t>Muksinun</t>
  </si>
  <si>
    <t>adj 1 Jan'18 prev 3.807.000</t>
  </si>
  <si>
    <t>Anek Elok Blok D9 No. 7 RT 08 / RW 09, Kel. Penggilingan Kec. Cakung, Jakarta Timur</t>
  </si>
  <si>
    <t>BCA : 0947204738</t>
  </si>
  <si>
    <t>3175062212780005</t>
  </si>
  <si>
    <t>12000905526</t>
  </si>
  <si>
    <t>0001743122632</t>
  </si>
  <si>
    <t>wasistalegowo@gmail.com</t>
  </si>
  <si>
    <t>OS1802057</t>
  </si>
  <si>
    <t>Nabila Ayodhya Syifa</t>
  </si>
  <si>
    <t>Bandung, 26 December 1996</t>
  </si>
  <si>
    <t>Finance Internship</t>
  </si>
  <si>
    <t>Swasti (Swasti.anindyasari@mdlz.com) / Adhy (Triadhy.putranto@mdlz.com)</t>
  </si>
  <si>
    <t>Jl. Cigadung Selatan No. 65, Bandung, 40191</t>
  </si>
  <si>
    <t>BCA  777 150 1226</t>
  </si>
  <si>
    <t>3273186612960001</t>
  </si>
  <si>
    <t>billaasyifa@gmail.com</t>
  </si>
  <si>
    <t>OS1802058</t>
  </si>
  <si>
    <t>Yohanna Rouli Panjaitan</t>
  </si>
  <si>
    <t>Sidikalang, 19 Desember 1997</t>
  </si>
  <si>
    <t>ISC Internship</t>
  </si>
  <si>
    <t>Jl. Anyer Blok D No. 345 Perumahan Duren Jaya, Bekasi Timur, Kota Bekasi Jawa Barat 17111</t>
  </si>
  <si>
    <t>MANDIRI  1660001398379</t>
  </si>
  <si>
    <t>PANJAITANYOHANNA19@GMAIL.COM</t>
  </si>
  <si>
    <t>OS1802059</t>
  </si>
  <si>
    <t>Fini Nuryanti</t>
  </si>
  <si>
    <t>Jakarta, 18 September 1997</t>
  </si>
  <si>
    <t>Jl. Bintara I RT 07 / RW 02 No. 39, Bekasi Barat, Kota Bekasi, Jawa Barat 17134</t>
  </si>
  <si>
    <t>BNI  0347492996</t>
  </si>
  <si>
    <t>FININRYNTI@GMAIL.COM</t>
  </si>
  <si>
    <t>OS1802060</t>
  </si>
  <si>
    <t>Syarifah Annisa</t>
  </si>
  <si>
    <t>Jakarta, 26 Juni 1996</t>
  </si>
  <si>
    <t>Kel. Rambutan RT 11 / RW 03, Rambutan, Ciracas, Jakarta Timur</t>
  </si>
  <si>
    <t>BCA  6825037865</t>
  </si>
  <si>
    <t>3175096606960004</t>
  </si>
  <si>
    <t>NISA.SYARIFA26@GMAIL.COM</t>
  </si>
  <si>
    <t>OS1802062</t>
  </si>
  <si>
    <t>Pendi Aryadi</t>
  </si>
  <si>
    <t>Tasikmalaya, 12 Maret 1997</t>
  </si>
  <si>
    <t>Technical Drafter</t>
  </si>
  <si>
    <t>Rosmaliah</t>
  </si>
  <si>
    <t>BS NETT</t>
  </si>
  <si>
    <t>Kp. Ciodeng RT 02 / RW 01, Ds. Sukamaju Kec. Pagerageung, Tasikmalaya</t>
  </si>
  <si>
    <t>MANDIRI 1770005872681</t>
  </si>
  <si>
    <t>3206381203970002</t>
  </si>
  <si>
    <t>PEN120397@GMAIL.COM</t>
  </si>
  <si>
    <t>OS1802083</t>
  </si>
  <si>
    <t>Vadhel Iqbal Nasution</t>
  </si>
  <si>
    <t>Jakarta, 17 Januari 1996</t>
  </si>
  <si>
    <t>Sales Internship</t>
  </si>
  <si>
    <t>Gg. Duren II No. 2 RT 03 / RW 03, Kel. Tanjung Duren Selatan Kec. Grogol Petamburan, Jakarta Barat</t>
  </si>
  <si>
    <t>082299248592</t>
  </si>
  <si>
    <t>BNI 0313480447</t>
  </si>
  <si>
    <t>3173021701960004</t>
  </si>
  <si>
    <t>vadheliqbal@gmail.com</t>
  </si>
  <si>
    <t>OS1802084</t>
  </si>
  <si>
    <t>Istiana Rochmah</t>
  </si>
  <si>
    <t>Jakarta, 25 Januari 1996</t>
  </si>
  <si>
    <t>CSL Internship</t>
  </si>
  <si>
    <t>Jl. Raya Ceger RT 02 / RW 02, Kel. Ceger Kec. Cipayung, Jakarta Timur</t>
  </si>
  <si>
    <t>BNI 0352601546</t>
  </si>
  <si>
    <t>3175106501960004</t>
  </si>
  <si>
    <t>istianarochmah@gmail.com</t>
  </si>
  <si>
    <t>OS1802085</t>
  </si>
  <si>
    <t>Aminah Safitri</t>
  </si>
  <si>
    <t>Cilacap, 30 September 1996</t>
  </si>
  <si>
    <t>Jl. Potlot I/8, RT 01 / RW 06, Kel. Duren Tiga, Kec. Pancoran, Jakarta Selatan</t>
  </si>
  <si>
    <t>BRI 042601005234505</t>
  </si>
  <si>
    <t>3174087009960002</t>
  </si>
  <si>
    <t>aminahsaf@gmail.com</t>
  </si>
  <si>
    <t>OS1803042</t>
  </si>
  <si>
    <t>Putri Mega Pertiwi</t>
  </si>
  <si>
    <t>Jakarta, 26 Agustus 1995</t>
  </si>
  <si>
    <t>Jl. Raya Hankam No. 8, Jatisampurna, Kota Bekasi 17432</t>
  </si>
  <si>
    <t>081289584578</t>
  </si>
  <si>
    <t>BCA 7401107472</t>
  </si>
  <si>
    <t>3275106608950004</t>
  </si>
  <si>
    <t>p.mega0256@gmail.com</t>
  </si>
  <si>
    <t>not extend 7/6/2018</t>
  </si>
  <si>
    <t>OS1803043</t>
  </si>
  <si>
    <t>Ahmad Gemilang</t>
  </si>
  <si>
    <t>Jl. Tanah Abang Timur No. 16 RT 02 / RW 04, Gambir, Jakarta Pusat</t>
  </si>
  <si>
    <t>Jakarta, 8 Agustus 1996</t>
  </si>
  <si>
    <t>CIMB NIAGA  3430101106115 a.n NOER ACHMAD</t>
  </si>
  <si>
    <t>3171010808960002</t>
  </si>
  <si>
    <t>egigemilang8@gmail.com</t>
  </si>
  <si>
    <t>OS1805007</t>
  </si>
  <si>
    <t>Susi</t>
  </si>
  <si>
    <t>Sedau, 8 November 1996</t>
  </si>
  <si>
    <t>HR Internship</t>
  </si>
  <si>
    <t>Jl. Tanjung Batu Harapan RT 03 / RW 11, Sedau, Singkawang Selatan, Kota Singkawang</t>
  </si>
  <si>
    <t>085386560108</t>
  </si>
  <si>
    <t>BCA 8730451548</t>
  </si>
  <si>
    <t>6172054811960003</t>
  </si>
  <si>
    <t>susiscaa@gmail.com</t>
  </si>
  <si>
    <t xml:space="preserve"> OS1805008</t>
  </si>
  <si>
    <t>Indang Siti Nurlatifah</t>
  </si>
  <si>
    <t>Majalengka, 28 Juli 1997</t>
  </si>
  <si>
    <t>Blok Sokajaya RT 01 / RW 04, Kel. Cisoka Kel. Cikijing, Majalengka</t>
  </si>
  <si>
    <t>083873274594</t>
  </si>
  <si>
    <t>BCA 8760733513</t>
  </si>
  <si>
    <t>3210036807970001</t>
  </si>
  <si>
    <t>indang.s.n@gmail.com</t>
  </si>
  <si>
    <t xml:space="preserve"> OS1804059</t>
  </si>
  <si>
    <t>Cici Lestari Agustina</t>
  </si>
  <si>
    <t>Kuningan, 8 Agustus 1996</t>
  </si>
  <si>
    <t>Kp. Rawa Suren RT 10 / RW 05, Harjamekar, Cikarang Utara, Bekasi</t>
  </si>
  <si>
    <t>081297608334</t>
  </si>
  <si>
    <t>BCA 8760821722</t>
  </si>
  <si>
    <t>3208204808960002</t>
  </si>
  <si>
    <t>cicilestari874@gmail.com</t>
  </si>
  <si>
    <t>OS1805009</t>
  </si>
  <si>
    <t>Dian Andiani</t>
  </si>
  <si>
    <t>Majalengka, 16 Juli 1997</t>
  </si>
  <si>
    <t>Ling. Margarahayu RT 18 / RW 06, Cicurug Majalengka</t>
  </si>
  <si>
    <t>082317554706</t>
  </si>
  <si>
    <t>BCA 8760733521</t>
  </si>
  <si>
    <t>3210075607970041</t>
  </si>
  <si>
    <t>dianandiani07@gmail.com</t>
  </si>
  <si>
    <t xml:space="preserve"> OS1805010</t>
  </si>
  <si>
    <t>Kelvin</t>
  </si>
  <si>
    <t>Singkawang, 11 Februari 2018</t>
  </si>
  <si>
    <t>Jl. Alianyang Gg. Surya No. 24 RT 43 / RW 16, Kec. Pasiran Kel. Singkawang Barat, Singkawang</t>
  </si>
  <si>
    <t>082299489128</t>
  </si>
  <si>
    <t>BCA 8170775334</t>
  </si>
  <si>
    <t>6172020902980002</t>
  </si>
  <si>
    <t>kelvinchristian25@yahoo.co.id</t>
  </si>
  <si>
    <t>OS1805018</t>
  </si>
  <si>
    <t>Rika Misnawati</t>
  </si>
  <si>
    <t>Sorong, 13 Juni 1997</t>
  </si>
  <si>
    <t>Jl. Pangeran Diponegoro Lrng 65B No. C2, Kec. Wajo Kel. Melayu, Makassar</t>
  </si>
  <si>
    <t>082346430945</t>
  </si>
  <si>
    <t>Mandiri 1600001589403</t>
  </si>
  <si>
    <t>9203045306970002</t>
  </si>
  <si>
    <t>rikamisnawati655@gmail.com</t>
  </si>
  <si>
    <t>Teejay David Golung</t>
  </si>
  <si>
    <t>Manado, 11 Agustus 1997</t>
  </si>
  <si>
    <t>Quality Internship</t>
  </si>
  <si>
    <t>Lingkungan V RW 05, Malalayang Satu Barat, Kota Manado</t>
  </si>
  <si>
    <t>085240598542</t>
  </si>
  <si>
    <t>BCA 0262395764</t>
  </si>
  <si>
    <t>7171091108970051</t>
  </si>
  <si>
    <t>david.golung@hotmail.com</t>
  </si>
  <si>
    <t xml:space="preserve"> OS1805083</t>
  </si>
  <si>
    <t>Silmi Lathifan</t>
  </si>
  <si>
    <t>Bandung, 2 Agustus 1995</t>
  </si>
  <si>
    <t>Pesona Khayangan Blok CG No. 10, RT 07 / RW 27, Mekarjaya, Sukmajaya, Depok</t>
  </si>
  <si>
    <t>085718910700</t>
  </si>
  <si>
    <t>BCA 5271302437</t>
  </si>
  <si>
    <t>3276054208950008</t>
  </si>
  <si>
    <t xml:space="preserve">silmilathifan@gmail.com; </t>
  </si>
  <si>
    <t>Ricardo Bono</t>
  </si>
  <si>
    <t>1 November 1995</t>
  </si>
  <si>
    <t>Taman Permata 2 Blok A4-1, Tangerang Selatan</t>
  </si>
  <si>
    <t>081294648656</t>
  </si>
  <si>
    <t>BCA 5271293471</t>
  </si>
  <si>
    <t>3174040111950004</t>
  </si>
  <si>
    <t>ricardobono7@gmail.com</t>
  </si>
  <si>
    <t>Aprilia Ayuning Putri</t>
  </si>
  <si>
    <t>Jakarta, 29 April 1998</t>
  </si>
  <si>
    <t>Jl. Juragan Sinda 3 RT 06 / RW 01, Kukusan Beji, Depok</t>
  </si>
  <si>
    <t>081511716041</t>
  </si>
  <si>
    <t>Mandiri 1360014701988</t>
  </si>
  <si>
    <t>3307096904980003</t>
  </si>
  <si>
    <t>apriliaayuningputri@gmail.com</t>
  </si>
  <si>
    <t>Bagus Aditya Nugraha</t>
  </si>
  <si>
    <t>Cirebon, 11 Mei 1997</t>
  </si>
  <si>
    <t>28 Mei 2018</t>
  </si>
  <si>
    <t>27 September 2018</t>
  </si>
  <si>
    <t>Rp. 1.500.000,- (satu juta lima ratus ribu rupiah)</t>
  </si>
  <si>
    <t>Jl. Sasana Budaya No. 65 RT 01 / RW 09, Kel. Sutawinangun Kel. Kedawung, Cirebon</t>
  </si>
  <si>
    <t>Edgar Yogie Prabowo</t>
  </si>
  <si>
    <t>Bekasi, 22 Agustus 1997</t>
  </si>
  <si>
    <t>4 Juni 2018</t>
  </si>
  <si>
    <t>3 Oktober 2018</t>
  </si>
  <si>
    <t>Jl. Cilemahabang Q-3 / 58 Cikarang Baru RT 05 / RW 09, Kel. Jayamukti Kec. Cikarang Pusat, Bekasi</t>
  </si>
  <si>
    <t>Gabriella Widya Asriani</t>
  </si>
  <si>
    <t>Jakarta, 6 Agustus 1997</t>
  </si>
  <si>
    <t>21 Juni 2018</t>
  </si>
  <si>
    <t>20 September 2018</t>
  </si>
  <si>
    <t>Jl. Ancol Selatan RT 08 / RW 07, Kel. Sunter Agung Kec. Tanjung Priok, Jakarta</t>
  </si>
  <si>
    <t>OS1311008</t>
  </si>
  <si>
    <t>Jakarta, 13 Maret 1966</t>
  </si>
  <si>
    <t>UMP 2015 prev 2.441.000 ; UMP 2014 prev 2.250.000</t>
  </si>
  <si>
    <t>Asuransi Plan 200 Reimbursement max 2jt &amp; Jamsostek</t>
  </si>
  <si>
    <t>Jl. Rawa Selatan RT/RW. 005/004, Kel. Kampung Rawa, Kec. Johar Baru, Jakarta Pusat</t>
  </si>
  <si>
    <t>0812 81635834</t>
  </si>
  <si>
    <t>BCA : 3751451189</t>
  </si>
  <si>
    <t>NPWP : 59.099.040.4-024.000</t>
  </si>
  <si>
    <t>0001609562597 M3</t>
  </si>
  <si>
    <t>terminated 31/7/2016</t>
  </si>
  <si>
    <t>OS1505097</t>
  </si>
  <si>
    <t>Adiarno Prandoko</t>
  </si>
  <si>
    <t>Batang, 2 April 1980</t>
  </si>
  <si>
    <t>Siti Romlah</t>
  </si>
  <si>
    <t>Meal Rp.10.000/day &amp; Trans Rp. 5.550/day</t>
  </si>
  <si>
    <t>eff Jan'16 e_feb'16 prev 3.330.505 ; eff 1 Jan 16 prev BS 2.987.000</t>
  </si>
  <si>
    <t>Perum Terang Sari E9/20 Rt/Rw.002/005 Cibalongsari, Klari, Kab. Karawang</t>
  </si>
  <si>
    <t>0852 88183000</t>
  </si>
  <si>
    <t>BCA : 5745050261</t>
  </si>
  <si>
    <t>3215050204800011</t>
  </si>
  <si>
    <t>0001640409851</t>
  </si>
  <si>
    <t xml:space="preserve"> adiarno80@gmail.com</t>
  </si>
  <si>
    <t>OS1511017</t>
  </si>
  <si>
    <t>Mutiara Amanah</t>
  </si>
  <si>
    <t>Jakarta, 6 Februari 1993</t>
  </si>
  <si>
    <t>Kompleks Taman Cihanjuang No.1 Cihanjuang, Bandung Barat 40559</t>
  </si>
  <si>
    <t>0857 6862 6130</t>
  </si>
  <si>
    <t>BNI : 0353754081</t>
  </si>
  <si>
    <t>3217024602930002</t>
  </si>
  <si>
    <t>0001743302968 OK</t>
  </si>
  <si>
    <t>mutiara.amanah62@gmail.com</t>
  </si>
  <si>
    <t>not extend 1/8/2016</t>
  </si>
  <si>
    <t>OS1311011</t>
  </si>
  <si>
    <t>AM. Suparno</t>
  </si>
  <si>
    <t>Madiun, 6 Januari 1959</t>
  </si>
  <si>
    <t>Driver expatriat</t>
  </si>
  <si>
    <t>Swasti Anindya Sari</t>
  </si>
  <si>
    <t>private driver eff 14 Sep '15 ; UMP 2015 prev 2.441.000 ; UMP 2014 prev 2.250.000</t>
  </si>
  <si>
    <t>Jl. Pinus Perum Sasmita RT/RW. 001/ 020, Kel. Pamulang Timur, Kec. Pamulang, Tangerang</t>
  </si>
  <si>
    <t>0813 85511177</t>
  </si>
  <si>
    <t>BCA : 3751408356</t>
  </si>
  <si>
    <t xml:space="preserve">NPWP : 26.228.886.3-013.000 </t>
  </si>
  <si>
    <t>0001609562812 -KELUARGA</t>
  </si>
  <si>
    <t>private driver per 14/09/15, terminated 31/10/16</t>
  </si>
  <si>
    <t>OS1601029</t>
  </si>
  <si>
    <t>Feby Sufmawati</t>
  </si>
  <si>
    <t>Tangerang, 2 Februari 1993</t>
  </si>
  <si>
    <t>Komp. Batan Indah Blok O No.55 Rt/Rw.19/004 Kec. Setu, Kota Tangerang Selatan 15313</t>
  </si>
  <si>
    <t>BRI: 089301003803503</t>
  </si>
  <si>
    <t xml:space="preserve">3674074202930003   </t>
  </si>
  <si>
    <t xml:space="preserve">74.944.438.6-411.000   </t>
  </si>
  <si>
    <t>PNS Pusat</t>
  </si>
  <si>
    <t>feby_sufmawati@hotmail.com</t>
  </si>
  <si>
    <t>permanent 6/11/16</t>
  </si>
  <si>
    <t>OS1608003</t>
  </si>
  <si>
    <t>Wihatma</t>
  </si>
  <si>
    <t>Jakarta, 28 aug 1960</t>
  </si>
  <si>
    <t>Swasti Anindya Sari &amp; Siti Rizka</t>
  </si>
  <si>
    <t>Dusun Ancol RT 01 / RW 01, Kel. Karang Pakuan Kec. Darmaraja, Sumedang</t>
  </si>
  <si>
    <t>0813 14843954</t>
  </si>
  <si>
    <t>Mandiri : 1560000442931</t>
  </si>
  <si>
    <t>3211032808600002</t>
  </si>
  <si>
    <t>09.381.278.2.446.000</t>
  </si>
  <si>
    <t>08013395200</t>
  </si>
  <si>
    <t>0000065481276 Klinik Husada</t>
  </si>
  <si>
    <t>iwanruswandi8888@gmail.com</t>
  </si>
  <si>
    <t>OS1503020</t>
  </si>
  <si>
    <t>Ucok</t>
  </si>
  <si>
    <t>Medan, 15 Juni 1967</t>
  </si>
  <si>
    <t>ef Jan'17 e_12/4/2017 prev 3.480.505 ; eff Jan'16 e_feb'16 prev 3.330.505 ; eff 1 Jan 16 prev BS 3.300.000</t>
  </si>
  <si>
    <t>Kp. Rawa Bebek RT 002 / RW 010, Kel./Desa Kota Baru, Kec. Bekasi Barat</t>
  </si>
  <si>
    <t>081218469815</t>
  </si>
  <si>
    <t>BCA : 1091560645</t>
  </si>
  <si>
    <t>3275021506670037</t>
  </si>
  <si>
    <t>24.901.543.9.407.000</t>
  </si>
  <si>
    <t>0001640200623 M3 OK</t>
  </si>
  <si>
    <t>ucok1506@gmail.com</t>
  </si>
  <si>
    <t>terminated 10/5/2017</t>
  </si>
  <si>
    <t>OS1504005</t>
  </si>
  <si>
    <t>Sutardji</t>
  </si>
  <si>
    <t>Tulung Agung, 8 September 1963</t>
  </si>
  <si>
    <t>prev 3.125 jt</t>
  </si>
  <si>
    <t>Jl. Mandala II Bawah Rt/Rw.008/002 Kel. Cilandak Barat Kec. Cilandak, Jakarta Selatan</t>
  </si>
  <si>
    <t>085697108607</t>
  </si>
  <si>
    <t>3174060809630004</t>
  </si>
  <si>
    <t>96J60155205</t>
  </si>
  <si>
    <t>0001211579008 M1</t>
  </si>
  <si>
    <t>sutardjitardji@gmail.com</t>
  </si>
  <si>
    <t>RESIGN 26/9/2017</t>
  </si>
  <si>
    <t>OS1801055</t>
  </si>
  <si>
    <t>Lukyta Widya Kuncara</t>
  </si>
  <si>
    <t>Bandar Lampung, 8 Oktober 1995</t>
  </si>
  <si>
    <t>Jl. Tanjung Gedong No. 17 RT 05 / RW 16, Tomang, Grogol, Jakarta Barat</t>
  </si>
  <si>
    <t>MANDIRI  1140007973772</t>
  </si>
  <si>
    <t>1802184810950001</t>
  </si>
  <si>
    <t>TATA.LUKYTA@GMAIL.COM</t>
  </si>
  <si>
    <t>resign 29/1/2018</t>
  </si>
  <si>
    <t>OS1504004</t>
  </si>
  <si>
    <t>R Iwa Watoni Kelanayudha</t>
  </si>
  <si>
    <t>Bandung, 6 April 1968</t>
  </si>
  <si>
    <t>adj eff 1 jan '18 prev 3.381.698; adj eff Jan'17 prev 3.123.970 e_17/3/2017 ; UMK 2016 prev 2.801.767</t>
  </si>
  <si>
    <t>Jl. Raya Pacet No.26 Rt/Rw.001/006 Kel. Pakutandang Kec. Ciparay, Bandung 40381</t>
  </si>
  <si>
    <t>08172352211 / 085289619129</t>
  </si>
  <si>
    <t>BCA : 1391643607</t>
  </si>
  <si>
    <t>68.782.202.3.444.000</t>
  </si>
  <si>
    <t>0001848287823 OK</t>
  </si>
  <si>
    <t>iwawatoni@gmail.com</t>
  </si>
  <si>
    <t>terminated 31/3/2018 3 bulan move vendor</t>
  </si>
  <si>
    <t xml:space="preserve">OS1801056 </t>
  </si>
  <si>
    <t>Prilly Putri Adinda</t>
  </si>
  <si>
    <t>Jakarta, 25 April 1996</t>
  </si>
  <si>
    <t>Marketing Internship</t>
  </si>
  <si>
    <t>Jl. Biduri Blok Y/16, Taman Jatisari Permai RT 01 / RW 12, Kel. Jatisari Kec. Jatiasih, Kota Bekasi</t>
  </si>
  <si>
    <t>BNI  0489016627</t>
  </si>
  <si>
    <t>3275096504960010</t>
  </si>
  <si>
    <t>PRILLYPUTRI@GMAIL.COM</t>
  </si>
  <si>
    <t>continue study 27/04/2018</t>
  </si>
  <si>
    <t>Gresylia Jimmy</t>
  </si>
  <si>
    <t>Pontianak, 15 Mei 1997</t>
  </si>
  <si>
    <t>Jl. Sui Raya Dalam Gg Ceria 2 No. 89</t>
  </si>
  <si>
    <t>081241326492</t>
  </si>
  <si>
    <t>BCA 0291639916</t>
  </si>
  <si>
    <t>6112015503970010</t>
  </si>
  <si>
    <t>gresyliajimmy@gmail.com</t>
  </si>
  <si>
    <t>resign 03/05/2018</t>
  </si>
  <si>
    <t>LIST OF EMPLOYEE PLACED AT PT. First Jakarta International</t>
  </si>
  <si>
    <t>Tunj_meal</t>
  </si>
  <si>
    <t>Tunj_transp</t>
  </si>
  <si>
    <t>Tunj_jabatan</t>
  </si>
  <si>
    <t>Incentives</t>
  </si>
  <si>
    <t>OS1405017</t>
  </si>
  <si>
    <t>Erryma Kartini 1995a</t>
  </si>
  <si>
    <t>Jakarta, 21 April 1984</t>
  </si>
  <si>
    <t>UMP 2018 prev 3.355.750 ; UMP 2017 prev 3.1jt; tunj lain2 eff Feb'15 ; UMP 2015 per Jan'15 prev 2.441.000</t>
  </si>
  <si>
    <t>OT, BPJS Kes</t>
  </si>
  <si>
    <t>Pamulang Permai Blok B 33 No.2 Rt/Rw.003/014 Pamulang Barat, Pamulang, Kota Tangerang Selatan</t>
  </si>
  <si>
    <t>0856 7381313</t>
  </si>
  <si>
    <t>BCA : 4731284061</t>
  </si>
  <si>
    <t>81.816.065.7.416.000</t>
  </si>
  <si>
    <t>3674066404840019</t>
  </si>
  <si>
    <t>0001386302951 OK</t>
  </si>
  <si>
    <t>dierry21@yahoo.com, errymaluvhachi@gmail.com; erryma21@gmail.com</t>
  </si>
  <si>
    <t>OS1405018</t>
  </si>
  <si>
    <t>Rosmawati 2001a</t>
  </si>
  <si>
    <t>Depok, 1 Maret 1989</t>
  </si>
  <si>
    <t>Kp. Pitara No.40 Rt/Rw.005/015 Pancoran Mas, Kota Depok</t>
  </si>
  <si>
    <t>0896 99566778</t>
  </si>
  <si>
    <t>BCA : 4582311980</t>
  </si>
  <si>
    <t>3276014103890003</t>
  </si>
  <si>
    <t>0001386301432 OK</t>
  </si>
  <si>
    <t>rozma.chuaby@gmail.com</t>
  </si>
  <si>
    <t>OS1410011</t>
  </si>
  <si>
    <t>Nova Ryanie</t>
  </si>
  <si>
    <t>Jakarta, 24 November 1994</t>
  </si>
  <si>
    <t>Visitor Desk Staff</t>
  </si>
  <si>
    <t>Jl. H. Ilyas Rt/Rw.002/012 No.34 Kel. Jaka Mulya Kec. Bekasi Selatan, Kota Bekasi</t>
  </si>
  <si>
    <t>088 212758804</t>
  </si>
  <si>
    <t>Mandiri : 900-00-0988099-9</t>
  </si>
  <si>
    <t>66.107.648.9.432.000</t>
  </si>
  <si>
    <t>3275046411940007</t>
  </si>
  <si>
    <t>0001295441482 OK</t>
  </si>
  <si>
    <t>novaaryanie@ymail.com; novaaryanie@gmail.com</t>
  </si>
  <si>
    <t>OS1411006</t>
  </si>
  <si>
    <t>Rasnawati</t>
  </si>
  <si>
    <t>Jakarta, 5 September 1993</t>
  </si>
  <si>
    <t>Jl. Anggrek BS.21 No.22 Rt/Rw.03/11 Jatisampurna, Kota Bekasi 14377</t>
  </si>
  <si>
    <t>081383124940 / 085711874448</t>
  </si>
  <si>
    <t>BCA : 0060025312</t>
  </si>
  <si>
    <t>3201124509930003</t>
  </si>
  <si>
    <t>12001943542</t>
  </si>
  <si>
    <t>0001793443588 OK</t>
  </si>
  <si>
    <t>watirasna75@gmail.com</t>
  </si>
  <si>
    <t>OS1411011</t>
  </si>
  <si>
    <t>Fransiska Ria Wijaya</t>
  </si>
  <si>
    <t>Depok, 28 April 1986</t>
  </si>
  <si>
    <t>UMP 2018 prev 3.355.750 ; UMP 2017 prev 3.1jt; entitle tunj. Jabatan per 1 Agust'15 ; tunj lain2 eff Feb'15 ; UMP 2015 per Jan'15 prev 2.441.000</t>
  </si>
  <si>
    <t>Lingkungan Bojong Rt/Rw.001/019 Depok</t>
  </si>
  <si>
    <t>0856 7728115</t>
  </si>
  <si>
    <t>BCA : 7150860011</t>
  </si>
  <si>
    <t>59.433.832.9.412.000</t>
  </si>
  <si>
    <t>3276066804860003</t>
  </si>
  <si>
    <t>0001309378307 OK</t>
  </si>
  <si>
    <t>dhe.ieya86@gmail.com</t>
  </si>
  <si>
    <t>OS1504021</t>
  </si>
  <si>
    <t>Catur Nurrahma</t>
  </si>
  <si>
    <t>Jakarta, 23 April 1994</t>
  </si>
  <si>
    <t xml:space="preserve">UMP 2018 prev 3.355.750 ; UMP 2017 prev 3.1jt; </t>
  </si>
  <si>
    <t>Jl. Cempaka Putih Utara Rt/Rw.008/001 Kel. Cempaka Baru Kec. Kemayoran, Jakarta Pusat</t>
  </si>
  <si>
    <t>081285583447</t>
  </si>
  <si>
    <t>BCA : 2761506104</t>
  </si>
  <si>
    <t>72.320.395.6.027.000</t>
  </si>
  <si>
    <t>3171036304940004</t>
  </si>
  <si>
    <t>0001640200454 OK</t>
  </si>
  <si>
    <t>nurrahma_c@yahoo.com</t>
  </si>
  <si>
    <t>OS1509016</t>
  </si>
  <si>
    <t>Nurainy</t>
  </si>
  <si>
    <t>Jakarta, 10 Juni 1989</t>
  </si>
  <si>
    <t>Jl. Manggar X No.16 Rt/Rw.014/006 Tugu Utara, Koja, Jakarta Utara</t>
  </si>
  <si>
    <t>085778000152 / 081313133052</t>
  </si>
  <si>
    <t>BCA : 4140121733</t>
  </si>
  <si>
    <t>71.951.772.4.045.000</t>
  </si>
  <si>
    <t>3172035006890004</t>
  </si>
  <si>
    <t>13009306351/pkm kec koja PBI APBD PEMPROV DKI</t>
  </si>
  <si>
    <t>zhinoel.ainy@gmail.com</t>
  </si>
  <si>
    <t>OS1509017</t>
  </si>
  <si>
    <t>Putri Alvi Diana</t>
  </si>
  <si>
    <t>Sidoarjo, 27 Mei 1994</t>
  </si>
  <si>
    <t>Jl. Dua Sembilan Rt/Rw.09/07 No.40i Duren Sawit, Jakarta Timur 13440</t>
  </si>
  <si>
    <t>0856 95575265</t>
  </si>
  <si>
    <t>BCA : 0948478385</t>
  </si>
  <si>
    <t>66.665.447.0.008.000</t>
  </si>
  <si>
    <t>3175076705940008</t>
  </si>
  <si>
    <t>putrialvia@gmail.com; Putrialvid27@gmail.com</t>
  </si>
  <si>
    <t>OS1509019</t>
  </si>
  <si>
    <t>Feni Yuniastuti</t>
  </si>
  <si>
    <t>Jakarta, 28 Juni 1995</t>
  </si>
  <si>
    <t>Jl. H Saikin No.29 B Rt/Rw.012/008 Pondok Pinang, Kebayoran Lama, Jakarta Selatan</t>
  </si>
  <si>
    <t>0857 80978142</t>
  </si>
  <si>
    <t>BCA : 2910435143</t>
  </si>
  <si>
    <t>3174056806950002</t>
  </si>
  <si>
    <t>0001277685415 OK</t>
  </si>
  <si>
    <t>vennyuniast@yahoo.com; vennyunia@gmail.com</t>
  </si>
  <si>
    <t>OS1509035</t>
  </si>
  <si>
    <t>Leni Ajeng Marini</t>
  </si>
  <si>
    <t>Jakarta, 7 Januari 1995</t>
  </si>
  <si>
    <t>Perum Villa Mutiara Jl. Permata III Rt/Rw.005/04 No.65 Sawah Baru, Ciputat, Tangerang Selatan</t>
  </si>
  <si>
    <t>0888 9926372</t>
  </si>
  <si>
    <t>BCA : 5255056821</t>
  </si>
  <si>
    <t>46.689.068.8.013.000</t>
  </si>
  <si>
    <t>3174054701951002</t>
  </si>
  <si>
    <t>12042615018</t>
  </si>
  <si>
    <t>0001622074735 OK</t>
  </si>
  <si>
    <t>leni.ajeng.m48@gmail.com</t>
  </si>
  <si>
    <t>OS1510069</t>
  </si>
  <si>
    <t>Indri Rahmayanti</t>
  </si>
  <si>
    <t>Jakarta, 2 Maret 1995</t>
  </si>
  <si>
    <t>Kelapa Dua Wetan Rt/Rw.7/8 No.58 Kelapa Dua Wetan, Ciracas, Jakarta Timur</t>
  </si>
  <si>
    <t>BCA : 1663189984</t>
  </si>
  <si>
    <t>71.120.434.7-009.000</t>
  </si>
  <si>
    <t>3175094203950004</t>
  </si>
  <si>
    <t>0001278078333 OK</t>
  </si>
  <si>
    <t>indri.kece86@yahoo.com</t>
  </si>
  <si>
    <t>OS1511033</t>
  </si>
  <si>
    <t>Nur Dewi</t>
  </si>
  <si>
    <t>Jakarta, 30 September 1987</t>
  </si>
  <si>
    <t>Wijaya Timur 1 Rt/Rw.13/02 No.49 Jakarta Selatan 12170</t>
  </si>
  <si>
    <t>BCA : 7310130022</t>
  </si>
  <si>
    <t>26.019.233.1.064.000</t>
  </si>
  <si>
    <t>3174077009870008</t>
  </si>
  <si>
    <t>0001743303036 OK</t>
  </si>
  <si>
    <t>dewiarifin1987@gmail.com</t>
  </si>
  <si>
    <t>OS1607014</t>
  </si>
  <si>
    <t>Maya Nurmayanti</t>
  </si>
  <si>
    <t>Tasikmalaya, 25 April 1995</t>
  </si>
  <si>
    <t>Perum Kotabaru Indah Blok C6 RT 01 / RW 07, Kel. Kotabaru, Kec. Cibeureum, Tasikmalaya</t>
  </si>
  <si>
    <t xml:space="preserve">085221594740  </t>
  </si>
  <si>
    <t>BCA : 0540704899</t>
  </si>
  <si>
    <t>80.000.743.7-425.000</t>
  </si>
  <si>
    <t>3278066504950002</t>
  </si>
  <si>
    <t>0001427757693</t>
  </si>
  <si>
    <t>mnurmayanti@gmail.com</t>
  </si>
  <si>
    <t>OS1607015</t>
  </si>
  <si>
    <t>Mayanih</t>
  </si>
  <si>
    <t>Bogor, 11 Juni 1994</t>
  </si>
  <si>
    <t>Kp. Rawageni no. 105 RT 06 / RW 08, Kel. Ratujaya Kec. Cipayung, Depok 16445</t>
  </si>
  <si>
    <t>089608103308</t>
  </si>
  <si>
    <t>Mandiri : 900-00-3934680-5</t>
  </si>
  <si>
    <t>73.429.371.5-412.000</t>
  </si>
  <si>
    <t>3276075106940001</t>
  </si>
  <si>
    <t>0001835092326 OK</t>
  </si>
  <si>
    <t xml:space="preserve"> mayanih1013@gmail.com</t>
  </si>
  <si>
    <t>OS1705053</t>
  </si>
  <si>
    <t>Ananta Primatia Hiska</t>
  </si>
  <si>
    <t>Kuningan, 2 aug 1995</t>
  </si>
  <si>
    <t xml:space="preserve">UMP 2018 prev 3.355.750 </t>
  </si>
  <si>
    <t>Jl. Ahmad Yani No.22 Rt/Rw.005/001 Kuningan, Kab. Kuningan, Jawa Barat</t>
  </si>
  <si>
    <t xml:space="preserve">08966 4066 606  </t>
  </si>
  <si>
    <t xml:space="preserve">Mandiri : 900-00-3925831-5  </t>
  </si>
  <si>
    <t xml:space="preserve">81.037.064.3-438.000   </t>
  </si>
  <si>
    <t xml:space="preserve">3208094208950002   </t>
  </si>
  <si>
    <t>17012397521</t>
  </si>
  <si>
    <t xml:space="preserve">anantahiska@gmail.com       </t>
  </si>
  <si>
    <t>OS1710049</t>
  </si>
  <si>
    <t>Risa Trividya</t>
  </si>
  <si>
    <t>Bekasi, 10 April 1998</t>
  </si>
  <si>
    <t>Jl. Moh Toha RT 09 / RW 02, Ciporang - Kuningan / Tegal Parang Selatan No. 29 Mampang - Jakarta Selatan</t>
  </si>
  <si>
    <t>MANDIRI : 134-00-1274570-8</t>
  </si>
  <si>
    <t>83.003.572.1-438.000</t>
  </si>
  <si>
    <t>3208095004980005</t>
  </si>
  <si>
    <t>risatrividya11@gmail.com</t>
  </si>
  <si>
    <t>OS1710050</t>
  </si>
  <si>
    <t>Nur Septi Febriananda</t>
  </si>
  <si>
    <t>Jakarta, 22 Februari 1990</t>
  </si>
  <si>
    <t>Jl. Maharta XII Blok B 27 No. 2-3 RT 07/ RW 10, Pd. Kacang Timur, Pd Aren, Tangerang Selatan 15226</t>
  </si>
  <si>
    <t>021 7333367 / 08561750946</t>
  </si>
  <si>
    <t>BCA : 7610120444</t>
  </si>
  <si>
    <t>70.556.548.9-411.000</t>
  </si>
  <si>
    <t>3674036202900001</t>
  </si>
  <si>
    <t>14027007880</t>
  </si>
  <si>
    <t>fnurseptinanda@gmail.com</t>
  </si>
  <si>
    <t>FERANDAINTAN@YAHOO.COM; ferandaintank@yahoo.com</t>
  </si>
  <si>
    <t>OS1803030</t>
  </si>
  <si>
    <t>Aurelia Nur Usha</t>
  </si>
  <si>
    <t>Jakarta, 6 mar 1995</t>
  </si>
  <si>
    <t>Jl. Kebon Jeruk Raya No. 37, Kec. Kebon Jeruk RT 08 / RW 02, Jakarta Barat</t>
  </si>
  <si>
    <t>BNI  0332443989</t>
  </si>
  <si>
    <t>3173054603950004</t>
  </si>
  <si>
    <t>AURELIAUSHA@GMAIL.COM</t>
  </si>
  <si>
    <t>OS1805016</t>
  </si>
  <si>
    <t>Regina Fantera</t>
  </si>
  <si>
    <t>Purbalingga, 23 Juni 1996</t>
  </si>
  <si>
    <t>Jl. Kemandoran III RT 11 / RW 03, Kel. Grogol Utara Kec. Kebayoran Lama, Jakarta Selatan</t>
  </si>
  <si>
    <t>BCA 2291834690</t>
  </si>
  <si>
    <t>3303026306960003</t>
  </si>
  <si>
    <t>15046497390</t>
  </si>
  <si>
    <t>0001644038177</t>
  </si>
  <si>
    <t>fanteraregina@gmail.com</t>
  </si>
  <si>
    <t>OS1604016</t>
  </si>
  <si>
    <t>Mia Purwanti</t>
  </si>
  <si>
    <t>Bogor, 6 Oktober 1994</t>
  </si>
  <si>
    <t>Kp Bojong Sari Rt.002/015 Kel. Ciapus Kec. Ciomas Bogor, Jawa Barat</t>
  </si>
  <si>
    <t xml:space="preserve">085719290008 </t>
  </si>
  <si>
    <t>BCA: 6820503358</t>
  </si>
  <si>
    <t>758666374434000</t>
  </si>
  <si>
    <t xml:space="preserve">3201294610940009 </t>
  </si>
  <si>
    <t>0002057979306 OK</t>
  </si>
  <si>
    <t>MIAPURWANTI90@YAHOO.COM</t>
  </si>
  <si>
    <t>terminated 17/7/2016</t>
  </si>
  <si>
    <t>OS1506023</t>
  </si>
  <si>
    <t>Sarah</t>
  </si>
  <si>
    <t>Jakarta, 28 Maret 1994</t>
  </si>
  <si>
    <t>Jl. Cempaka Sari 3 No.19 Rt/Rw.005/08 Jakarta Pusat</t>
  </si>
  <si>
    <t>0812 84078166</t>
  </si>
  <si>
    <t>BCA : 2761667400</t>
  </si>
  <si>
    <t>3171036803940001</t>
  </si>
  <si>
    <t>12041761136</t>
  </si>
  <si>
    <t>0001796375428 OK</t>
  </si>
  <si>
    <t>sarah.haris@rocketmail.com</t>
  </si>
  <si>
    <t>Resign 30/08/2016</t>
  </si>
  <si>
    <t>OS1511026</t>
  </si>
  <si>
    <t>Lisa Yulianti</t>
  </si>
  <si>
    <t>Jakarta, 16 Desember 1987</t>
  </si>
  <si>
    <t xml:space="preserve">UMP 2017 prev 3.1jt; </t>
  </si>
  <si>
    <t>Jl. Pulo Gebang Indah Blok J4/17 Rt/RW.002/011, Cakung, Jakata Timur 13950</t>
  </si>
  <si>
    <t xml:space="preserve"> 0838-0680-8488</t>
  </si>
  <si>
    <t>BCA : 6240657382</t>
  </si>
  <si>
    <t>89.389.656.3.005.000</t>
  </si>
  <si>
    <t>3175085612870009</t>
  </si>
  <si>
    <t>15008875047</t>
  </si>
  <si>
    <t>0001638024625 OK</t>
  </si>
  <si>
    <t>dhisya2285@yahoo.com</t>
  </si>
  <si>
    <t>resign 1/4/2017</t>
  </si>
  <si>
    <t>OS1511035</t>
  </si>
  <si>
    <t>Sintya Kusumawardany</t>
  </si>
  <si>
    <t>Tangerang, 12 November 1994</t>
  </si>
  <si>
    <t>Kp. Pondok Serut No.63 Rt/Rw.004/010 Kel. Pondok Kacang Barat Kec. Pondok Aren, Tangerang Selatan</t>
  </si>
  <si>
    <t>021.7338146 / 088212675497</t>
  </si>
  <si>
    <t>BCA : 4581498980</t>
  </si>
  <si>
    <t>75.672.536.2-453.000</t>
  </si>
  <si>
    <t>3674035211940004</t>
  </si>
  <si>
    <t>0001743303047 / '0001608827196 OK</t>
  </si>
  <si>
    <t>kusumawardanys@gmail.com</t>
  </si>
  <si>
    <t>resign 21/9/2017</t>
  </si>
  <si>
    <t>OS1407004</t>
  </si>
  <si>
    <t>Silvana Mauly 2033a</t>
  </si>
  <si>
    <t>Jakarta, 23 Oktober 1988</t>
  </si>
  <si>
    <t>UMP 2017 prev 3.1jt; tunj lain2 eff Feb'15 ; UMP 2015 per Jan'15 prev 2.441.000</t>
  </si>
  <si>
    <t>Villa Galaxi Jl. Lotus Raya D3 No.11, Bekasi</t>
  </si>
  <si>
    <t>082 111438321</t>
  </si>
  <si>
    <t>BCA : 2450215123</t>
  </si>
  <si>
    <t>3604016310880442</t>
  </si>
  <si>
    <t>13025259006</t>
  </si>
  <si>
    <t>0001386321333 OK</t>
  </si>
  <si>
    <t>silvanamauly88@gmail.com, silvanamauly@yahoo.com</t>
  </si>
  <si>
    <t>resign 30/9/2017 e_28/9/2017</t>
  </si>
  <si>
    <t>OS1508039</t>
  </si>
  <si>
    <t>Riska</t>
  </si>
  <si>
    <t>Makassar, 20 April 1986</t>
  </si>
  <si>
    <t>Jl. Sirsak No.123 Rt/Rw.01/02 Jagakarsa, Jakarta Selatan</t>
  </si>
  <si>
    <t>087883210404 / 087882791182</t>
  </si>
  <si>
    <t>BCA : 7330806596</t>
  </si>
  <si>
    <t>3174096004860003</t>
  </si>
  <si>
    <t xml:space="preserve">PBI APBN </t>
  </si>
  <si>
    <t>ikha.4002@gmail.com</t>
  </si>
  <si>
    <t>TLP SMS TDK RESPON, ABSEN GAK MASUK2</t>
  </si>
  <si>
    <t>OS1511034</t>
  </si>
  <si>
    <t>Sartika Ria Anggrayni</t>
  </si>
  <si>
    <t>Berasang, 6 Juni 1992</t>
  </si>
  <si>
    <t>Jl. Raya Parung Perumahan Griya Brandweer Blok AB V No.19 Parung, Bogor</t>
  </si>
  <si>
    <t>0852 66843637</t>
  </si>
  <si>
    <t>BCA : 2570528109</t>
  </si>
  <si>
    <t>1601144606920011</t>
  </si>
  <si>
    <t>0002045023481 OK</t>
  </si>
  <si>
    <t>ra.sartik@gmail.com</t>
  </si>
  <si>
    <t>resign 25/2/2018</t>
  </si>
  <si>
    <t>OS1508027</t>
  </si>
  <si>
    <t>Vivi Dwi Oktavia Ardianti</t>
  </si>
  <si>
    <t>Jakarta, 2 Oktober 1993</t>
  </si>
  <si>
    <t>Kp. Baru RT 009 / RW 009, Cakung Barat, Cakung - Jakarta Timur</t>
  </si>
  <si>
    <t>081285445442 / 0813 15758415</t>
  </si>
  <si>
    <t>BCA : 7480310319</t>
  </si>
  <si>
    <t>54.283.468.4.006.000</t>
  </si>
  <si>
    <t>3507054201930001</t>
  </si>
  <si>
    <t>0001738832646 OK</t>
  </si>
  <si>
    <t>vivioktafiaa@gmail.com</t>
  </si>
  <si>
    <t>OS1607016</t>
  </si>
  <si>
    <t>Marlisa Septiani</t>
  </si>
  <si>
    <t xml:space="preserve"> Jakarta, 14 September 1991</t>
  </si>
  <si>
    <t>Jl. Asem Baris Raya, Jl. H No. 22 RT 07 / RW 07 Kebon Baru, Tebet</t>
  </si>
  <si>
    <t>081210912344</t>
  </si>
  <si>
    <t>BCA : 2721752277</t>
  </si>
  <si>
    <t>3174015409910007</t>
  </si>
  <si>
    <t>15044205449</t>
  </si>
  <si>
    <t>0001624157414 PT KA Manggarai</t>
  </si>
  <si>
    <t>marlisaseptiani@gmail.com</t>
  </si>
  <si>
    <t>resign 29/3/2018</t>
  </si>
  <si>
    <t>AGE</t>
  </si>
  <si>
    <t>EDUCATION BACKGROUND</t>
  </si>
  <si>
    <t>Original Join Date at SEIN</t>
  </si>
  <si>
    <t xml:space="preserve">Amandemen </t>
  </si>
  <si>
    <t xml:space="preserve">Meal Allow. </t>
  </si>
  <si>
    <t>COMMUNICATION (REIMBURSTMENT)</t>
  </si>
  <si>
    <t>Posisi Allow.</t>
  </si>
  <si>
    <t>Fuel Allow. (REIMBURSTMENT)</t>
  </si>
  <si>
    <t>Bonus Monthly</t>
  </si>
  <si>
    <t>Bonus Yearly</t>
  </si>
  <si>
    <t>Overtime</t>
  </si>
  <si>
    <t>(YEARS OLD)</t>
  </si>
  <si>
    <t>% inc  2018</t>
  </si>
  <si>
    <t>total inc</t>
  </si>
  <si>
    <t>OS1507004</t>
  </si>
  <si>
    <t>Rahajeng Maheswari Ayuningtyas</t>
  </si>
  <si>
    <t>Jakarta, 17 April 1985</t>
  </si>
  <si>
    <t>S1 SASTRA JEPANG</t>
  </si>
  <si>
    <t>Customer Care Trainer</t>
  </si>
  <si>
    <t>ratu.ita@samsung.com</t>
  </si>
  <si>
    <t>BPJS KES, ASURANSI 400</t>
  </si>
  <si>
    <t>inc 2.5% eff 1 Mar '18 prev 6.825.000; increase 5% eff 1 Mar'16 prev BS 6,500,000</t>
  </si>
  <si>
    <t>Perumahan Harapan Jaya Blok C No.210 Bekasi Utara</t>
  </si>
  <si>
    <t>0812 80252411</t>
  </si>
  <si>
    <t>BNI : 0507511839</t>
  </si>
  <si>
    <t>57.073.537.3.407.000</t>
  </si>
  <si>
    <t>3275031607780017</t>
  </si>
  <si>
    <t>0001138326671 OK</t>
  </si>
  <si>
    <t>rayuningtyas@gmail.com, rahajeng.m@partner.samsung.com</t>
  </si>
  <si>
    <t>Ratu Ita Gopita</t>
  </si>
  <si>
    <t>OS1509036</t>
  </si>
  <si>
    <t>Ayu Septika Witriani</t>
  </si>
  <si>
    <t>Jakarta, 15 September 1983</t>
  </si>
  <si>
    <t>S1 ADMINISTRASI BISNIS</t>
  </si>
  <si>
    <t>c.josephine@samsung.com</t>
  </si>
  <si>
    <t>inc 4% eff 1 Mar '18 prev 4.320.000; increase 8% eff 1 Mar'16 prev BS 4jt</t>
  </si>
  <si>
    <t>Perum Poin Mas Blok C4/7 A Rt/Rw.002/011 Rangkapan Jaya, Pancoran Mas, Kota Depok</t>
  </si>
  <si>
    <t>0815 11244863</t>
  </si>
  <si>
    <t>BCA : 5520273460</t>
  </si>
  <si>
    <t>87.532.357.8.412.000</t>
  </si>
  <si>
    <t>3276015509830001</t>
  </si>
  <si>
    <t>0001409875626 OK</t>
  </si>
  <si>
    <t>ayuseptikawitriani@yahoo.co.id, ayuseptika83@gmail.com</t>
  </si>
  <si>
    <t>Christine Josephine</t>
  </si>
  <si>
    <t>OS1511006</t>
  </si>
  <si>
    <t>Rizky Prastya Udipta</t>
  </si>
  <si>
    <t>Jakarta, 1 Mei 1991</t>
  </si>
  <si>
    <t>S1 MANAGEMENT</t>
  </si>
  <si>
    <t>Logistics Operation</t>
  </si>
  <si>
    <t xml:space="preserve">Muchamad Azhar m.azhar@samsung.com </t>
  </si>
  <si>
    <t>BPJS KES, ASURANSI FAM 750</t>
  </si>
  <si>
    <t>inc 3.5% eff  Mar '18 prev 7.864.500; adj 7% eff 1 Nov'17 prev 7.350.000 ; increase 5% eff 1 Mar'16 prev BS 7jt</t>
  </si>
  <si>
    <t>Jl. H. Sinen Rt/Rw.04/07 No.109 Ragunan, Pasar Minggu, Jakarta Selatan 12550</t>
  </si>
  <si>
    <t>021-7812894 / 081310935229</t>
  </si>
  <si>
    <t>Mandiri : 9000006167515</t>
  </si>
  <si>
    <t>46.386.665.7.017.000</t>
  </si>
  <si>
    <t>3174040105910006</t>
  </si>
  <si>
    <t>0001641819429 OK</t>
  </si>
  <si>
    <t>rizkyudipta@gmail.com, rizky.u@partner.samsung.com</t>
  </si>
  <si>
    <t>Muchamad Azhar</t>
  </si>
  <si>
    <t>OS1511019</t>
  </si>
  <si>
    <t>Eka Trilestari Rajabiyah</t>
  </si>
  <si>
    <t>Jakarta, 11 Februari 1991</t>
  </si>
  <si>
    <t>D3 MANAJEMEN ADMINISTRASI</t>
  </si>
  <si>
    <t>Admin Marketing IM =&gt; IM Activation Staff eff 30/5/2017</t>
  </si>
  <si>
    <t>pras.eko@samsung.com</t>
  </si>
  <si>
    <t>inc 4% eff 1 Mar '18 prev 4.119.500; adj 7% 30 Mei'17 prev 3.850.000 e_8/6/2017 ; increase 10% eff 1 Mar'16 prev BS 3,500,000</t>
  </si>
  <si>
    <t>Jl. Percetakan Negara X A No,1A Rawasari, Jakarta Pusat</t>
  </si>
  <si>
    <t>021 42881338 / 0856-1120187</t>
  </si>
  <si>
    <t>BCA : 6041130145</t>
  </si>
  <si>
    <t>68.086.677.9.024.000</t>
  </si>
  <si>
    <t>3171055102910001</t>
  </si>
  <si>
    <t>0001743303003 OK</t>
  </si>
  <si>
    <t>ekhaadalaheka@gmail.com, eka.tri@partner.samsung.com</t>
  </si>
  <si>
    <t>User already resign, please ask to employee for user replacement</t>
  </si>
  <si>
    <t>OS1512003</t>
  </si>
  <si>
    <t>Ignatius Dimas Wardhana</t>
  </si>
  <si>
    <t>Palembang, 31 Januari 1981</t>
  </si>
  <si>
    <t>S1 FINANCIAL MANAGEMENT</t>
  </si>
  <si>
    <t>Admin Marketing Sample</t>
  </si>
  <si>
    <t xml:space="preserve">Kim Byung Doo kim.bd@samsung.com </t>
  </si>
  <si>
    <t>adj 1 Jan'18 prev 3.3 jt ; increase 10% eff 1 Mar'16 prev BS 3jt</t>
  </si>
  <si>
    <t>Jl. Raya Kebayoran Lama 108, Jakarta Selatan</t>
  </si>
  <si>
    <t>0821 82884880</t>
  </si>
  <si>
    <t>BCA : 1510040003</t>
  </si>
  <si>
    <t>47.754.023.1.306.000</t>
  </si>
  <si>
    <t>1607103103810001</t>
  </si>
  <si>
    <t>0001868158383 OK</t>
  </si>
  <si>
    <t>ignatiusdimas04@gmail.com, dimas.w@partner.samsung.com</t>
  </si>
  <si>
    <t>Kim Byung Doo</t>
  </si>
  <si>
    <t>sudah naik per jan 18</t>
  </si>
  <si>
    <t>OS1602066</t>
  </si>
  <si>
    <t>Novianto Yudha Tri Widya</t>
  </si>
  <si>
    <t>Cimahi, 20 November 1979</t>
  </si>
  <si>
    <t>S1 EKONOMI</t>
  </si>
  <si>
    <t>Joni Syam
&lt;joni.syam@samsung.com&gt;</t>
  </si>
  <si>
    <t>inc 3.5% eff 1 Mar '18 prev 15.400.000; adj 10% eff Mar'17 prev 14 jt</t>
  </si>
  <si>
    <t>Jl. Swadaya No.103 Rt/Rw.001/02 Pondok Karya Bintaro, Tangerang Selatan 15225</t>
  </si>
  <si>
    <t>08567763343 / 08818817070</t>
  </si>
  <si>
    <t>BCA: 5510106522</t>
  </si>
  <si>
    <t>67.231.414.3.005.000</t>
  </si>
  <si>
    <t>3175082011790010</t>
  </si>
  <si>
    <t>0001798676076 -KELUARGA</t>
  </si>
  <si>
    <t>carrabba666@yahoo.com, novianto.y@partner.samsung.com</t>
  </si>
  <si>
    <t>Joni Syam</t>
  </si>
  <si>
    <t>OS1603009</t>
  </si>
  <si>
    <t>Aji Dewaning Ranau</t>
  </si>
  <si>
    <t>Tanjung Karang, 27 Mei 1984</t>
  </si>
  <si>
    <t>S1 PUBLIC RELATION</t>
  </si>
  <si>
    <t>Marketing SAC =&gt; Admin Support Marketing CE =&gt; BTL AV &amp; DA Execution e_12/3/2018</t>
  </si>
  <si>
    <t>sylvia1.k@samsung.com</t>
  </si>
  <si>
    <t>inc 3.5% eff 1 Mar '18 prev 11jt;</t>
  </si>
  <si>
    <t>Bojong Menteng, RT/RW 002/011, Pasir Kuda, Bogor Barat-Bogor 16119</t>
  </si>
  <si>
    <t>087870145912</t>
  </si>
  <si>
    <t>BCA: 0953134656</t>
  </si>
  <si>
    <t>57.375.651.7-434.000</t>
  </si>
  <si>
    <t>32.7104.270584.0009</t>
  </si>
  <si>
    <t xml:space="preserve">0001645730752 -UARGA
</t>
  </si>
  <si>
    <t>ajidewaningranau@yahoo.co.id, aji.ranau@partner.samsung.com</t>
  </si>
  <si>
    <t>Mila Likumahua</t>
  </si>
  <si>
    <t>OS1607001</t>
  </si>
  <si>
    <t>Aldino Satrio Widodo</t>
  </si>
  <si>
    <t>Penajam, 15 Mei 1992</t>
  </si>
  <si>
    <t>S1 English Dept.</t>
  </si>
  <si>
    <t>Content and Trainer</t>
  </si>
  <si>
    <t xml:space="preserve">Yadi Prayitno yadi.p@samsung.com </t>
  </si>
  <si>
    <t>inc 4% eff 1 Mar '18 prev 6jt; adj 20% per 1 Okt'17 prev 5 jt</t>
  </si>
  <si>
    <t>Jl. Agung Tunggal Gg. Kalimaya No. 62 RT 17 Damai Baru, Balikpapan Selatan, Balikpapan, Kalimantan Timur</t>
  </si>
  <si>
    <t xml:space="preserve">0857 53336565  </t>
  </si>
  <si>
    <t>Mandiri : 1490007695309</t>
  </si>
  <si>
    <t>74.132.983.3.721.000</t>
  </si>
  <si>
    <t>6471041505920007</t>
  </si>
  <si>
    <t>1821972824 OK</t>
  </si>
  <si>
    <t>aldinopegorino@gmail.com, aldino.s@partner.samsung.com</t>
  </si>
  <si>
    <t>OS1607002</t>
  </si>
  <si>
    <t>Andrie Ranto Sitorus</t>
  </si>
  <si>
    <t>Purwokerto, 8 Maret 1977</t>
  </si>
  <si>
    <t>GA Staff =&gt; GA Technical Support Staff 12/04/2018</t>
  </si>
  <si>
    <t>Agustinus Nugraha &lt;agustinus.n@samsung.com&gt;</t>
  </si>
  <si>
    <t xml:space="preserve">inc 3.5% eff 1 Mar '18 prev 7.5jt; change posisi 12 Apr '18 </t>
  </si>
  <si>
    <t>Pondok Rumput Gg. Mujaer No. 27 RT 02 / RW 12 Kel. Kebonpedes Kec. Tanah Sareal, Bogor 16162</t>
  </si>
  <si>
    <t>0812 6196837</t>
  </si>
  <si>
    <t>BCA : 3261798733</t>
  </si>
  <si>
    <t>07.235.957.3.215.000</t>
  </si>
  <si>
    <t>3271060803770015</t>
  </si>
  <si>
    <t>1771257317 OK</t>
  </si>
  <si>
    <t>andrie.ranto.sitorus@gmail.com, andri.ranto@partner.samsung.com</t>
  </si>
  <si>
    <t>Agustinus Nugraha</t>
  </si>
  <si>
    <t>OS1610019</t>
  </si>
  <si>
    <t>Juang Sulung</t>
  </si>
  <si>
    <t>Bandung, 14 Oktober 1985</t>
  </si>
  <si>
    <t>Senior Occational School</t>
  </si>
  <si>
    <t>Technical Support</t>
  </si>
  <si>
    <t xml:space="preserve">Cecep Setiawan cecep.s@samsung.com </t>
  </si>
  <si>
    <t>inc 4% eff 1 Mar '18 prev 5jt;</t>
  </si>
  <si>
    <t>Jl KH Syahdan Gg Harun 2 no 77 Rt 04/11 Kel. Palmerah Kec Palmerah Jakarta Barat</t>
  </si>
  <si>
    <t xml:space="preserve"> 0878 8439 0979 / 085693565205</t>
  </si>
  <si>
    <t>Mandiri : 1210006837094</t>
  </si>
  <si>
    <t>252543038445000</t>
  </si>
  <si>
    <t>3277011410850016</t>
  </si>
  <si>
    <t>juang_sulung@yahoo.co.id, juang.s@partner.samsung.com</t>
  </si>
  <si>
    <t>Cecep Setiawan</t>
  </si>
  <si>
    <t>OS1610031</t>
  </si>
  <si>
    <t>Yulianti Tiurma</t>
  </si>
  <si>
    <t>Jakarta, 7 Juli 1989</t>
  </si>
  <si>
    <t>S1 Industrial Engineer</t>
  </si>
  <si>
    <t>Supply Chain Management</t>
  </si>
  <si>
    <t>lee.minsoo@samsung.com</t>
  </si>
  <si>
    <t>BPJS KES, ASURANSI 750</t>
  </si>
  <si>
    <t>inc 4% eff 1 Mar '18 prev 14jt; adj 40% eff Mei'17 prev 10 jt</t>
  </si>
  <si>
    <t>Sarijadi Blok 17 No 47, RT 001/ RW 011, KELURAHAN SARIJADI, KECAMATAN SUKASARI, BANDUNG</t>
  </si>
  <si>
    <t>082117771842</t>
  </si>
  <si>
    <t>Mandiri : 1310013921962</t>
  </si>
  <si>
    <t>36.730.200.7-428.000</t>
  </si>
  <si>
    <t>3273014707890002</t>
  </si>
  <si>
    <t>11024432046</t>
  </si>
  <si>
    <t>0001805269094</t>
  </si>
  <si>
    <t>ytiurma@gmail.com, yulianti.t@partner.samsung.com</t>
  </si>
  <si>
    <t>Lee Min Soo</t>
  </si>
  <si>
    <t>OS1701025</t>
  </si>
  <si>
    <t>Erwin Budiono</t>
  </si>
  <si>
    <t>Kota Cirebon, 19 April 1983</t>
  </si>
  <si>
    <t>IM Trainer Asst Manager</t>
  </si>
  <si>
    <t>inc 4% eff 1 Mar '18 prev 15jt;</t>
  </si>
  <si>
    <t>Green Avenue Blok B No. 5, Jl. Cendana RT 03 / RW 04, Kel. Rawakalong Kec. Gunung Sindur, Bogor</t>
  </si>
  <si>
    <t>081809227887</t>
  </si>
  <si>
    <t>Mandiri : 121-00-0693232-5</t>
  </si>
  <si>
    <t>57.583.447.8-426.000</t>
  </si>
  <si>
    <t>3274031904830009</t>
  </si>
  <si>
    <t>11039127706</t>
  </si>
  <si>
    <t>aiwon09@gmail.com, erwin.b@partner.samsung.com</t>
  </si>
  <si>
    <t>OS1701022</t>
  </si>
  <si>
    <t>Dedi Irwanto</t>
  </si>
  <si>
    <t>Kalirejo, 2 Januari 1979</t>
  </si>
  <si>
    <t>S1 Informatika</t>
  </si>
  <si>
    <t>Web Specialist</t>
  </si>
  <si>
    <t>ferez.yudha@samsung.com</t>
  </si>
  <si>
    <t>inc 4% eff 1 Mar '18 prev 8jt;</t>
  </si>
  <si>
    <t>Jl. Brigif II No. 33 RT 10 / RW 06, Kel. Ciganjur Kec. Jagakarsa, Jakarta Selatan</t>
  </si>
  <si>
    <t>0818199579</t>
  </si>
  <si>
    <t>BCA : 2920313551</t>
  </si>
  <si>
    <t>70.354.444.5-017.000</t>
  </si>
  <si>
    <t>1871130201790003</t>
  </si>
  <si>
    <t>todedi@gmail.com, dedi.di@partner.samsung.com</t>
  </si>
  <si>
    <t>Purnama Santy</t>
  </si>
  <si>
    <t>OS1702123</t>
  </si>
  <si>
    <t>Fahrur Roji</t>
  </si>
  <si>
    <t xml:space="preserve">Trihadi Nugr trihadi.n@samsung.com </t>
  </si>
  <si>
    <t>inc 4% eff 1 Mar '18 prev 3.8jt;</t>
  </si>
  <si>
    <t>Jl. Kav. KP. Mangga Blok A3, No. 20 Rt. 008 Rw. 002 Kelurahan Tugu Utara Kec. Koja Jakarta Utara 14260</t>
  </si>
  <si>
    <t>MANDIRI : 9000034600735 A.N FAHRUR ROJI ST</t>
  </si>
  <si>
    <t>77.654.350.6.045.000</t>
  </si>
  <si>
    <t>3172032601810010</t>
  </si>
  <si>
    <t>16037373681</t>
  </si>
  <si>
    <t>0001277352358</t>
  </si>
  <si>
    <t>fahrur.roji@partner.samsung.com, fahrur.roji@partner.samsung.com</t>
  </si>
  <si>
    <t>Trihadi Nugroho</t>
  </si>
  <si>
    <t>OS1702124</t>
  </si>
  <si>
    <t>Achmad Wiyandani</t>
  </si>
  <si>
    <t>Jakarta, 3 Januari 1978</t>
  </si>
  <si>
    <t>Retail Marketing - Malang</t>
  </si>
  <si>
    <t>Yosie Harria yosie.a@samsung.com, aryo.r@samsung.com</t>
  </si>
  <si>
    <t>inc 4% eff 1 Mar '18 prev 17.050.000;</t>
  </si>
  <si>
    <t>Jl. Dr Latumeten III/1 Rt/Rw.008/011 Jelambar, Grogol Petamburan, Jakarta Barat</t>
  </si>
  <si>
    <t>021.5674367 / 0815 9359333</t>
  </si>
  <si>
    <t>MANDIRI : 1210006957660</t>
  </si>
  <si>
    <t>78.720.181.3036.000</t>
  </si>
  <si>
    <t>3173020301780001</t>
  </si>
  <si>
    <t>12036576184</t>
  </si>
  <si>
    <t>dennymc_mobile@yahoo.co.id, w.achmad@partner.samsung.com</t>
  </si>
  <si>
    <t>Yosie Harria Agung</t>
  </si>
  <si>
    <t>OS1702125</t>
  </si>
  <si>
    <t>Dery Ismantoro</t>
  </si>
  <si>
    <t>Jakarta, 15 Februari 1991</t>
  </si>
  <si>
    <t>B2B SAC Field Support</t>
  </si>
  <si>
    <t>inc 6% eff 1 Jan '18 prev 2,8jt;</t>
  </si>
  <si>
    <t>Cibubur Jl. Al Amin Rt/Rw.005/012 Cibubur, Ciracas, Jakarta Timur</t>
  </si>
  <si>
    <t>0812 61049108</t>
  </si>
  <si>
    <t>BCA : 5460193356</t>
  </si>
  <si>
    <t>79.494.852.1-009.000</t>
  </si>
  <si>
    <t>3175091502910004 / 3175091801097024</t>
  </si>
  <si>
    <t>14043829127</t>
  </si>
  <si>
    <t>muh.dery.ismantoro@gmail.com, dery.i@partner.samsung.com</t>
  </si>
  <si>
    <t>OS1702126</t>
  </si>
  <si>
    <t>Rio Maretzki Almudatsir</t>
  </si>
  <si>
    <t>Jakarta, 13 Maret 1982</t>
  </si>
  <si>
    <t>Retail Development Assistant Manager (Makassar)</t>
  </si>
  <si>
    <t xml:space="preserve">Yosie Harria yosie.a@samsung.com, aryo.r@samsung.com </t>
  </si>
  <si>
    <t>inc 4% eff 1 Mar '18 prev 17jt;</t>
  </si>
  <si>
    <t>Jl. Warakas III, Gg. 6 No. 22, Kel. Warakas Kec. Tanjung Priok, Jakarta Utara</t>
  </si>
  <si>
    <t>08788 5404040</t>
  </si>
  <si>
    <t>MANDIRI : 9000012042009</t>
  </si>
  <si>
    <t>59.669.949.6.008.000</t>
  </si>
  <si>
    <t>3175071303820021</t>
  </si>
  <si>
    <t>0001624891015 klinik wahana III</t>
  </si>
  <si>
    <t>RIO.MARETZKY@GMAIL.COM, rio.mam@partner.samsung.com</t>
  </si>
  <si>
    <t>OS1703004</t>
  </si>
  <si>
    <t>Fredy Salim</t>
  </si>
  <si>
    <t>Medan, 9 Juni 1991</t>
  </si>
  <si>
    <t>DA Direct Salesman Medan</t>
  </si>
  <si>
    <t>andi.laucua@samsung.com</t>
  </si>
  <si>
    <t>inc 4% eff 1 Mar '18 prev 10jt;</t>
  </si>
  <si>
    <t>Jl. Putri Hijau No. 4-E LKXVI, Kel. Pulo Brayan Kota Kec. Medan Barat, Kota Medan</t>
  </si>
  <si>
    <t>(&amp;62) 811 6127 277 / (&amp;62) 821 6499 9033</t>
  </si>
  <si>
    <t>BCA : 2420823528</t>
  </si>
  <si>
    <t>46.571.350.1.111.000</t>
  </si>
  <si>
    <t>1271050906910002</t>
  </si>
  <si>
    <t>12004252834</t>
  </si>
  <si>
    <t>fredysalim91@gmail.com, fredy.s@partner.samsung.com</t>
  </si>
  <si>
    <t>Andy .</t>
  </si>
  <si>
    <t>OS1703032</t>
  </si>
  <si>
    <t>Thomas Madya Bestari</t>
  </si>
  <si>
    <t>Jakarta, 28 Januari 1981</t>
  </si>
  <si>
    <t>Retail Development Asst Manager (Medan)</t>
  </si>
  <si>
    <t>yosie.a@samsung.com, aryo.r@samsung.com</t>
  </si>
  <si>
    <t>inc 4% eff 1 Mar '18 prev 20jt;</t>
  </si>
  <si>
    <t>Pamulang Indah D3/18 RT 02 / RW 11, Kel. Pamulang Timur Kec. Pamulang</t>
  </si>
  <si>
    <t>081319027793</t>
  </si>
  <si>
    <t>BCA : 4731390261 a.n ayuningtyas</t>
  </si>
  <si>
    <t>67.021.197.8.411.000</t>
  </si>
  <si>
    <t>3674062801810015</t>
  </si>
  <si>
    <t>12036676176</t>
  </si>
  <si>
    <t>0001624897956 bp kimia farma pamulang</t>
  </si>
  <si>
    <t>thomas.madya10@gmail.com, thomas@partner.samsung.com</t>
  </si>
  <si>
    <t>OS1704014</t>
  </si>
  <si>
    <t>Jati Teguh Prakarsa</t>
  </si>
  <si>
    <t>Depok, 11 April 1985</t>
  </si>
  <si>
    <t>Admin Procurement</t>
  </si>
  <si>
    <t>inc 7.5% eff 1 Mar '18 prev 4jt; adj 1 apr'17 BS prev 3.750.000, meal prev 220 rb, transport&amp;ca prev none</t>
  </si>
  <si>
    <t>Kresna Raya Komp Sdn Mekarjaya 8 No.5 Rt004 Rw014 Mekarjaya Sukmajaya, Depok</t>
  </si>
  <si>
    <t xml:space="preserve">0821 1135 5124  </t>
  </si>
  <si>
    <t>MANDIRI : 121-00-0699709-6</t>
  </si>
  <si>
    <t xml:space="preserve">463982629412000   </t>
  </si>
  <si>
    <t xml:space="preserve">3276051104850004   </t>
  </si>
  <si>
    <t xml:space="preserve">12040469822   </t>
  </si>
  <si>
    <t>0001604918586 sukmajaya</t>
  </si>
  <si>
    <t>prakarsa.jt@gmail.com, jati.tp@partner.samsung.com, jati.tp@partner.samsung.com</t>
  </si>
  <si>
    <t>OS1704015</t>
  </si>
  <si>
    <t>Nadya Oktivianita</t>
  </si>
  <si>
    <t>Jakarta, 13 Oktober 1989</t>
  </si>
  <si>
    <t>Admin Procurement =&gt; IM Brand Activation 18 Sep'17</t>
  </si>
  <si>
    <t>Eko Prasetyo (pras.eko@samsung.com)</t>
  </si>
  <si>
    <t>inc 4% eff 1 Mar '18 prev 6,5jt; change posisi 18 Sep'17 BS prev 4.834.000 Com prev 130 rb ; adj 1 apr'17 BS prev 4.603.8400, meal prev 220 rb, transport&amp;ca prev none</t>
  </si>
  <si>
    <t>Jl. Lantana I D6 No. 2 Hbr Rt1/Rw 13 Desa Baru Bekasi Barat Bekasi</t>
  </si>
  <si>
    <t>BCA : 5385889051</t>
  </si>
  <si>
    <t xml:space="preserve">46.710.538.3-407.000   </t>
  </si>
  <si>
    <t xml:space="preserve">3275025310890006   </t>
  </si>
  <si>
    <t>15007342494</t>
  </si>
  <si>
    <t>0001650028083 klinik harapan baru</t>
  </si>
  <si>
    <t>nadya.oc@partner.samsung.com, nadyaoktivianita@yahoo.com, nadya.oc@partner.samsung.com</t>
  </si>
  <si>
    <t>Eko Prasetyo</t>
  </si>
  <si>
    <t>OS1704016</t>
  </si>
  <si>
    <t>Yahya</t>
  </si>
  <si>
    <t>Bukittinggi, 28 aug 1988</t>
  </si>
  <si>
    <t>inc 7% eff 1 Mar '18 prev 3.9jt; adj 1 apr'17 BS prev 3.800.000, meal prev 220 rb, transport&amp;ca prev none</t>
  </si>
  <si>
    <t>Jl. Perdatam III, Kel Ulujami, Kec. Pasanggrahan, Jakarta Selatan</t>
  </si>
  <si>
    <t xml:space="preserve">0812-7763-5513  </t>
  </si>
  <si>
    <t xml:space="preserve">BCA : 80-50-328-709   </t>
  </si>
  <si>
    <t xml:space="preserve">74.743.289.6-202.000   </t>
  </si>
  <si>
    <t xml:space="preserve">1306062808880002   </t>
  </si>
  <si>
    <t xml:space="preserve">16041817814   </t>
  </si>
  <si>
    <t>yahya.yahya@partner.samsung.com, yahya.yahya@partner.samsung.com</t>
  </si>
  <si>
    <t>OS1704017</t>
  </si>
  <si>
    <t>Kinarto</t>
  </si>
  <si>
    <t>Jakarta, 12 Januari 1986</t>
  </si>
  <si>
    <t>inc 4% eff 1 Mar '18 prev 5.250.000; adj 1 apr'17 meal prev 220 rb, transport&amp;ca prev none</t>
  </si>
  <si>
    <t>Jl. Peta Barat, Rawalele RT 005 RW 007 No.8, Kalideres, Jakarta Barat 11840</t>
  </si>
  <si>
    <t>BCA : 8010230170</t>
  </si>
  <si>
    <t xml:space="preserve">67.018.424.1-085.000   </t>
  </si>
  <si>
    <t xml:space="preserve">3173061201860005   </t>
  </si>
  <si>
    <t>kinarto.st@gmail.com, kinarto.k@partner.samsung.com, kinarto.k@partner.samsung.com</t>
  </si>
  <si>
    <t>resign 02/05/2018</t>
  </si>
  <si>
    <t>OS1704018</t>
  </si>
  <si>
    <t>Shinta Henggaringtias Prabowo</t>
  </si>
  <si>
    <t>Jakarta, 28 Februari 1991</t>
  </si>
  <si>
    <t>inc 4% eff 1 Mar '18 prev 4,5jt; adj 1 apr'17 meal prev 220 rb, transport&amp;ca prev none</t>
  </si>
  <si>
    <t>Jatijalar 2 RT 02 RW 08 No.14 Gg. Sadar, Kel. Jatijalar Kec. Tapos, Depok, Jawa Barat</t>
  </si>
  <si>
    <t xml:space="preserve">0812 8203 6393  </t>
  </si>
  <si>
    <t>BCA : 5395033287 a.n Shinta Henggaringtias P</t>
  </si>
  <si>
    <t xml:space="preserve">75.636.282.8-412.000   </t>
  </si>
  <si>
    <t xml:space="preserve">3276 0268 0291 0010   </t>
  </si>
  <si>
    <t xml:space="preserve">15047109002   </t>
  </si>
  <si>
    <t>0001651696863 cimanggis</t>
  </si>
  <si>
    <t>shinta.prabowo91@gmail.com       , shinta.hengga@partner.samsung.com</t>
  </si>
  <si>
    <t>OS1704045</t>
  </si>
  <si>
    <t>Wenny Kartika</t>
  </si>
  <si>
    <t>Lubuklinggau, 29 Oktober 1994</t>
  </si>
  <si>
    <t>Junior Category Manager</t>
  </si>
  <si>
    <t>Dikki Hikmat (dikky.g@samsung.com)</t>
  </si>
  <si>
    <t>Jl. Jenderal Sudirman No.23 Rt.003 Pasar Pemiri, Lubuklinggau Barat II, Kota Lubuklinggau, Sumatera Selatan</t>
  </si>
  <si>
    <t xml:space="preserve">6281927737782  </t>
  </si>
  <si>
    <t xml:space="preserve">BCA : 0570379020   </t>
  </si>
  <si>
    <t xml:space="preserve">75.933.363.6-036.000   </t>
  </si>
  <si>
    <t>1673066910940002</t>
  </si>
  <si>
    <t xml:space="preserve">16040399954   </t>
  </si>
  <si>
    <t>0002083603329   Mayapada Clinic Central</t>
  </si>
  <si>
    <t>wennykartika291094@gmail.com, wenny.k@partner.samsung.com</t>
  </si>
  <si>
    <t>Dikky Hikmat Ginanjar</t>
  </si>
  <si>
    <t>OS1704047</t>
  </si>
  <si>
    <t>Ismail Fauzan Hoeruman</t>
  </si>
  <si>
    <t>Bandung, 30 aug 1991</t>
  </si>
  <si>
    <t>Cecep Setiawan (cecep.s@samsung.com) PREV Wieke Harlisa Safitri (wieke.h@samsung.com)</t>
  </si>
  <si>
    <t>inc 3.5% eff 1 Mar '18 prev 3.2jt;</t>
  </si>
  <si>
    <t>Kp. Entoy Rt/Rw.002/009 Weninggalih, Sindangkerta, Bandung Barat, Jawa Barat</t>
  </si>
  <si>
    <t>Mandiri : 1170005806401</t>
  </si>
  <si>
    <t>597458066421000</t>
  </si>
  <si>
    <t>3217143008910003</t>
  </si>
  <si>
    <t>mailfauzan91@gmail.com, ismail.f@partner.samsung.com</t>
  </si>
  <si>
    <t>OS1705003</t>
  </si>
  <si>
    <t>Hansel Surya Wijaya</t>
  </si>
  <si>
    <t>Jakarta, 25 Febuari 1994</t>
  </si>
  <si>
    <t>E-promotor Online</t>
  </si>
  <si>
    <t>inc 2.5% eff 1 Mar '18 prev 4jt;</t>
  </si>
  <si>
    <t>Jl. Danau Indah 3 A15/20 Rt/Rw.007/013 Sunter Jaya, Tanjung Priok, Jakarta Utara</t>
  </si>
  <si>
    <t xml:space="preserve">021-6502206   / 0821 1402 1421  </t>
  </si>
  <si>
    <t>Mandiri : 1680001006905</t>
  </si>
  <si>
    <t xml:space="preserve"> 81.888.146.8-048.000 </t>
  </si>
  <si>
    <t xml:space="preserve">3172022502940004   </t>
  </si>
  <si>
    <t xml:space="preserve"> 0001480287971 </t>
  </si>
  <si>
    <t>hanselsuryawijaya@gmail.com       , hansel.s@partner.samsung.com</t>
  </si>
  <si>
    <t>OS1705004</t>
  </si>
  <si>
    <t>Muhammad Adam Bachtiar</t>
  </si>
  <si>
    <t>Bogor, 18 aug 1990</t>
  </si>
  <si>
    <t>Retail Planner</t>
  </si>
  <si>
    <t>efan.utama@samsung.com, rozalis.as@samsung.com</t>
  </si>
  <si>
    <t>inc 2% eff 1 Mar '18 prev 12jt;</t>
  </si>
  <si>
    <t>Jl. Merdeka Gg. Ambi. No. 7 RT 01 RW 01 Kota Bogor Jawa Barat 16154</t>
  </si>
  <si>
    <t>812-8940-0984</t>
  </si>
  <si>
    <t>BCA : 0953370732</t>
  </si>
  <si>
    <t>707505822404000</t>
  </si>
  <si>
    <t>3271031808900003</t>
  </si>
  <si>
    <t>14026732942</t>
  </si>
  <si>
    <t>KLINIK KIMIA FARMA JUANDA BOGOR</t>
  </si>
  <si>
    <t>adam_bachtiar@hotmail.co.id, kotakmasuk.bachtiar@gmail.com, b.adam@partner.samsung.com</t>
  </si>
  <si>
    <t>info resign, hold req user</t>
  </si>
  <si>
    <t>efan.utama@samsung.com</t>
  </si>
  <si>
    <t>OS1707001</t>
  </si>
  <si>
    <t>Dodi Supriatna</t>
  </si>
  <si>
    <t>Sukabumi, 8 Juni 1986</t>
  </si>
  <si>
    <t>Infrastructure Management</t>
  </si>
  <si>
    <t>Henricus Julian / Harris Prasetya / Feey Hasdi Munandar</t>
  </si>
  <si>
    <t>Jl. Musyawarah Rt/Rw.006/004 Jagakarsa, Jakarta Selatan</t>
  </si>
  <si>
    <t>BCA : 4191370265</t>
  </si>
  <si>
    <t>573351918023000</t>
  </si>
  <si>
    <t>3171040806860001</t>
  </si>
  <si>
    <t>15029606637</t>
  </si>
  <si>
    <t>dodicool182@gmail.com, d.supriatna@partner.samsung.com</t>
  </si>
  <si>
    <t>OS1705050</t>
  </si>
  <si>
    <t>Intan Kartika Ariana</t>
  </si>
  <si>
    <t>Jakarta, 4 Januari 1991</t>
  </si>
  <si>
    <t>Import Senior Staff</t>
  </si>
  <si>
    <t>Nurwakhidin Zuhri (n.zuhri@samsung.com)</t>
  </si>
  <si>
    <t>inc 4% eff 1 Mar '18 prev 4.250.000;</t>
  </si>
  <si>
    <t>Jl. Winong RT02/05 No.2 Ciledug Tangerang 15151</t>
  </si>
  <si>
    <t>BCA : 3452358716</t>
  </si>
  <si>
    <t>45.864.676.7.416.000</t>
  </si>
  <si>
    <t>3671064401910001</t>
  </si>
  <si>
    <t>14018021585</t>
  </si>
  <si>
    <t>0001604918687 satkes seskoal</t>
  </si>
  <si>
    <t>i.kartika@partner.samsung.com, intan.kartika91@gmail.com, i.kartika@partner.samsung.com</t>
  </si>
  <si>
    <t>Nurwakhidin Zuhri</t>
  </si>
  <si>
    <t>OS1707002</t>
  </si>
  <si>
    <t>Nola Melissa</t>
  </si>
  <si>
    <t>Jakarta, 17 November 1989</t>
  </si>
  <si>
    <t>Corporate Marketing Support</t>
  </si>
  <si>
    <t>Elvira Jakub (elvira.jk@samsung.com)</t>
  </si>
  <si>
    <t>inc 5% eff 1 Jan '18 prev 3jt;</t>
  </si>
  <si>
    <r>
      <rPr>
        <b/>
        <sz val="8"/>
        <rFont val="Segoe UI"/>
        <charset val="134"/>
      </rPr>
      <t>Jl. H. Amsar No. 19 RT 11 / RW 05, Kel. Cipulir Kec. Kebayoran Lama, Jakarta Selatan</t>
    </r>
    <r>
      <rPr>
        <sz val="8"/>
        <rFont val="Segoe UI"/>
        <charset val="134"/>
      </rPr>
      <t xml:space="preserve"> / Jl. Menteng Atas Gg. Y Rt/Rw.008/012 Pasar Manggis, Setiabudi, Jakarta Selatan</t>
    </r>
  </si>
  <si>
    <t xml:space="preserve">021 - 8311602    / 0812 9701 1007  </t>
  </si>
  <si>
    <t xml:space="preserve">BCA : 45814 85900 </t>
  </si>
  <si>
    <t>668848880018000</t>
  </si>
  <si>
    <t xml:space="preserve">3174025711890004   </t>
  </si>
  <si>
    <t>12015163947</t>
  </si>
  <si>
    <t>0000170800413</t>
  </si>
  <si>
    <t>nolasipahutar17@gmail.com       , nola.n@partner.samsung.com</t>
  </si>
  <si>
    <t>Elvira Jakub</t>
  </si>
  <si>
    <t>OS1706004</t>
  </si>
  <si>
    <t>Roselyn Fiona</t>
  </si>
  <si>
    <t>Jakarta, 21 Oktober 1991</t>
  </si>
  <si>
    <t>S2 Master of IT (major in Information Technology)</t>
  </si>
  <si>
    <t>Market Intelligence Specialist</t>
  </si>
  <si>
    <t>Kim Jeesung (jeesung.kim@samsung.com)</t>
  </si>
  <si>
    <t>Jl. Pulau Damar II Blk D9 No.25 Rt/Rw.013/009 Kembangan Utara, Kembangan, Jakarta Barat</t>
  </si>
  <si>
    <t>021 58302458 / 081294516870</t>
  </si>
  <si>
    <t>BCA : 4900360211</t>
  </si>
  <si>
    <t>80.901.740.3-086.000</t>
  </si>
  <si>
    <t>3173086110910003</t>
  </si>
  <si>
    <t>17005496504</t>
  </si>
  <si>
    <t>roselyn_fiona@yahoo.com, r.fiona@partner.samsung.com</t>
  </si>
  <si>
    <t>Jeesung Kim</t>
  </si>
  <si>
    <t>OS1708002</t>
  </si>
  <si>
    <t>Felicia Nanda Ariesa</t>
  </si>
  <si>
    <t>Kediri, 28 Maret 1989</t>
  </si>
  <si>
    <t>Content Development</t>
  </si>
  <si>
    <t>Dedy Chandra (dedy.ch@samsung.com)</t>
  </si>
  <si>
    <t>inc 4,5% eff 1 Mar '18 prev 6,5jt;</t>
  </si>
  <si>
    <t>Jl. Nusa Penida No. 8 RT 06 / RW 03, Kel. Kranggan Kec. Prajurit Kulon, Kota Mojokerto</t>
  </si>
  <si>
    <t>Mandiri : 1420012347083</t>
  </si>
  <si>
    <t>660969528602000</t>
  </si>
  <si>
    <t>3576016803890003</t>
  </si>
  <si>
    <t>0001444090948</t>
  </si>
  <si>
    <t>felicianandaariesa@gmail.com, felicia.n@partner.samsung.com</t>
  </si>
  <si>
    <t>Dedy Chandra</t>
  </si>
  <si>
    <t>OS1707019</t>
  </si>
  <si>
    <t>Ngawi, 1 Juni 1991</t>
  </si>
  <si>
    <t>D3 administrastion Bussiness</t>
  </si>
  <si>
    <t>HCBP Support</t>
  </si>
  <si>
    <t>TirtaPerdana(tirta.purba@samsung.com)</t>
  </si>
  <si>
    <t>inc 4% eff 1 Mar '18 prev 5,4jt;</t>
  </si>
  <si>
    <t>Krajan Kulon RT 08 / RW 02, Kel. Sine, Kec. Sine, Ngawi</t>
  </si>
  <si>
    <t>082299249498</t>
  </si>
  <si>
    <t>BCA : 5460190683</t>
  </si>
  <si>
    <t>096817093029000</t>
  </si>
  <si>
    <t>3521014106910001</t>
  </si>
  <si>
    <t>0001392816598</t>
  </si>
  <si>
    <t>irmasuryani494@yahoo.com, irma.s@partner.samsung.com</t>
  </si>
  <si>
    <t>Tirta Perdana Purba</t>
  </si>
  <si>
    <t>OS1708004</t>
  </si>
  <si>
    <t>Ridho Haryson</t>
  </si>
  <si>
    <t>Jakarta, 11 Desember 1988</t>
  </si>
  <si>
    <t>S1 Electro Engineering</t>
  </si>
  <si>
    <t>FF Budget</t>
  </si>
  <si>
    <t>YadiPrayitno(yadi.p@samsung.com)</t>
  </si>
  <si>
    <t>BPJS KES, ASURANSI FAM 750 prev 400 e_25/7/2017</t>
  </si>
  <si>
    <t>inc 4% eff 1 Mar '18 prev 11.300.000;</t>
  </si>
  <si>
    <t>Depok Jaya Agung Blok C6 No. 25, Kel. Rangkapan Jaya Kec. Pancoran Mas Depok 16435</t>
  </si>
  <si>
    <t>021 77880149 / '081381352233</t>
  </si>
  <si>
    <t>BCA : 0921355024</t>
  </si>
  <si>
    <t>66.333.995.0-412.000</t>
  </si>
  <si>
    <t>3276021112880007</t>
  </si>
  <si>
    <t>15011190103</t>
  </si>
  <si>
    <t>0138U019 - KPRJ Bahar Medika II</t>
  </si>
  <si>
    <t>ridho.haryson@gmail.com; ridho.h@partner.samsung.com</t>
  </si>
  <si>
    <t>OS1707034</t>
  </si>
  <si>
    <t>Moch Anugrah Putro Banindyo</t>
  </si>
  <si>
    <t>Jakarta, 10 Maret 1992</t>
  </si>
  <si>
    <t>Monitor PM</t>
  </si>
  <si>
    <t>Albert Susilo (albert.st@samsung.com)</t>
  </si>
  <si>
    <t>inc 3% eff 1 Mar '18 prev 5jt;</t>
  </si>
  <si>
    <t>Jl. H. Asmawi No. 17 RT 05 / RW 15, Kel. Beji Kec. Beji, Kota Depok</t>
  </si>
  <si>
    <t>BCA : 5465300997</t>
  </si>
  <si>
    <t>715136883412000</t>
  </si>
  <si>
    <t>3276061003920005</t>
  </si>
  <si>
    <t>14036583285</t>
  </si>
  <si>
    <t>0000060760686 KPRJ PALA MEDIKA</t>
  </si>
  <si>
    <t>masbanindyo@gmail.com, anugrah.pb@partner.samsung.com, anugrah.pb@partner.samsung.com</t>
  </si>
  <si>
    <t>Albert Susilo</t>
  </si>
  <si>
    <t>OS1708019</t>
  </si>
  <si>
    <t>Andi Ishak</t>
  </si>
  <si>
    <t>Jakarta, 17 Januari 1986</t>
  </si>
  <si>
    <t>IM Brand Activation</t>
  </si>
  <si>
    <t>inc 4% eff 1 Mar '18 prev 7.250.000;</t>
  </si>
  <si>
    <t>Kp. Lio RT 06 / RW 19, Kel. Depok Kec. Pancoran Mas, Kota Depok</t>
  </si>
  <si>
    <t>085711695142 / 0877 8866 4750</t>
  </si>
  <si>
    <t>BCA : 0060393168</t>
  </si>
  <si>
    <t>34.181.947.2-412.000</t>
  </si>
  <si>
    <t>3276011701860013</t>
  </si>
  <si>
    <t>09007420293</t>
  </si>
  <si>
    <t>ishak_2086@yahoo.com, a.ishak@partner.samsung.com, ishak.1100al@gmail.com, a.ishak@partner.samsung.com</t>
  </si>
  <si>
    <t xml:space="preserve"> OS1708022</t>
  </si>
  <si>
    <t>Stephany Virginia Tanasa</t>
  </si>
  <si>
    <t>Kediri, 2 September 1986</t>
  </si>
  <si>
    <t>B2B Assistant Manager</t>
  </si>
  <si>
    <t>Hadi Wijaya Tjong (hadi.wijaya@samsung.com)</t>
  </si>
  <si>
    <t>inc 8% eff 1 Mar '18 prev 14.5jt;</t>
  </si>
  <si>
    <t>Apt. Boutique Lt. 9 Unit S Blok A.6, RT 07 / RW 10, Kel. Kebon Kosong Kec. Kemayoran, Jakarta Pusat</t>
  </si>
  <si>
    <t>0878 8701 1991</t>
  </si>
  <si>
    <t>BCA : 3270412903</t>
  </si>
  <si>
    <t>369639620528000</t>
  </si>
  <si>
    <t>3313114209860003</t>
  </si>
  <si>
    <t>stephanytanasa@gmail.com, stephany.t@partner.samsung.com</t>
  </si>
  <si>
    <t>Hadi Wijaya Tjong</t>
  </si>
  <si>
    <t>hold, not final yet</t>
  </si>
  <si>
    <t>OS1709002</t>
  </si>
  <si>
    <t>Nisrina Tarisa Widarsa</t>
  </si>
  <si>
    <t>Jakarta, 14 Oktober 1993</t>
  </si>
  <si>
    <t>Retail Excellent</t>
  </si>
  <si>
    <t>Efan Adisaputra  (efan.utama@samsung.com)</t>
  </si>
  <si>
    <t>inc 4% eff 1 Mar '18 prev 7jt;</t>
  </si>
  <si>
    <t>Jl. Cempaka IV / 47 RT 06 / RW 11, Kel. Bintaro Kec. Pesanggrahan, Jakarta Selatan</t>
  </si>
  <si>
    <t xml:space="preserve"> 081543492906 / 021 - 7365964 / +62 813 111 369 63</t>
  </si>
  <si>
    <t>MANDIRI : 101-00-0636910-0</t>
  </si>
  <si>
    <t>714654118013000</t>
  </si>
  <si>
    <t>3174105410930002</t>
  </si>
  <si>
    <t>15009397603</t>
  </si>
  <si>
    <t>0002056364594</t>
  </si>
  <si>
    <t>nisrinatarisa@aol.com, nisrina.t@partner.samsung.com</t>
  </si>
  <si>
    <t>Efan Adisaputra Utama</t>
  </si>
  <si>
    <t>OS1708047</t>
  </si>
  <si>
    <t>Muhamad Arif</t>
  </si>
  <si>
    <t>Jakarta, 30 Juni 1992</t>
  </si>
  <si>
    <t>S1 Geophysics</t>
  </si>
  <si>
    <t>Procurement Staff</t>
  </si>
  <si>
    <t xml:space="preserve">Joni Syam (joni.s@samsung.com) </t>
  </si>
  <si>
    <t>inc 4% eff 1 Mar '18 prev 3.5jt;</t>
  </si>
  <si>
    <t>Kp Gaga RT 04 / RW 09, Kel. Semanan Kec. Kalideres, Jakarta Barat</t>
  </si>
  <si>
    <t>082230713787</t>
  </si>
  <si>
    <t>BSM : 2667013843</t>
  </si>
  <si>
    <t>3173063006920001</t>
  </si>
  <si>
    <t>0002200312282</t>
  </si>
  <si>
    <t>arif.muh94@gmail.com, m.arif1@partner.samsung.com</t>
  </si>
  <si>
    <t>?</t>
  </si>
  <si>
    <t xml:space="preserve"> OS1709007</t>
  </si>
  <si>
    <t>Richard Florend Papilaya</t>
  </si>
  <si>
    <t>Ambon, 27 Februari 1973</t>
  </si>
  <si>
    <t>HR Project</t>
  </si>
  <si>
    <t>amelia.g@samsung.com</t>
  </si>
  <si>
    <t>inc 4% eff 1 Mar '18 prev 42jt;</t>
  </si>
  <si>
    <t>Jl. Pulau Opak I Blok A 15/26 RT 06 / RW 11, Kel. Kembangan Utara, Jakarta Barat</t>
  </si>
  <si>
    <t>BCA : 0354042629</t>
  </si>
  <si>
    <t>091246801086000</t>
  </si>
  <si>
    <t>3173082702730006</t>
  </si>
  <si>
    <t>richard_papilaya@yahoo.com, r.papilaya@partner.samsung.com</t>
  </si>
  <si>
    <t>Amelia Anes Ganeshanty</t>
  </si>
  <si>
    <t>OS1708049</t>
  </si>
  <si>
    <t>Arlingga Wirawan Jayasaputra</t>
  </si>
  <si>
    <t>Jakarta, 12 Oktober 1990</t>
  </si>
  <si>
    <t>FTR</t>
  </si>
  <si>
    <t>Faried Setiawan</t>
  </si>
  <si>
    <t>inc 4% eff 1 Mar '18 prev 5.793.400;</t>
  </si>
  <si>
    <t>Jl. Maengket No. 7 RT 02 / RW 07, Kelapa Gading Timur, Jakarta Utara</t>
  </si>
  <si>
    <t>021-29588260 / 085694576612</t>
  </si>
  <si>
    <t>BCA : 0657268465</t>
  </si>
  <si>
    <t>72.037.657.3-043.000</t>
  </si>
  <si>
    <t>3172061210900002</t>
  </si>
  <si>
    <t>16041817822</t>
  </si>
  <si>
    <t>arlingga.wj@partner.samsung.com, arlingga.wj@partner.samsung.com</t>
  </si>
  <si>
    <t>OS1709008</t>
  </si>
  <si>
    <t>Dewi Sulistiyowati</t>
  </si>
  <si>
    <t>Jakarta, 24 November 1982</t>
  </si>
  <si>
    <t>D3 Public Relation</t>
  </si>
  <si>
    <t>inc 4% eff 1 Mar '18 prev 12.5jt;</t>
  </si>
  <si>
    <t>Graha Permai Jl. Jati A 1/1 RT 02 / RW 09, Kel. Sawah Kec. Ciputat, Kota Tangerang</t>
  </si>
  <si>
    <t>087871048656</t>
  </si>
  <si>
    <t>BCA : 6270193429</t>
  </si>
  <si>
    <t>670394329411000</t>
  </si>
  <si>
    <t>3674046411820002</t>
  </si>
  <si>
    <t>0001646199404</t>
  </si>
  <si>
    <t>dewisulistya41@yahoo.co.id, dewi.su@partner.samsung.com</t>
  </si>
  <si>
    <t>OS1708050</t>
  </si>
  <si>
    <t>Mohamad Budi Fitriansyah</t>
  </si>
  <si>
    <t>Palu, 23 Juni 1987</t>
  </si>
  <si>
    <t>S1 ECONOMIC</t>
  </si>
  <si>
    <t>Efan Adisaputra</t>
  </si>
  <si>
    <t>750 =&gt; 400 seharusnya</t>
  </si>
  <si>
    <t>inc 3.5% eff 1 Mar '18 prev 8jt;</t>
  </si>
  <si>
    <t>Komp. Hankam Jl. Kamboja No. 126 RT 05 / RW 04, Sukabumi Utara, Kebon Jeruk, Jakarta Barat, DKI Jakarta</t>
  </si>
  <si>
    <t>08111758111</t>
  </si>
  <si>
    <t>BCA : 2291728563</t>
  </si>
  <si>
    <t>705043081405000</t>
  </si>
  <si>
    <t>1304052306870002</t>
  </si>
  <si>
    <t>BUDIFITRIANSYAH23@GMAIL.COM, budi.f@partner.samsung.com</t>
  </si>
  <si>
    <t>OS1709012</t>
  </si>
  <si>
    <t>Mario Wahyu Haposan</t>
  </si>
  <si>
    <t>Bandung, 28 Maret 1987</t>
  </si>
  <si>
    <t>S1 Art &amp; Design</t>
  </si>
  <si>
    <t>IM Retail Brand Marketing</t>
  </si>
  <si>
    <t>prasti.p@samsung.com</t>
  </si>
  <si>
    <t>inc 4% eff 1 Mar '18 prev 11jt;</t>
  </si>
  <si>
    <t>Jl. Bumi No. 28 RT 02 / RW 03, Kel. Gunung Kec. Kebayoran Baru, Jakarta Selatan</t>
  </si>
  <si>
    <t>081223828810</t>
  </si>
  <si>
    <t>BCA : 5140359060</t>
  </si>
  <si>
    <t>707877734428000</t>
  </si>
  <si>
    <t>3273062803860008</t>
  </si>
  <si>
    <t>16004801052</t>
  </si>
  <si>
    <t>0002199780549</t>
  </si>
  <si>
    <t>mwahyuhasan@gmail.com, mario.wh28@gmail.com, mario.wh@partner.samsung.com</t>
  </si>
  <si>
    <t>OS1709031</t>
  </si>
  <si>
    <t>Cimahi, 5 Oktober 1983</t>
  </si>
  <si>
    <t>Technical Support Coordinator</t>
  </si>
  <si>
    <t>Cecep Setiawan (cecep.s@samsung.com)</t>
  </si>
  <si>
    <t>YES =&gt; NO</t>
  </si>
  <si>
    <t>inc 4% eff 1 Mar '18 prev 11jt; change OT &amp; transport e_10/10/2017</t>
  </si>
  <si>
    <t>Kp. Saradan RT 02 / RW 02, Kel. Leuwigajah Kec. Cimahi Selatan, Kota Cimahi</t>
  </si>
  <si>
    <t>0818988409</t>
  </si>
  <si>
    <t>BCA : 3981436472</t>
  </si>
  <si>
    <t>49.747.152.4-421.000</t>
  </si>
  <si>
    <t>3277010510800003</t>
  </si>
  <si>
    <t>1602007034</t>
  </si>
  <si>
    <t>0000512856832</t>
  </si>
  <si>
    <t>ahmadff802@gmail.com, ahmad.sy@partner.samsung.com</t>
  </si>
  <si>
    <t xml:space="preserve">OS1709045 </t>
  </si>
  <si>
    <t>Agam Gahara</t>
  </si>
  <si>
    <t>Malang, 23 Mei 1992</t>
  </si>
  <si>
    <t>S1 Industrial Engineering</t>
  </si>
  <si>
    <t>Warehouse and Inventory Analyst</t>
  </si>
  <si>
    <t xml:space="preserve">Decky Iman (decky.i@samsung.com) </t>
  </si>
  <si>
    <t>inc 2.5% eff 1 Mar '18 prev 3jt;</t>
  </si>
  <si>
    <t>Jl. A Yani 126 RT 04 / RW 03, Kel. Kemantren Kec. Jabung, Malang</t>
  </si>
  <si>
    <t>081331514150</t>
  </si>
  <si>
    <t>BCA : 8160848082</t>
  </si>
  <si>
    <t>82.819.709.5-657.000</t>
  </si>
  <si>
    <t>3507172305920003</t>
  </si>
  <si>
    <t>0000110515691</t>
  </si>
  <si>
    <t>gahara17@gmail.com, a.gahara@partner.samsung.com</t>
  </si>
  <si>
    <t>Decky Iman Faisar</t>
  </si>
  <si>
    <t xml:space="preserve"> OS1710032</t>
  </si>
  <si>
    <t>Cynthia Rinaldie</t>
  </si>
  <si>
    <t>Bandung, 11 Februari 1992</t>
  </si>
  <si>
    <t>S1 English Literature</t>
  </si>
  <si>
    <t>SES Operation</t>
  </si>
  <si>
    <t>Henricus Julian</t>
  </si>
  <si>
    <t>Jl. Dian Indah II K-11 RT 05 / RW 12, Kel. Babakan Kec. Babakan Ciparay, Kota Bandung</t>
  </si>
  <si>
    <t>085736049967 / 022-6041374</t>
  </si>
  <si>
    <t>BCA : 1571441352</t>
  </si>
  <si>
    <t>3273035102920001</t>
  </si>
  <si>
    <t>16027020557</t>
  </si>
  <si>
    <t>0002136534941</t>
  </si>
  <si>
    <t>cynthiarinaldie@yahoo.com, cynthia.r@partner.samsung.com</t>
  </si>
  <si>
    <t xml:space="preserve">OS1709046 </t>
  </si>
  <si>
    <t>Ana Hernawati</t>
  </si>
  <si>
    <t>Jakarta, 10 April 1980</t>
  </si>
  <si>
    <t>inc 4% eff 1 Mar '18 prev 5,5jt;</t>
  </si>
  <si>
    <t>Kamp Asem RT 04 / RW 01, Kel. Cijantung Kec. Pasar Rebo, Jakarta Timur</t>
  </si>
  <si>
    <t>MANDIRI : 1260004099890</t>
  </si>
  <si>
    <t>676311558009000</t>
  </si>
  <si>
    <t>3175055004900009</t>
  </si>
  <si>
    <t>13000970387</t>
  </si>
  <si>
    <t>0001609085024</t>
  </si>
  <si>
    <t>anahernawati@gmail.com, ana.herna@partner.samsung.com</t>
  </si>
  <si>
    <t xml:space="preserve"> OS1710033 </t>
  </si>
  <si>
    <t>Ravly Agusta</t>
  </si>
  <si>
    <t>Jakarta, 13 Agustus 1986</t>
  </si>
  <si>
    <t>IM Marketing - Graphic Designer</t>
  </si>
  <si>
    <t>Ria Tobing (ria.tobing@samsung.com)</t>
  </si>
  <si>
    <t>Komp. Pertamina No. 23 Gas Alam RT 01 / RW 03, Kel. Curug Kec. Cimanggis, Kota Depok</t>
  </si>
  <si>
    <t>087888362257</t>
  </si>
  <si>
    <t>BCA : 5385050680</t>
  </si>
  <si>
    <t>25.991.060.2-416.000</t>
  </si>
  <si>
    <t>3674031308860001</t>
  </si>
  <si>
    <t>ravlyagusta@gmail.com, r.agusta@partner.samsung.com</t>
  </si>
  <si>
    <t>Rongguria Irny Abigail Tobing</t>
  </si>
  <si>
    <t xml:space="preserve"> OS1709048 </t>
  </si>
  <si>
    <t>Leonardo Christie</t>
  </si>
  <si>
    <t>Palembang, 3 Desember 1980</t>
  </si>
  <si>
    <t>IM Retail L&amp;D - Training Operation</t>
  </si>
  <si>
    <t>Harapan Indah Blok YH No. 8 RT 03 / RW 20, Kel. Pejuang Kec. Medan Satria, Kota Bekasi</t>
  </si>
  <si>
    <t>62818-777-812</t>
  </si>
  <si>
    <t>BCA : 8780180031</t>
  </si>
  <si>
    <t>57.031.798.2-407.000</t>
  </si>
  <si>
    <t>32750601312800002</t>
  </si>
  <si>
    <t>0001312777956</t>
  </si>
  <si>
    <t>leonardo.christie@yahoo.co.id, leo.nardo@partner.samsung.com</t>
  </si>
  <si>
    <t>OS1710041</t>
  </si>
  <si>
    <t>Farah Habibah</t>
  </si>
  <si>
    <t>Bogor, 21 Maret 1993</t>
  </si>
  <si>
    <t>S1 Agroindustrial Technology</t>
  </si>
  <si>
    <t>Rozalis Affan Sandang (rozalis.as@samsung.com)</t>
  </si>
  <si>
    <t>Jl. Cemara II No. 1 RT 03 / RW 09, Kel. Cilendek Timur Kec. Bogor Barat, Kota Bogor</t>
  </si>
  <si>
    <t>085311492103</t>
  </si>
  <si>
    <t>BCA : '0953439121</t>
  </si>
  <si>
    <t>70.771.273.3-404.000</t>
  </si>
  <si>
    <t>3271046103930006</t>
  </si>
  <si>
    <t>14026733007</t>
  </si>
  <si>
    <t>'0001726143467</t>
  </si>
  <si>
    <t>farahhabibahhuda@gmail.com, farah.h@partner.samsung.com</t>
  </si>
  <si>
    <t>RR Arum Sekartika</t>
  </si>
  <si>
    <t xml:space="preserve"> OS1710053</t>
  </si>
  <si>
    <t>Aggi Rachmadhana</t>
  </si>
  <si>
    <t>Jakarta, 8 Maret 1992</t>
  </si>
  <si>
    <t>Graphic Designer IM</t>
  </si>
  <si>
    <t>ria.tobing@samsung.com / marina.f@samsung.com</t>
  </si>
  <si>
    <t>Jl. Pepaya Raya No,70 A Rt04/05 Jagakarsa, Jakarta-Selatan</t>
  </si>
  <si>
    <t>081806313505 / 021-8875672 / 0856-9784-2997</t>
  </si>
  <si>
    <t>BCA : 733.029.0611 a/n AGGI RACHMADHANA</t>
  </si>
  <si>
    <t xml:space="preserve"> 71.739.001.7-017.000</t>
  </si>
  <si>
    <t>3174090803920002</t>
  </si>
  <si>
    <t xml:space="preserve"> 15006974461</t>
  </si>
  <si>
    <t>0001775584383</t>
  </si>
  <si>
    <t>agilelo92@gmail.com, aggi.rd@partner.samsung.com</t>
  </si>
  <si>
    <t>Marina Frisca</t>
  </si>
  <si>
    <t>OS1707014</t>
  </si>
  <si>
    <t>Dyah Ayu Arum Prathiwi</t>
  </si>
  <si>
    <t>Batam, 30 Oktober 1994</t>
  </si>
  <si>
    <t>Tradisional Channel</t>
  </si>
  <si>
    <t>laksito.a@samsung.com</t>
  </si>
  <si>
    <t>Perumahan Permata Darussalam Blok C No. 2, Kukusan Beji, Depok</t>
  </si>
  <si>
    <t xml:space="preserve">0812-1611-4476   </t>
  </si>
  <si>
    <t xml:space="preserve">BCA : 3150976994   </t>
  </si>
  <si>
    <t>831159827448000</t>
  </si>
  <si>
    <t xml:space="preserve">3276067010940003   </t>
  </si>
  <si>
    <t>dyahayuarum30@gmail.com       , dyah.a@partner.samsung.com</t>
  </si>
  <si>
    <t>Laksito Anindyo</t>
  </si>
  <si>
    <t>OS1704034</t>
  </si>
  <si>
    <t>Trifo Meinorys</t>
  </si>
  <si>
    <t>Padang, 23 Mei 1987</t>
  </si>
  <si>
    <t>Salesman Secondary City Padang</t>
  </si>
  <si>
    <t>suparno.s@samsung.com</t>
  </si>
  <si>
    <t>inc 3% eff 1 Mar '18 prev 3.5jt;</t>
  </si>
  <si>
    <t>Jl. Tanjung Saba Kel. Pitameh Tanjung Saba Nan XX No.26 RT.001/RW001 Kec. Lubuk Begalung, Padang, Sumatera Barat</t>
  </si>
  <si>
    <t xml:space="preserve">08117687523   / 081374230587  </t>
  </si>
  <si>
    <t xml:space="preserve">Mandiri : 900-00-2935413-2   </t>
  </si>
  <si>
    <t xml:space="preserve">72.656.102.0-201.000   </t>
  </si>
  <si>
    <t xml:space="preserve">1371062305870006   </t>
  </si>
  <si>
    <t xml:space="preserve">15013817307   </t>
  </si>
  <si>
    <t>0001644482801   hangtuah medika</t>
  </si>
  <si>
    <t>trifo_meinorys23@yahoo.co.id, trifo.m@partner.samsung.com</t>
  </si>
  <si>
    <t>not extend 21/05/2018</t>
  </si>
  <si>
    <t>Suparno .</t>
  </si>
  <si>
    <t>OS1608004</t>
  </si>
  <si>
    <t>Ade Arial Sandi</t>
  </si>
  <si>
    <t>Sungai Tarab, 1 Juli 1985</t>
  </si>
  <si>
    <t>Visual Display Planner</t>
  </si>
  <si>
    <t xml:space="preserve">taufik.k@samsung.com, andriyawan.s@samsung.com </t>
  </si>
  <si>
    <t>inc 4.5% eff 1 Mar '18 prev 11,5jt;</t>
  </si>
  <si>
    <t>Jln. Sadar Rt.11 / 002 Kel. Susukan kec. Ciracas Jakarta Timur</t>
  </si>
  <si>
    <t>085263807180 / 021 29200761</t>
  </si>
  <si>
    <t>MANDIRI : 1080007441133</t>
  </si>
  <si>
    <t>58.480.040.3-216.000</t>
  </si>
  <si>
    <t>3175090107850000</t>
  </si>
  <si>
    <t xml:space="preserve"> PBI (APBN)</t>
  </si>
  <si>
    <t>ade.arial01@gmail.com, adearial.s@partner.samsung.com</t>
  </si>
  <si>
    <t>Resign 05/07/2018</t>
  </si>
  <si>
    <t>Andriyawan Dyan Setiawan</t>
  </si>
  <si>
    <t>OS1711071</t>
  </si>
  <si>
    <t>Apri Satria M R</t>
  </si>
  <si>
    <t>Bangko, 18 April 1987</t>
  </si>
  <si>
    <t>Palembang, Jambi, Pangkal Pinang, Lampung &amp; Bengkulu</t>
  </si>
  <si>
    <t>CS Regional Officer</t>
  </si>
  <si>
    <t>Danu Hermawan (danu.h@samsung.com)</t>
  </si>
  <si>
    <t>inc 6% eff 1 Mar '18 prev 2.972.856</t>
  </si>
  <si>
    <t>Perum Griya Pelangi Block C No.3 Kel.Kalidoni Kec.Kalidoni</t>
  </si>
  <si>
    <t>085266490022</t>
  </si>
  <si>
    <t>BCA : 1150598857</t>
  </si>
  <si>
    <t>15.980.559.7-331.000</t>
  </si>
  <si>
    <t>1571021804870021</t>
  </si>
  <si>
    <t>0001407435748</t>
  </si>
  <si>
    <t>mr.apri@gmail.com, apri.s@partner.samsung.com</t>
  </si>
  <si>
    <t>OS1711072</t>
  </si>
  <si>
    <t>Eko Budi Satria</t>
  </si>
  <si>
    <t>Sei Rotan, 12 Maret 1984</t>
  </si>
  <si>
    <t>CS Regional Officer West Java Area</t>
  </si>
  <si>
    <t>inc 6% eff 1 Mar '18 prev 2.580.660</t>
  </si>
  <si>
    <t>Jl. Cihanjuang No. 50/54 RT 02 / RW 19, Cibabat, Cimahi Utara, Kota Cimahi</t>
  </si>
  <si>
    <t>081221999636 / 0226644274</t>
  </si>
  <si>
    <t>Mandiri : 1320015310312</t>
  </si>
  <si>
    <t>675690242125000</t>
  </si>
  <si>
    <t>3277031203840007</t>
  </si>
  <si>
    <t>14031650360</t>
  </si>
  <si>
    <t>0001630672953</t>
  </si>
  <si>
    <t>ekobudi123@gmail.com, eko.b@partner.samsung.com</t>
  </si>
  <si>
    <t>OS1801045</t>
  </si>
  <si>
    <t>Puryanto</t>
  </si>
  <si>
    <t>Jakarta, 7 Januari 1978</t>
  </si>
  <si>
    <t>Technical Support LED Product</t>
  </si>
  <si>
    <t>TRIHADI.N@SAMSUNG.COM</t>
  </si>
  <si>
    <t>Kp. Ceger Jl. Amal Bakti Rt/Rw.005/011 Jurangmangu Barat, Pondok Aren, Tangerang Selatan</t>
  </si>
  <si>
    <t>08158214725 / 085694590046</t>
  </si>
  <si>
    <t>BCA 4741053718</t>
  </si>
  <si>
    <t>71.149.550.7-411.000</t>
  </si>
  <si>
    <t>3174100701780005</t>
  </si>
  <si>
    <t>14025195075</t>
  </si>
  <si>
    <t>0002143587069</t>
  </si>
  <si>
    <t>puryanto.atek@gmail.com</t>
  </si>
  <si>
    <t>OS1801046</t>
  </si>
  <si>
    <t>Gusti Anggita Ch. Sekarjati N.</t>
  </si>
  <si>
    <t>Jakarta, 5 Januari 1996</t>
  </si>
  <si>
    <t>HR Staff</t>
  </si>
  <si>
    <t>r.papilaya@partner.samsung.com</t>
  </si>
  <si>
    <t>Jl. Bhisma 1 no. 18 Indraprasta 2 Tegal Gundil Bogor Utara</t>
  </si>
  <si>
    <t>0857-165-60561</t>
  </si>
  <si>
    <t>Mandiri : 122 000 7105 847</t>
  </si>
  <si>
    <t>gusti.anggita@gmail.com, g.anggita@partner.samsung.com</t>
  </si>
  <si>
    <t>Robin Hendra S. Garingging</t>
  </si>
  <si>
    <t xml:space="preserve"> OS1709014</t>
  </si>
  <si>
    <t>Abisha Akmal Pratama</t>
  </si>
  <si>
    <t>Bandung, 8 Mei 1993</t>
  </si>
  <si>
    <t>Retail Technology Staff</t>
  </si>
  <si>
    <t>Prasti Nidya Putri &lt;prasti.p@samsung.com&gt;</t>
  </si>
  <si>
    <t>Jl. Batu Wangi No. 4 RT 01 / RW 07, Kel. Antapani Kidul Kec. Antapani, Kota Bandung</t>
  </si>
  <si>
    <t>081220253635 / 022-7203835</t>
  </si>
  <si>
    <t>: 130-00-15854840</t>
  </si>
  <si>
    <t>3273200805930001</t>
  </si>
  <si>
    <t>Abishaakmal@gmail.com, abisha.a@partner.samsung.com</t>
  </si>
  <si>
    <t>Prasti Nidya Putri</t>
  </si>
  <si>
    <t>OS1801002</t>
  </si>
  <si>
    <t>Febby Intani Dewinta</t>
  </si>
  <si>
    <t>Jakarta, 15 Februari 1992</t>
  </si>
  <si>
    <t>Trainer</t>
  </si>
  <si>
    <t>Juan Beta Margala &lt;juan.margala@samsung.com&gt;</t>
  </si>
  <si>
    <t>Perum Pondok Cipta Blok E No. 12 Rt/Rw.009/008 Bintara, Bekasi Barat, Kota Bekasi</t>
  </si>
  <si>
    <t>021 8846308 / 081218022018</t>
  </si>
  <si>
    <t>BCA 0663113825</t>
  </si>
  <si>
    <t>66.527.874.3-407.000</t>
  </si>
  <si>
    <t>3275025502920003</t>
  </si>
  <si>
    <t>febbyintanidewinta@gmail.com</t>
  </si>
  <si>
    <t>Juan Beta Margala</t>
  </si>
  <si>
    <t>OS1801001</t>
  </si>
  <si>
    <t>Susan Adithia</t>
  </si>
  <si>
    <t>Jakarta, 6 Januari 1992</t>
  </si>
  <si>
    <t>Asset Management Staff</t>
  </si>
  <si>
    <t>Jl. Sinar Budi Rt/Rw.008/004 Pejagalan, Penjaringan, Jakarta Utara</t>
  </si>
  <si>
    <t>0818865138</t>
  </si>
  <si>
    <t>BCA 6430 127 495 a.n susan adhitia</t>
  </si>
  <si>
    <t>59.414.826.4-041.000</t>
  </si>
  <si>
    <t>3172014601920004</t>
  </si>
  <si>
    <t>000-1736-737-918</t>
  </si>
  <si>
    <t>sansusan_lie@yahoo.com</t>
  </si>
  <si>
    <t>OS1801004</t>
  </si>
  <si>
    <t>Febrian</t>
  </si>
  <si>
    <t>Manado, 6 Februari 1978</t>
  </si>
  <si>
    <t>Manado</t>
  </si>
  <si>
    <t>Sales AV Manado</t>
  </si>
  <si>
    <t>agus noddy / a.noddy@samsung.com</t>
  </si>
  <si>
    <t>Lingkungan I RW 01, Kel. Titiwungan Utara Kec. Sario, Manado</t>
  </si>
  <si>
    <t xml:space="preserve">08121000081 / 08121900081 </t>
  </si>
  <si>
    <t>BCA 7800178619</t>
  </si>
  <si>
    <t>68.706.175.4-402.000</t>
  </si>
  <si>
    <t>3671090602780015</t>
  </si>
  <si>
    <t>11013016545</t>
  </si>
  <si>
    <t>0001640115178</t>
  </si>
  <si>
    <t>ignatiusfebrian@gmail.com</t>
  </si>
  <si>
    <t>not extend 7/7/2018 info user</t>
  </si>
  <si>
    <t>Agus Noddy Geshang</t>
  </si>
  <si>
    <t>OS1801048</t>
  </si>
  <si>
    <t>Andrianus Soritua Gultom</t>
  </si>
  <si>
    <t>Kalianda, 30 Juni 1987</t>
  </si>
  <si>
    <t>Sales Hybrid Direct Dealer Jakarta</t>
  </si>
  <si>
    <t>felix chandra &amp; edward chandra</t>
  </si>
  <si>
    <t>Jl. Ikan Mas No. 19 RT 17 / RW 08, Kel. Yosodadi Kec. Metro Timur, Kota Metro</t>
  </si>
  <si>
    <t>085369777909</t>
  </si>
  <si>
    <t>MANDIRI : 1140012113935</t>
  </si>
  <si>
    <t>164003428325000</t>
  </si>
  <si>
    <t>1801063006870009</t>
  </si>
  <si>
    <t>12006080613</t>
  </si>
  <si>
    <t>0002096788836</t>
  </si>
  <si>
    <t>andri.benk30@gmail.com, a.gultom@partner.samsung.com</t>
  </si>
  <si>
    <t>Darwin .</t>
  </si>
  <si>
    <t>OS1801011</t>
  </si>
  <si>
    <t>Marchelia Prisella Sondakh</t>
  </si>
  <si>
    <t>Manado, 22 Maret 1993</t>
  </si>
  <si>
    <t>Recruitment Lead</t>
  </si>
  <si>
    <t>Jl. Markisa 3 No. 15, Depok</t>
  </si>
  <si>
    <t>081385390985 / 081806067737</t>
  </si>
  <si>
    <t>BCA  0354358103</t>
  </si>
  <si>
    <t>706200755404000</t>
  </si>
  <si>
    <t>3271056203930004</t>
  </si>
  <si>
    <t>14025967945</t>
  </si>
  <si>
    <t>0001439878757</t>
  </si>
  <si>
    <t>marcheliaprisella@gmail.com</t>
  </si>
  <si>
    <t>OS1802050</t>
  </si>
  <si>
    <t>Adnan Ismail</t>
  </si>
  <si>
    <t>Jakarta, 27 Agustus 1986</t>
  </si>
  <si>
    <t>Information System Management Senior Staff</t>
  </si>
  <si>
    <t>riki.k@samsung.com</t>
  </si>
  <si>
    <t>inc 4% eff 1 Mar '18 prev 6.5jt;</t>
  </si>
  <si>
    <t>Gg. Langgar No.26 RT 02 RW 08, Ciracas, Jakarta Timur</t>
  </si>
  <si>
    <t>085894674330</t>
  </si>
  <si>
    <t>Mandiri  1570002230689</t>
  </si>
  <si>
    <t>660417577009000</t>
  </si>
  <si>
    <t>3175092708860005</t>
  </si>
  <si>
    <t>17044703738</t>
  </si>
  <si>
    <t>0001632277912</t>
  </si>
  <si>
    <t>adnan.i@partner.samsung.com</t>
  </si>
  <si>
    <t>OS1802030</t>
  </si>
  <si>
    <t>Megasari Krisnafati Gulo</t>
  </si>
  <si>
    <t>Jakarta, 3 Januari 1990</t>
  </si>
  <si>
    <t>Online Marketing Content Spesialist Senior Staff</t>
  </si>
  <si>
    <t>ira.js@samsung.com</t>
  </si>
  <si>
    <t>Bulak Perwira No. 27 RT 01 / RW 15, Kel. Perwira Kec. Bekasi Utara, Kota Bekasi</t>
  </si>
  <si>
    <t>081213471789</t>
  </si>
  <si>
    <t>BCA  0660822542</t>
  </si>
  <si>
    <t>46.384.831.7-407.000</t>
  </si>
  <si>
    <t>3275034301900015</t>
  </si>
  <si>
    <t>12046639535</t>
  </si>
  <si>
    <t>0002258281236</t>
  </si>
  <si>
    <t>egakrisna@gmail.com</t>
  </si>
  <si>
    <t>OS1802051</t>
  </si>
  <si>
    <t>Tiara Disya Zulaikha</t>
  </si>
  <si>
    <t>Jakarta, 26 Oktober 1996</t>
  </si>
  <si>
    <t>HCD - Learning &amp; Development Internship</t>
  </si>
  <si>
    <t>juan.margala@samsung.com</t>
  </si>
  <si>
    <t>Jl. Delima III, No. 9, RT 005/008, Curug Raya, Jakarta Timur</t>
  </si>
  <si>
    <t>081290262694</t>
  </si>
  <si>
    <t>Mandiri  1660001087899</t>
  </si>
  <si>
    <t>3175076610960009</t>
  </si>
  <si>
    <t>tiaradisya@gmail.com</t>
  </si>
  <si>
    <t>Resign 3/5/2018</t>
  </si>
  <si>
    <t>OS1803001</t>
  </si>
  <si>
    <t>Vinchentia Oktania Muliadi</t>
  </si>
  <si>
    <t>Jakarta, 25 oktober 1992</t>
  </si>
  <si>
    <t>Produt Marketing Senior Staff</t>
  </si>
  <si>
    <t>dolly.sw@samsung.com</t>
  </si>
  <si>
    <t>Jl. Panjang No. 15 Cipulir 001 / 008 Kebayoran Lama</t>
  </si>
  <si>
    <t>0818 06551088</t>
  </si>
  <si>
    <t>BCA  4750257068</t>
  </si>
  <si>
    <t>767227531013000</t>
  </si>
  <si>
    <t>3174056511920002</t>
  </si>
  <si>
    <t>15054057698</t>
  </si>
  <si>
    <t>vinchentiamuliadi@gmail.com</t>
  </si>
  <si>
    <t>OS1802076</t>
  </si>
  <si>
    <t>Amelia Isromi Shaba</t>
  </si>
  <si>
    <t>Depok, 10 January 1994</t>
  </si>
  <si>
    <t>Treasury Senior Staff</t>
  </si>
  <si>
    <t>margaretha.l@samsung.com</t>
  </si>
  <si>
    <t>Bukit Rivaria B 1 No. 37 RT 003 RW 012 Kel. Bedahan Kec. Sawangan Kota Depok Provinsi Jawa barat 16519</t>
  </si>
  <si>
    <t>0251 8600059 / 081297798138</t>
  </si>
  <si>
    <t>MANDIRI 070-00-0750119-5</t>
  </si>
  <si>
    <t>66.997.853.8-412.000</t>
  </si>
  <si>
    <t>3276035001940002</t>
  </si>
  <si>
    <t>17036945891</t>
  </si>
  <si>
    <t>0001280758623</t>
  </si>
  <si>
    <t>ameliashaba@gmail.com</t>
  </si>
  <si>
    <t>OS1803002</t>
  </si>
  <si>
    <t>Ari Jakasatria Hidayat</t>
  </si>
  <si>
    <t>Jakarta, 19 Juni 1988</t>
  </si>
  <si>
    <t>BI-MIS Senior Staff</t>
  </si>
  <si>
    <t>agussp@samsung.com</t>
  </si>
  <si>
    <t>Gg. Kana No. 34 RT 07 / RW 15, Kel. Pisangan Timur Kec. Pulogadung, Jakarta Timur</t>
  </si>
  <si>
    <t>08999996182</t>
  </si>
  <si>
    <t>BCA  0948522031</t>
  </si>
  <si>
    <t>79.244.609.8-005.000</t>
  </si>
  <si>
    <t>3175041906880001</t>
  </si>
  <si>
    <t>13004559517</t>
  </si>
  <si>
    <t>0001396196842</t>
  </si>
  <si>
    <t>arii.satria@gmail.com</t>
  </si>
  <si>
    <t>OS1803038</t>
  </si>
  <si>
    <t>Nancy Fitria, ST</t>
  </si>
  <si>
    <t>Jakarta, 19 September 1977</t>
  </si>
  <si>
    <t>Assistant Manager IM Retail Strategy &amp; Planning</t>
  </si>
  <si>
    <t>leo.hm@samsung.com</t>
  </si>
  <si>
    <t>Jl. Bojong Nangka I No. 53 RT 02 / RW 07, Kel. Jatirahayu Kec. Pondok Melati, Kota Bekasi</t>
  </si>
  <si>
    <t>08119461909 / 08111757574</t>
  </si>
  <si>
    <t>MANDIRI  1240009720948</t>
  </si>
  <si>
    <t>47.839.057.8-008.000</t>
  </si>
  <si>
    <t>3275 1259 0977 0005</t>
  </si>
  <si>
    <t>0001370554582</t>
  </si>
  <si>
    <t>nancy_fitria@yahoo.com</t>
  </si>
  <si>
    <t>OS1803039</t>
  </si>
  <si>
    <t>Rusli Aderian Syah</t>
  </si>
  <si>
    <t>Jakarta, 26 April 1973</t>
  </si>
  <si>
    <t>Jakarta =&gt; Bandung 20/3/2018</t>
  </si>
  <si>
    <t>Assistant Manager IM Retail Region Operation</t>
  </si>
  <si>
    <t>aryo.r@samsung.com</t>
  </si>
  <si>
    <t>Komplek Kodam Jaya K-2/130 RT 07/ RW 05, Kel. Kalideres, Jakarta Barat</t>
  </si>
  <si>
    <t>0811177566</t>
  </si>
  <si>
    <t>88.444.009.0-085.000</t>
  </si>
  <si>
    <t>3173062604730005</t>
  </si>
  <si>
    <t>16045901044</t>
  </si>
  <si>
    <t>0001384247709</t>
  </si>
  <si>
    <t>rusli.ade@gmail.com</t>
  </si>
  <si>
    <t>OS1803040</t>
  </si>
  <si>
    <t>Fabry Fahlevi</t>
  </si>
  <si>
    <t>Jakarta, 5 September 1982</t>
  </si>
  <si>
    <t>D4 TEKNIK INDUSTRI</t>
  </si>
  <si>
    <t>General Affair</t>
  </si>
  <si>
    <t xml:space="preserve">Agustinus Nugraha agustinus.n@samsung.com </t>
  </si>
  <si>
    <t>inc 4% eff 1 Mar '18 prev 8.050.000;</t>
  </si>
  <si>
    <t>Jl. Semarang F/325 Rt/Rw.06/05 Perumasnaga, Jakamulya, Bekasi Selatan 17146</t>
  </si>
  <si>
    <t>021.82402445 / 082152120050</t>
  </si>
  <si>
    <t>BCA : 5770440043</t>
  </si>
  <si>
    <t>26.291.119.1.432.000</t>
  </si>
  <si>
    <t>3275040509820024</t>
  </si>
  <si>
    <t xml:space="preserve">0001437587245 - KELUARGA
</t>
  </si>
  <si>
    <t>fabry.f@partner.samsung.com, l03815@hotmail.com, l03815@yahoo.com, l03815@hotmail.com, fabry.f@partner.samsung.com</t>
  </si>
  <si>
    <t>OS1803041</t>
  </si>
  <si>
    <t>Varia Naufal</t>
  </si>
  <si>
    <t>Jakarta, 18 Februari 1984</t>
  </si>
  <si>
    <t>IM Retail Marketing Senior Staff</t>
  </si>
  <si>
    <t>dikky.g@samsung.com</t>
  </si>
  <si>
    <t>Kp. Perigi RT 01 / RW 08, Kel. Bedahan Kec. Sawangan, Kota Depok</t>
  </si>
  <si>
    <t>MANDIRI  1010006327413</t>
  </si>
  <si>
    <t>595548520035000</t>
  </si>
  <si>
    <t>3173051802840001</t>
  </si>
  <si>
    <t>16005880857</t>
  </si>
  <si>
    <t>0001897125682</t>
  </si>
  <si>
    <t>OS1804010</t>
  </si>
  <si>
    <t>Winda Novarosanti</t>
  </si>
  <si>
    <t>Jakarta, 16 November 1990</t>
  </si>
  <si>
    <t>S1 Computer Science</t>
  </si>
  <si>
    <t>CE Shopper Marketing</t>
  </si>
  <si>
    <t>lista.donna@samsung.com</t>
  </si>
  <si>
    <t>Gg. Veteran No. 4 RT 01 / RW 04, Kel. Lubang Buaya Kec. Cipayung Jakarta Timur</t>
  </si>
  <si>
    <t>082231841528</t>
  </si>
  <si>
    <t>BCA 6870856332</t>
  </si>
  <si>
    <t>35.032.988.4-009.000</t>
  </si>
  <si>
    <t>3175105611900004</t>
  </si>
  <si>
    <t>Novawinda19@gmail.com</t>
  </si>
  <si>
    <t xml:space="preserve"> OS1805002</t>
  </si>
  <si>
    <t>Stephanie Johana</t>
  </si>
  <si>
    <t>Jakarta, 5 September 1988</t>
  </si>
  <si>
    <t>S1 Law</t>
  </si>
  <si>
    <t>Legal Senior Staff</t>
  </si>
  <si>
    <t>heryatmita.s@samsung.com</t>
  </si>
  <si>
    <t>Jl. Seruni Raya No. 11 RT 01 / RW 10, Malaka Sari Kec. Duren Sawit, Jakarta Timur</t>
  </si>
  <si>
    <t>021 8619172 / 082111311900</t>
  </si>
  <si>
    <t>MANDIRI 0060005122217</t>
  </si>
  <si>
    <t>59.947.332.9-008.000</t>
  </si>
  <si>
    <t>3175074509880009</t>
  </si>
  <si>
    <t>12032892429</t>
  </si>
  <si>
    <t>0001625297949</t>
  </si>
  <si>
    <t>stephanie.jm05@gmail.com / stephanie.jm@hotmail.com</t>
  </si>
  <si>
    <t>OS1804011</t>
  </si>
  <si>
    <t>Yuliana Vina Humira</t>
  </si>
  <si>
    <t>Surabaya, 31 Juli 1989</t>
  </si>
  <si>
    <t>S2 Industrial Engineering</t>
  </si>
  <si>
    <t>Retail Digital Maximization &amp; Retailtainment Exploration Assistant Manager</t>
  </si>
  <si>
    <t>Tuban I/59 Surabaya RT 06 / RW 03, Kel. Jepara Kec. Bubutan, Surabaya</t>
  </si>
  <si>
    <t>0313535646 / 08113389891</t>
  </si>
  <si>
    <t>BCA 0101797511</t>
  </si>
  <si>
    <t>36.984.873.4.614.000</t>
  </si>
  <si>
    <t>3578137107890001</t>
  </si>
  <si>
    <t>0001539683019</t>
  </si>
  <si>
    <t>vina.humira@gmail.com</t>
  </si>
  <si>
    <t>OS1804017</t>
  </si>
  <si>
    <t>Fiona Perwitasari</t>
  </si>
  <si>
    <t>Jakarta, 13 Desember 1985</t>
  </si>
  <si>
    <t>S1 Visual Comm Design</t>
  </si>
  <si>
    <t>adj 1 Juni '18 prev BS 6.089.242</t>
  </si>
  <si>
    <t>Jl. Medawai IV/7 RT 06 / RW 07, Kramat Pela, Kebayoran Baru, Jakarta Selatan</t>
  </si>
  <si>
    <t>021 7208813 / 081311111562</t>
  </si>
  <si>
    <t>5270376098</t>
  </si>
  <si>
    <t>58.984.229.3-019.000</t>
  </si>
  <si>
    <t>3174075312850001</t>
  </si>
  <si>
    <t>16005647926</t>
  </si>
  <si>
    <t>fiona.perwitasari@gmail.com</t>
  </si>
  <si>
    <t>OS1804018</t>
  </si>
  <si>
    <t>Andrea Amalia</t>
  </si>
  <si>
    <t>Jakarta, 20 Maret 1995</t>
  </si>
  <si>
    <t>IM Product Marketing Internship</t>
  </si>
  <si>
    <t>taufiqul.f@samsung.com</t>
  </si>
  <si>
    <t>Jl. Camar I/B/1-5 Bintaro, Pondok Betung, Kota Tangerang Selatan</t>
  </si>
  <si>
    <t>081315391243</t>
  </si>
  <si>
    <t>MANDIRI 900018875469</t>
  </si>
  <si>
    <t>3674036203950004</t>
  </si>
  <si>
    <t>andreaamalia2203@gmail.com</t>
  </si>
  <si>
    <t xml:space="preserve"> OS1805001</t>
  </si>
  <si>
    <t>Ida Rosada</t>
  </si>
  <si>
    <t>Jakarta, 21 Mei 1985</t>
  </si>
  <si>
    <t>S1 Economy</t>
  </si>
  <si>
    <t>Marketing Activation Senior Staff</t>
  </si>
  <si>
    <t>Arinda Permai I Blok A/18 RT 04 / RW 04, Kec. Pondok Aren, Tangerang Selatan</t>
  </si>
  <si>
    <t>081803001659</t>
  </si>
  <si>
    <t>Mandiri 128-00-0525124-1</t>
  </si>
  <si>
    <t>34.597.593.2-411.000</t>
  </si>
  <si>
    <t>3674036105850004</t>
  </si>
  <si>
    <t>idatobing21@gmail.com</t>
  </si>
  <si>
    <t>OS1711053</t>
  </si>
  <si>
    <t>Karina Yusanta Ayu</t>
  </si>
  <si>
    <t>Banyuwangi, 21 Juli 1995</t>
  </si>
  <si>
    <t>Product Marketing Staff</t>
  </si>
  <si>
    <t>Rendy Tonggo (rendy.m@samsung.com)</t>
  </si>
  <si>
    <t>Wiyung Kaniman DPR 22 RT 01 / RW 01, Kel. Wiyung, Kota Surabaya</t>
  </si>
  <si>
    <t>087885293722</t>
  </si>
  <si>
    <t>BCA : 0331983852</t>
  </si>
  <si>
    <t>3578206110950001</t>
  </si>
  <si>
    <t>karinayusanta@gmail.com, karina.ya@partner.samsung.com</t>
  </si>
  <si>
    <t>Rendy Tonggo H. Manurung</t>
  </si>
  <si>
    <t>OS1804037</t>
  </si>
  <si>
    <t>Ryan Satya Permana</t>
  </si>
  <si>
    <t>Jakarta, 1 Januari 1992</t>
  </si>
  <si>
    <t>S1 Teknologi Informatika</t>
  </si>
  <si>
    <t>IM Retail Region Operation (Kalimantan) Assistant Manager</t>
  </si>
  <si>
    <t>Jl. Kalibata Tengah VIII/4 RT 08 / RW 03, Kel. Kalibata Kec. Pancoran Jakarta Selatan</t>
  </si>
  <si>
    <t>082113923926</t>
  </si>
  <si>
    <t>BCA 1281607435</t>
  </si>
  <si>
    <t>557381910061000</t>
  </si>
  <si>
    <t>3174080101920002</t>
  </si>
  <si>
    <t>16024466837</t>
  </si>
  <si>
    <t>0001646036965</t>
  </si>
  <si>
    <t>dante_ryan92@hotmail.com ; danteryan92@gmail.com</t>
  </si>
  <si>
    <t xml:space="preserve"> OS1804058</t>
  </si>
  <si>
    <t>Bobby Nurman, S. Kom</t>
  </si>
  <si>
    <t>Jakarta, 15 Maret 1985</t>
  </si>
  <si>
    <t>AV Retail Planning (Strategic Model)</t>
  </si>
  <si>
    <t>Jalan Flamboyan IV Blok J No. 446 Jatimulya - Bekasi Timur</t>
  </si>
  <si>
    <t>021-82415888 / 087822217202</t>
  </si>
  <si>
    <t>BCA 5780-684668</t>
  </si>
  <si>
    <t>45.520.099.8-435.000</t>
  </si>
  <si>
    <t>3216061503850008</t>
  </si>
  <si>
    <t>bobby.nurman85@gmail.com</t>
  </si>
  <si>
    <t>OS1805006</t>
  </si>
  <si>
    <t>Septi Oktaviantry</t>
  </si>
  <si>
    <t>Bekasi, 7 Oktober 1994</t>
  </si>
  <si>
    <t>joni.syam@samsung.com</t>
  </si>
  <si>
    <t>Jl. Cendrawasih 9 Blok A NO. 62 Perum Jati Mulya RT 04 / RW 15, Jatimulya, Tambun Selatan, Bekasi</t>
  </si>
  <si>
    <t>082110303949</t>
  </si>
  <si>
    <t>Mandiri 1560013568391</t>
  </si>
  <si>
    <t>84.300.440.9-435.000</t>
  </si>
  <si>
    <t>3216064710940013</t>
  </si>
  <si>
    <t>0001810885386</t>
  </si>
  <si>
    <t>septi.oktaviantry@gmail.com</t>
  </si>
  <si>
    <t xml:space="preserve"> OS1805017</t>
  </si>
  <si>
    <t>Nurcahyo Padma Satria</t>
  </si>
  <si>
    <t>Yogyakarta, 14 April 1996</t>
  </si>
  <si>
    <t>IM Solution &amp; Presales P (B2B) Internship</t>
  </si>
  <si>
    <t>Jl. Suryoputran 27/18 YK RT 28 / RW 08, Kel. Panembahan Kec. Kraton, Yogyakarta</t>
  </si>
  <si>
    <t>BNI: 0568157977</t>
  </si>
  <si>
    <t>3471091404960002</t>
  </si>
  <si>
    <t>Rebecca Carolina Tanudjaja</t>
  </si>
  <si>
    <t>Jakarta, 1 April 1997</t>
  </si>
  <si>
    <t>IM Channel Marketing Internship</t>
  </si>
  <si>
    <t>Jl. Kelapa Nias Raya Blk. LC-12/10 Kelapa Gading Barat, Jakarta Utara</t>
  </si>
  <si>
    <t>BCA 6600153003</t>
  </si>
  <si>
    <t>83.852.629.1-043.000</t>
  </si>
  <si>
    <t>3172064104971001</t>
  </si>
  <si>
    <t>OS1611013</t>
  </si>
  <si>
    <t>Utari Intan Nugrahani</t>
  </si>
  <si>
    <t>Jakarta, 19 Januari 1987</t>
  </si>
  <si>
    <t>S1 Media Innovation &amp; Management</t>
  </si>
  <si>
    <t>Content Specialist</t>
  </si>
  <si>
    <t xml:space="preserve">Hermanto hermanto.h@samsung.com </t>
  </si>
  <si>
    <t>Pamulang Permai Blok A12 No. 15, Ciputat Tangerang</t>
  </si>
  <si>
    <t>021 7404478 / 087884193911</t>
  </si>
  <si>
    <t>Mandiri : 1240007247142</t>
  </si>
  <si>
    <t>35.664.852.7-411.000</t>
  </si>
  <si>
    <t>3674065901870008</t>
  </si>
  <si>
    <t>12021976746</t>
  </si>
  <si>
    <t>intan.utari@gmail.com</t>
  </si>
  <si>
    <t>permanent 19/6/2017, last day 18/06</t>
  </si>
  <si>
    <t>OS1701044</t>
  </si>
  <si>
    <t>Hafiza</t>
  </si>
  <si>
    <t>Jakarta, 7 Juni 1989</t>
  </si>
  <si>
    <t>Online Marketing</t>
  </si>
  <si>
    <t>Jl. H. Murtadho XIII No. 535 RT 15 / RW 06</t>
  </si>
  <si>
    <t>0812 91605602</t>
  </si>
  <si>
    <t>BCA : 3420098901</t>
  </si>
  <si>
    <t>45.109.765.3.023.000</t>
  </si>
  <si>
    <t>3171044706890001 / 3171040901097410</t>
  </si>
  <si>
    <t>0001653638106 BALKES RADEN SALEH</t>
  </si>
  <si>
    <t>hafiza.fath@gmail.com</t>
  </si>
  <si>
    <t>not extend 10/6/2017</t>
  </si>
  <si>
    <t xml:space="preserve">Sintara N sintara.n@samsung.com </t>
  </si>
  <si>
    <t>OS1704036</t>
  </si>
  <si>
    <t>Nikes Astrisi Presilia</t>
  </si>
  <si>
    <t>Retail Excellence</t>
  </si>
  <si>
    <t>Efan Adisaputra ( efan.utama@samsung.com)</t>
  </si>
  <si>
    <t>10 April 2017</t>
  </si>
  <si>
    <t>Permata Medang Gading Serpong, Cluster Barleria Blok B I No. I 2, Medang, Pagedangan, Tangerang, Banten</t>
  </si>
  <si>
    <t xml:space="preserve"> 081288949410 / 089602519604</t>
  </si>
  <si>
    <t>Mandiri : 1760000223741</t>
  </si>
  <si>
    <t>34.555.634.4.451.000</t>
  </si>
  <si>
    <t>3603285006890013</t>
  </si>
  <si>
    <t>0001650486159 kelapa dua</t>
  </si>
  <si>
    <t>nikes.presilia@gmail.com</t>
  </si>
  <si>
    <t>resign 1/6/2017</t>
  </si>
  <si>
    <t>OS1708001</t>
  </si>
  <si>
    <t>Syarief Qayum Suaib</t>
  </si>
  <si>
    <t>Ujung Pandang, 7 Oktober 1994</t>
  </si>
  <si>
    <t>AV Retail Planner</t>
  </si>
  <si>
    <t>RR. Arum Sekartika (arum.s@samsung.com)</t>
  </si>
  <si>
    <t>BTN Minasa Upa Blok G7/6, Makassar Kec. Rappocini Kel. Gunungsari, Sulawesi Selatan</t>
  </si>
  <si>
    <t>BCA : 7890324716</t>
  </si>
  <si>
    <t>76.264.033.2.805.000</t>
  </si>
  <si>
    <t>7371130710940006</t>
  </si>
  <si>
    <t>16041016664</t>
  </si>
  <si>
    <t>0001890221861</t>
  </si>
  <si>
    <t>syarif.qayyum@gmail.com</t>
  </si>
  <si>
    <t>cancel join, not sign</t>
  </si>
  <si>
    <t>OS1610033</t>
  </si>
  <si>
    <t>Indra Pratama Hidayat</t>
  </si>
  <si>
    <t>Bandung, 4 Maret 1991</t>
  </si>
  <si>
    <t>Kp. Cikuya RT 01 / RW 13 Kel. Lagadar Kec Margaasih</t>
  </si>
  <si>
    <t>083892664695</t>
  </si>
  <si>
    <t>Mandiri : 1320013130985</t>
  </si>
  <si>
    <t>35.415.752.1-445.000</t>
  </si>
  <si>
    <t>3204100403910001</t>
  </si>
  <si>
    <t>10028571783</t>
  </si>
  <si>
    <t>indra.pt@partner.samsung.com</t>
  </si>
  <si>
    <t>resign 15/7/2017</t>
  </si>
  <si>
    <t>OS1704013</t>
  </si>
  <si>
    <t>Anasai</t>
  </si>
  <si>
    <t>Jakarta, 23 aug 1989</t>
  </si>
  <si>
    <t>adj 1 apr'17 BS prev 4.405.000, meal prev 220 rb, transport&amp;ca prev none</t>
  </si>
  <si>
    <t>Kp.Pengarengan Rt.010/012 Kel.Jatinegara Kec.Cakung - Jakarta Timur</t>
  </si>
  <si>
    <t xml:space="preserve">021 46833321   / 089635663871  </t>
  </si>
  <si>
    <t>BCA : 4581398021</t>
  </si>
  <si>
    <t xml:space="preserve">579749375004000   </t>
  </si>
  <si>
    <t xml:space="preserve">3175062308890009   </t>
  </si>
  <si>
    <t xml:space="preserve">12040471737   </t>
  </si>
  <si>
    <t>0001604917809 kel jatinegara kaum</t>
  </si>
  <si>
    <t>anas.08@partner.samsung.com, anas.sai08@gmail.com</t>
  </si>
  <si>
    <t>RESIGN 31/7/2017</t>
  </si>
  <si>
    <t>OS1708012</t>
  </si>
  <si>
    <t>Aryanuga Mukhtadin Yahya</t>
  </si>
  <si>
    <t>Tangerang, 22 Mei 1988</t>
  </si>
  <si>
    <t>Retail Sales Marketing Officer (RSMO) Jakarta</t>
  </si>
  <si>
    <t>Bela Reza Tanjung (b.reza@samsung.com) / Ardi Gastri (ardi.g@samsung.com)</t>
  </si>
  <si>
    <t>Jl. Duta Darma D6 No. 12 RT 05/02 Pondok Hijau Cipayung Ciputat Tangerang Selatan 15411</t>
  </si>
  <si>
    <t>081392420566</t>
  </si>
  <si>
    <t>MANDIRI : 1370005072158 a.n Aryanuga Mukhtadin</t>
  </si>
  <si>
    <t>367280492411000</t>
  </si>
  <si>
    <t>3674042205880001</t>
  </si>
  <si>
    <t>aryanugamy@rocketmail.com</t>
  </si>
  <si>
    <t>OS1708017</t>
  </si>
  <si>
    <t>Andi Faisal</t>
  </si>
  <si>
    <t>Makassar, 12 Oktober 1984</t>
  </si>
  <si>
    <t>Kendari</t>
  </si>
  <si>
    <t>DA Salesman - Kendari</t>
  </si>
  <si>
    <t>Rheinhard Nickolaus Mandagie &lt;rheinhard.m@samsung.com&gt;</t>
  </si>
  <si>
    <t>Mannyampa 1 RT 01 / RW 01, Kel. Bontoala Kec. Pallangga, Gowa</t>
  </si>
  <si>
    <t>081241779618</t>
  </si>
  <si>
    <t>BCA : 7685177471</t>
  </si>
  <si>
    <t>683200216803000</t>
  </si>
  <si>
    <t>7306071210840002</t>
  </si>
  <si>
    <t>faisalandi30@gmail.com</t>
  </si>
  <si>
    <t>terminated 4/8/17, case audit, , not sign</t>
  </si>
  <si>
    <t>OS1708048</t>
  </si>
  <si>
    <t>Denny Achmad Sobarna</t>
  </si>
  <si>
    <t>Kuningan, 9 September 1981</t>
  </si>
  <si>
    <t>S1 ilmu kelautan</t>
  </si>
  <si>
    <t>Purwakarta</t>
  </si>
  <si>
    <t>Retail Sales Marketing Officer (RSMO) Purwakarta</t>
  </si>
  <si>
    <t>Kp. Lemahabang RT 02 / RW 03, Kel. Waluya Kec. Cikarang Utara, Bekasi</t>
  </si>
  <si>
    <t>081807197734</t>
  </si>
  <si>
    <t>Mandiri : 1360010575485</t>
  </si>
  <si>
    <t>253721468438000</t>
  </si>
  <si>
    <t>3208090909810001</t>
  </si>
  <si>
    <t>16028680128</t>
  </si>
  <si>
    <t>0001516711825</t>
  </si>
  <si>
    <t>dennysobarna@yahoo.com</t>
  </si>
  <si>
    <t>kontrak batal, , not sign</t>
  </si>
  <si>
    <t xml:space="preserve">OS1611006  </t>
  </si>
  <si>
    <t>Kristina Situmorang</t>
  </si>
  <si>
    <t>Galang, 15 Februari 1991</t>
  </si>
  <si>
    <t>S1 Environmental and Resources Economic</t>
  </si>
  <si>
    <t>SOM Analyst</t>
  </si>
  <si>
    <t>novia.ng@samsung.com</t>
  </si>
  <si>
    <t>Merbau Street No.29, Tanjung Karang, Bandar Lampung</t>
  </si>
  <si>
    <t>085669986509/085212281104</t>
  </si>
  <si>
    <t>Mandiri : 124-00-0767413-9</t>
  </si>
  <si>
    <t>70.178.724.4-322.000</t>
  </si>
  <si>
    <t>1871055502910007</t>
  </si>
  <si>
    <t>15028435053</t>
  </si>
  <si>
    <t>0001621171203</t>
  </si>
  <si>
    <t>kristinasitumorang29@gmail.com</t>
  </si>
  <si>
    <t>resign 31/8/2017 e_22/8/2017</t>
  </si>
  <si>
    <t>OS1703003</t>
  </si>
  <si>
    <t>Deni Permana</t>
  </si>
  <si>
    <t>Bandung, 28 Nopember 1977</t>
  </si>
  <si>
    <t>S1 MANAJEMEN</t>
  </si>
  <si>
    <t>Cirebon =&gt; Purwokerto</t>
  </si>
  <si>
    <t>Secondary City Salesman Cirebon =&gt; Purwokerto</t>
  </si>
  <si>
    <t>d.andi@samsung.com</t>
  </si>
  <si>
    <t>change HB per 1 Jun'17 e_9/5/2017</t>
  </si>
  <si>
    <t>Cimindi Barat RT 03 / RW 18, Kel. Cibeureum Kec. Cimahi Selatan, Kota Cimahi</t>
  </si>
  <si>
    <t>08159217733 / 081546752633</t>
  </si>
  <si>
    <t>MANDIRI : 1240007514079</t>
  </si>
  <si>
    <t>58.480.053.6.424.000</t>
  </si>
  <si>
    <t>3273232811770003</t>
  </si>
  <si>
    <t>Denni_permana77@yahoo.com</t>
  </si>
  <si>
    <t>OS1706018</t>
  </si>
  <si>
    <t>Natanael Gunawan</t>
  </si>
  <si>
    <t>Tangerang, 7 Juni 1997</t>
  </si>
  <si>
    <t>New Business Development Internship</t>
  </si>
  <si>
    <t>Hadi Wijaya (hadi.wijaya@samsung.com)</t>
  </si>
  <si>
    <t>Mega Kebon Jeruk D 9/9 RT 04 / RW 11, Kel. Meruya Selatan Kec. Kembangan, Jakarta Barat</t>
  </si>
  <si>
    <t>0877-7521-1797</t>
  </si>
  <si>
    <t>3173080706971003</t>
  </si>
  <si>
    <t>natan.97@yahoo.com</t>
  </si>
  <si>
    <t>RESIGN 11/8/2017</t>
  </si>
  <si>
    <t>OS1708018</t>
  </si>
  <si>
    <t>Hendro Irawan</t>
  </si>
  <si>
    <t>Blora, 13 Januari 1987</t>
  </si>
  <si>
    <t>Retail Sales Marketing Officer (RSMO) Surabaya</t>
  </si>
  <si>
    <t>Adi Poernomo (adi.p@samsung.com) / Daniel AriefHidayat (daniel.a@samsung.com)</t>
  </si>
  <si>
    <t>Jl. G Sindoro Gang 1 No. 7B RT 06 / RW 02, Kel. Tempelan Kec. Blora, Blora</t>
  </si>
  <si>
    <t>081.233.313.534</t>
  </si>
  <si>
    <t>BCA : 5090120982</t>
  </si>
  <si>
    <t>36.455.787.6-514.000</t>
  </si>
  <si>
    <t>3316091301870002</t>
  </si>
  <si>
    <t>12015433068</t>
  </si>
  <si>
    <t>liauw.hendro.irawan@gmail.com</t>
  </si>
  <si>
    <t>terminated 10/8/2017, kasus narkoba, , not sign</t>
  </si>
  <si>
    <t>OS1702193</t>
  </si>
  <si>
    <t>Ziad</t>
  </si>
  <si>
    <t>Jakarta, 14 September 1994</t>
  </si>
  <si>
    <t>S1 ECONOMICS</t>
  </si>
  <si>
    <t>Kp. Babakan Rt/Rw.002/011 Bubulak, Kota Bogor Barat, Kota Bogor</t>
  </si>
  <si>
    <t xml:space="preserve">BANK SYARIAH MANDIRI 7031835188   </t>
  </si>
  <si>
    <t xml:space="preserve">76.625.512.9-404.000   </t>
  </si>
  <si>
    <t xml:space="preserve">3201291409940001   </t>
  </si>
  <si>
    <t>0001771187769 TANAH SEREAL</t>
  </si>
  <si>
    <t xml:space="preserve">ziadabdat14@gmail.com       </t>
  </si>
  <si>
    <t>Resign 29/8/2017</t>
  </si>
  <si>
    <t>OS1708020</t>
  </si>
  <si>
    <t>Tony Suharsono</t>
  </si>
  <si>
    <t>Surabaya, 4 Februari 1985</t>
  </si>
  <si>
    <t>Tambak Dukuh 2/67 RT 02 / RW 05, Kel. Kapasari Kec. Genteng, Kota Surabaya</t>
  </si>
  <si>
    <t>085856958583 / 081360923535</t>
  </si>
  <si>
    <t>BCA : 1011013363</t>
  </si>
  <si>
    <t>683155592611000</t>
  </si>
  <si>
    <t>3578070402850084</t>
  </si>
  <si>
    <t>0001653386174</t>
  </si>
  <si>
    <t>mastonyy@gmail.com</t>
  </si>
  <si>
    <t>OS1708021</t>
  </si>
  <si>
    <t>Yonatan Satria Yudha</t>
  </si>
  <si>
    <t>Yogyakarta, 3 Mei 1987</t>
  </si>
  <si>
    <t>Retail Sales Marketing Officer (RSMO) Kendari</t>
  </si>
  <si>
    <t>Jamie Ronaldo (jemie.r@samsung.com)</t>
  </si>
  <si>
    <t>Ngadiwinatan NG 1/1348 RT 70 / RW 13, Yogyakarta 55261</t>
  </si>
  <si>
    <t>81272860892</t>
  </si>
  <si>
    <t>BCA : 8760551245</t>
  </si>
  <si>
    <t>67.496.525.6-541.000</t>
  </si>
  <si>
    <t>3471060305870002</t>
  </si>
  <si>
    <t>jotaksaka@gmail.com</t>
  </si>
  <si>
    <t>resign 4/9/2017</t>
  </si>
  <si>
    <t>Kedar Priya Utama</t>
  </si>
  <si>
    <t>Jakarta, 5 Mei 1995</t>
  </si>
  <si>
    <t>Internship Galaxi Master</t>
  </si>
  <si>
    <t>Stella  &lt;stella.s@samsung.com&gt;</t>
  </si>
  <si>
    <t>GDC Sektor Anggrek 1 Blok C-1 No. 53 RT 07 / RW 04, Kel. Tirtajaya Kec. Sukamajaya, Kota Depok</t>
  </si>
  <si>
    <t>021-77833645 / 081317039141</t>
  </si>
  <si>
    <t>Mandiri : 1320017039141</t>
  </si>
  <si>
    <t>3276050505950013</t>
  </si>
  <si>
    <t>kedarutama@gmail.com</t>
  </si>
  <si>
    <t>RESIGN 18/9/2017</t>
  </si>
  <si>
    <t>Bruguiera Ardhani Febriani Agradriya</t>
  </si>
  <si>
    <t>Surakarta, 25 Februari 1995</t>
  </si>
  <si>
    <t>Internship Galaxy Master</t>
  </si>
  <si>
    <t>Jl. Pipit No. 49 RT 05 / RW 03, Kel. Jatimakmur Kec. Pondok Gede, Kota Bekasi</t>
  </si>
  <si>
    <t>081313163244 / 0218485674</t>
  </si>
  <si>
    <t>: 1560004221414 A.N Sulistyaningsih Amperiani</t>
  </si>
  <si>
    <t>3275082502950014</t>
  </si>
  <si>
    <t>bruguieraafa@gmail.com</t>
  </si>
  <si>
    <t>OS1707015</t>
  </si>
  <si>
    <t>Rikky Yanuar</t>
  </si>
  <si>
    <t>Malang, 19 Januari 1989</t>
  </si>
  <si>
    <t>Adi Poernomo (adi.p@samsung.com)</t>
  </si>
  <si>
    <t>Jl. Letjen Sutoyo 4 No. 73H Malang, Jalang Pucang Jajar Utara No. 18 Surabaya</t>
  </si>
  <si>
    <t>081217230060</t>
  </si>
  <si>
    <t>BCA : 3310365598</t>
  </si>
  <si>
    <t>55.562.859.3-652.000</t>
  </si>
  <si>
    <t>3573051901890002</t>
  </si>
  <si>
    <t>12014624329</t>
  </si>
  <si>
    <t>0002097691424</t>
  </si>
  <si>
    <t>kikyanuar19@gmail.com</t>
  </si>
  <si>
    <t>Resign 7/10/2017, KASUS MINJEM UANG, GAJI OKT HOLD</t>
  </si>
  <si>
    <t>CM - Channel Landscape Internship</t>
  </si>
  <si>
    <t>Sherly WIjaya (sherly.w@samsung.com)</t>
  </si>
  <si>
    <t xml:space="preserve">dyahayuarum30@gmail.com       </t>
  </si>
  <si>
    <t>menjadi karyawan</t>
  </si>
  <si>
    <t>OS1505051</t>
  </si>
  <si>
    <t>Atik Sulistiawati</t>
  </si>
  <si>
    <t>D3 SECRETARY</t>
  </si>
  <si>
    <t>OPD Admin</t>
  </si>
  <si>
    <t xml:space="preserve">Tirta Perdana tirta.purba@samsung.com </t>
  </si>
  <si>
    <t>increase 6% eff 1 Mar'16 prev BS 5,800,000</t>
  </si>
  <si>
    <t>Modernhill, Padma Cluster Blok G6 No.35 Pondok Cabe Udik, Pamulang, Tangerang Selatan</t>
  </si>
  <si>
    <t>0852 86623421 / 021.8859914</t>
  </si>
  <si>
    <t>Mandiri : 1250005384037</t>
  </si>
  <si>
    <t>57.052.395.1.407.000</t>
  </si>
  <si>
    <t>3275026404830019</t>
  </si>
  <si>
    <t>0001653611804 -KELUARGA</t>
  </si>
  <si>
    <t>atiek_desu@yahoo.com</t>
  </si>
  <si>
    <t>terminated 23/11/2017 SP 1 &amp; 2</t>
  </si>
  <si>
    <t>OS1608001</t>
  </si>
  <si>
    <t>RR Nova Utami Carmeliya</t>
  </si>
  <si>
    <t>Jakarta, 19 Oktober 1975</t>
  </si>
  <si>
    <t>S1 PSIKOLOGI</t>
  </si>
  <si>
    <t>Talent Acquisiton Lead</t>
  </si>
  <si>
    <t>Amelia Anes Ganeshanty &lt;amelia.g@samsung.com&gt;</t>
  </si>
  <si>
    <t>Jl. Cakrawijaya V Blok L-4 Rt/Rw.004/012 Cipinang Muara, Jatinegara, Jakarta Timur</t>
  </si>
  <si>
    <t>0818905884 / 021-8500704</t>
  </si>
  <si>
    <t>BCA : 2721296808</t>
  </si>
  <si>
    <t>49.895.006.2-002.000</t>
  </si>
  <si>
    <t>3175035910750007</t>
  </si>
  <si>
    <t>0001649998315 OK</t>
  </si>
  <si>
    <t>novahernadi@yahoo.com</t>
  </si>
  <si>
    <t>OS1703034</t>
  </si>
  <si>
    <t>Muhajir</t>
  </si>
  <si>
    <t>Ujung Pandang, 16 September 1985</t>
  </si>
  <si>
    <t>Palu</t>
  </si>
  <si>
    <t>Hybrid Salesman Palu</t>
  </si>
  <si>
    <t>rheinhard.m@samsung.com</t>
  </si>
  <si>
    <t>Jl. Cendana No.178 Rt/Rw.003/009 Paropo, Panakkukang, Kota Makassar, Sulawesi Selatan</t>
  </si>
  <si>
    <t>MANDIRI : 1520007216274</t>
  </si>
  <si>
    <t>14.784.088.880.5.000</t>
  </si>
  <si>
    <t>7371091609850001</t>
  </si>
  <si>
    <t>muhajir.dj85@gmail.com</t>
  </si>
  <si>
    <t>terminated 12/11/2017</t>
  </si>
  <si>
    <t xml:space="preserve">trifo_meinorys23@yahoo.co.id       </t>
  </si>
  <si>
    <t>terminated 8/11/2017</t>
  </si>
  <si>
    <t>OS1704037</t>
  </si>
  <si>
    <t>Adriani Fabiola</t>
  </si>
  <si>
    <t>Jakarta, 20 Februari 1986</t>
  </si>
  <si>
    <t>OT &amp; Asuransi = nova</t>
  </si>
  <si>
    <t>Jl. Patiunus No.15 Rt/Rw.003/004 Gunung, Kebayoran Baru, Jakarta Selatan</t>
  </si>
  <si>
    <t xml:space="preserve">Mandiri : 1020006666280   </t>
  </si>
  <si>
    <t xml:space="preserve">89.053.427.4-064.000   </t>
  </si>
  <si>
    <t xml:space="preserve">3174076002860001   </t>
  </si>
  <si>
    <t>0001775582695 klinik pertamedika tugu</t>
  </si>
  <si>
    <t xml:space="preserve"> fabiola.siregar@gmail.com       </t>
  </si>
  <si>
    <t>OS1705002</t>
  </si>
  <si>
    <t>Dedy Angsuriady</t>
  </si>
  <si>
    <t>Toli-toli, 26 Februari 1988</t>
  </si>
  <si>
    <t>Salesman Secondary City Jayapura</t>
  </si>
  <si>
    <t>Jl. Anuang Lr 3 No.51 D Rt/Rw.001/004 Maricaya, Makassar, Kota Makassar</t>
  </si>
  <si>
    <t xml:space="preserve">BCA : 0250939906   </t>
  </si>
  <si>
    <t xml:space="preserve">725215891951000   </t>
  </si>
  <si>
    <t>7371042602880001</t>
  </si>
  <si>
    <t xml:space="preserve">dedyangsuriady@gmail.com       </t>
  </si>
  <si>
    <t>terminated 14/11/2017</t>
  </si>
  <si>
    <t>OS1704046</t>
  </si>
  <si>
    <t>Agung Sutopo</t>
  </si>
  <si>
    <t>Samarinda, 10 November 1985</t>
  </si>
  <si>
    <t>Samarinda</t>
  </si>
  <si>
    <t>Salesman Secondary City Samarinda</t>
  </si>
  <si>
    <t>M. Agustian Pasmah (muhammad.p@samsung.com)</t>
  </si>
  <si>
    <t>Jl. Cipto Mangun Kusumo N0.74 RT 4, Kelurahan Gunung panjang, Samarinda seberang. Samarinda  - Indonesia 75124</t>
  </si>
  <si>
    <t xml:space="preserve">0822 5181 6782  / 0541 262 414   </t>
  </si>
  <si>
    <t xml:space="preserve">Mandiri :  148-000-502-3604 </t>
  </si>
  <si>
    <t xml:space="preserve">165853045722000   </t>
  </si>
  <si>
    <t xml:space="preserve">6472021011850002   </t>
  </si>
  <si>
    <t xml:space="preserve"> 15060138938 </t>
  </si>
  <si>
    <t xml:space="preserve"> 0001922824326 harapan baru pkm </t>
  </si>
  <si>
    <t xml:space="preserve">agung.soetopo88@gmail.com       </t>
  </si>
  <si>
    <t>terminated 30/11/2017 payment untill last contract</t>
  </si>
  <si>
    <t>OS1705046</t>
  </si>
  <si>
    <t>Hendrick</t>
  </si>
  <si>
    <t>Tanjungpinang, 24 September 1994</t>
  </si>
  <si>
    <t>KAM Batam</t>
  </si>
  <si>
    <t>Yacub Fong (yacub.y@samsung.com)</t>
  </si>
  <si>
    <t>Bakar Batu No.7B Rt/Rw.004/004 Kamboja, Tanjungpinang Barat, Kota Tanjungpinang, Riau</t>
  </si>
  <si>
    <t>0856 6843 7721</t>
  </si>
  <si>
    <t>BCA : 3800553147</t>
  </si>
  <si>
    <t>2172012409940001</t>
  </si>
  <si>
    <t>0001152095218</t>
  </si>
  <si>
    <t>Chen.hendrick00@gmail.com</t>
  </si>
  <si>
    <t>resign 14/11/2017 refuse extend info user</t>
  </si>
  <si>
    <t>OS1707010</t>
  </si>
  <si>
    <t>Clarissa Aprilia</t>
  </si>
  <si>
    <t>Jakarta, 3 April 1996</t>
  </si>
  <si>
    <t>Talent Management Internship</t>
  </si>
  <si>
    <t>Amelia Anes Ganeshanty (amelia.g@samsung.com)</t>
  </si>
  <si>
    <t>Budi Indah Blok G Utara No. 6, Kel. Poris Gaga Kec. Batu Ceper, Kota Tangerang</t>
  </si>
  <si>
    <t xml:space="preserve">021-5416821   / 0895323858181  </t>
  </si>
  <si>
    <t xml:space="preserve">BCA : 6040850722   </t>
  </si>
  <si>
    <t xml:space="preserve">3671034304960002   </t>
  </si>
  <si>
    <t xml:space="preserve">apriliaclarisa@rocketmail.com       </t>
  </si>
  <si>
    <t>TERMINATED 23/11/2017</t>
  </si>
  <si>
    <t xml:space="preserve"> OS1708051</t>
  </si>
  <si>
    <t>Sari Isnawati</t>
  </si>
  <si>
    <t>Banjarmasin, 22 Desember 1981</t>
  </si>
  <si>
    <t>S1 Sosial Ekonomi Pertanian</t>
  </si>
  <si>
    <t>CE DA Salesman Banjarmasin</t>
  </si>
  <si>
    <t>Hamberani</t>
  </si>
  <si>
    <t>Jl. Karya Bakti No. 41 RT 40 / RW 03, Kel. Kuin Cerucuk Kec. Banjarmasin Barat, Kota Banjarmasin</t>
  </si>
  <si>
    <t>+628125016204</t>
  </si>
  <si>
    <t>Mandiri : 031.00.1054308.3</t>
  </si>
  <si>
    <t>24.745.450.7-731.000</t>
  </si>
  <si>
    <t>6371036212810005</t>
  </si>
  <si>
    <t>13013274975</t>
  </si>
  <si>
    <t>0001628730753</t>
  </si>
  <si>
    <t>sari.isnawati@ymail.com</t>
  </si>
  <si>
    <t>OS1510003</t>
  </si>
  <si>
    <t>Stefanus Adriyanto Budiman</t>
  </si>
  <si>
    <t>Semarang, 20 November 1983</t>
  </si>
  <si>
    <t>S1 LAW</t>
  </si>
  <si>
    <t>Purwokerto</t>
  </si>
  <si>
    <t>DA Secondary City Salesman Purwokerto</t>
  </si>
  <si>
    <t xml:space="preserve">Denny Triono (denny.t@samsung.com) </t>
  </si>
  <si>
    <t>Jl. Ngaglik Baru No.43 Rt/Rw.005/001 Bendungan, Gajah Mungkur, Kota Semarang</t>
  </si>
  <si>
    <t>081901374111</t>
  </si>
  <si>
    <t>BCA : 4620431988</t>
  </si>
  <si>
    <t>58.119.090.7-518.000</t>
  </si>
  <si>
    <t>3374062011830007</t>
  </si>
  <si>
    <t>steven.831120@gmail.com</t>
  </si>
  <si>
    <t>Resign 1/12/2017, last day 30/11/17</t>
  </si>
  <si>
    <t>OS1710003</t>
  </si>
  <si>
    <t>Chandra Wicaksono</t>
  </si>
  <si>
    <t>Jember, 24 Juni 1980</t>
  </si>
  <si>
    <t>Mataram</t>
  </si>
  <si>
    <t>Retail Sales Marketing Officer (RSMO) Mataram</t>
  </si>
  <si>
    <t>timotius.a@samsung.com</t>
  </si>
  <si>
    <t>Taman Gading Blok AY 25 RT 02 / RW 40, Kel. Tegal Besar Kec. Kaliwates, Jember</t>
  </si>
  <si>
    <t xml:space="preserve"> 081 225669669</t>
  </si>
  <si>
    <t>CIMB Niaga : 703236582900, a.n. Candra Wicaksono</t>
  </si>
  <si>
    <t>340498229626000</t>
  </si>
  <si>
    <t>3509272406800003</t>
  </si>
  <si>
    <t>om_cander@yahoo.co.id</t>
  </si>
  <si>
    <t>resign 27/10/2017</t>
  </si>
  <si>
    <t>OS1709032</t>
  </si>
  <si>
    <t>Christian Danny Wijanarko</t>
  </si>
  <si>
    <t>Semarang, 28 Desember 1989</t>
  </si>
  <si>
    <t>DA Direct Salesman Denpasar</t>
  </si>
  <si>
    <t>Tanjung Soegiarto (tanjug.s@samsung.com)</t>
  </si>
  <si>
    <t>Pekunden Tengah 1085-A RT 04 / RW 02, Kel. Pekunden Kec. Semarang Tengah, Kota Semarang</t>
  </si>
  <si>
    <t>085640406645</t>
  </si>
  <si>
    <t>463035907512000</t>
  </si>
  <si>
    <t>3374012812890001</t>
  </si>
  <si>
    <t>0002099590659</t>
  </si>
  <si>
    <t>christiandannyw@gmail.com</t>
  </si>
  <si>
    <t>terminated 2/10/2017 penggelapan uang dealer</t>
  </si>
  <si>
    <t>OS1508021</t>
  </si>
  <si>
    <t>Henry</t>
  </si>
  <si>
    <t>Jakarta, 3 Oktober 1986</t>
  </si>
  <si>
    <t>S2 MAGISTER MANAJEMEN (KEUANGAN)</t>
  </si>
  <si>
    <t>DA Direct Salesman Jakarta</t>
  </si>
  <si>
    <t>Felix Chandra(felix.c@samsung.com)</t>
  </si>
  <si>
    <t>Kebon Nanas Utara II RT 03 / RW 04, Kel. Cipinang Kec. Cempedak, Jakarta Timur</t>
  </si>
  <si>
    <t>021.8510861 / 081317943532</t>
  </si>
  <si>
    <t>BCA : 5740116764</t>
  </si>
  <si>
    <t>68.093.936.0-002.000</t>
  </si>
  <si>
    <t>3175030310860015</t>
  </si>
  <si>
    <t>0001653611758</t>
  </si>
  <si>
    <t>enrylau@gmail.com</t>
  </si>
  <si>
    <t>TERMINATED 30/11/2017</t>
  </si>
  <si>
    <t xml:space="preserve">OS1711001 </t>
  </si>
  <si>
    <t>Frisanty Marisa Sari</t>
  </si>
  <si>
    <t>Jakarta, 26 Maret 1995</t>
  </si>
  <si>
    <t>Jl. Anjasmara Raya No. 207 RT 06 / RW 10 Kel. Mekarjaya Kec. Sukmajaya, Kota Depok</t>
  </si>
  <si>
    <t>812 8310 9630</t>
  </si>
  <si>
    <t>BCA : 6610678201</t>
  </si>
  <si>
    <t>3276056603950006</t>
  </si>
  <si>
    <t>frysmarissa@gmail,com</t>
  </si>
  <si>
    <t>resign 13/11/2017, hold gaji</t>
  </si>
  <si>
    <t xml:space="preserve"> OS1710054</t>
  </si>
  <si>
    <t>Burhanuddin</t>
  </si>
  <si>
    <t>Ujung Pandang, 20 Februari 1985</t>
  </si>
  <si>
    <t>SMU Science</t>
  </si>
  <si>
    <t>AV Sales Ambon &amp; Kendari</t>
  </si>
  <si>
    <t>Jl. Andi Tonro IV. Griya Harapan Andi Tonro Blok E/22, Makassar</t>
  </si>
  <si>
    <t>0812 4869 0164</t>
  </si>
  <si>
    <t>BCA : 4050 2428 76</t>
  </si>
  <si>
    <t>472835529804000</t>
  </si>
  <si>
    <t>7371132002850008</t>
  </si>
  <si>
    <t>11034232980</t>
  </si>
  <si>
    <t>burhan.ssng@gmail.com</t>
  </si>
  <si>
    <t>OS1711008</t>
  </si>
  <si>
    <t>Muhammad Iqbal Azikin</t>
  </si>
  <si>
    <t>Ujung Pandang, 12 Maret 1987</t>
  </si>
  <si>
    <t>AV Sales Sulawesi Selatan</t>
  </si>
  <si>
    <t>Rheinhard (rheinhard.m@samsung.com)</t>
  </si>
  <si>
    <t>BTN. Minasa Upa Blok N19/1, Makassar - South Sulawesi</t>
  </si>
  <si>
    <t>081343804684 / 0411-888832</t>
  </si>
  <si>
    <t>MANDIRI : 174 0000 830 752</t>
  </si>
  <si>
    <t>16.705.414.7-805.000</t>
  </si>
  <si>
    <t>7371131203870000</t>
  </si>
  <si>
    <t>13019321051</t>
  </si>
  <si>
    <t>iqbalazikin@gmail.com</t>
  </si>
  <si>
    <t>OS1709028</t>
  </si>
  <si>
    <t>Ketut Vinon Parta Wijaya</t>
  </si>
  <si>
    <t>Mataram, 21 Agustus 1994</t>
  </si>
  <si>
    <t>Internship Budgeting Project</t>
  </si>
  <si>
    <t>Bornok Rumata &lt;bornok.r@samsung.com&gt;</t>
  </si>
  <si>
    <t>Jl. Kerta Dalem No. 1 DPS, BR/Link. Kerta Dalem, Kel. Sidakarya Kec. Denpasar Selatan, Kota Denpasar</t>
  </si>
  <si>
    <t>087860095020 / 0361 - 4745791</t>
  </si>
  <si>
    <t>Mandiri : 1450010194070</t>
  </si>
  <si>
    <t>81.954.690.4-412.000</t>
  </si>
  <si>
    <t>5171012108940004</t>
  </si>
  <si>
    <t>ketut.vinon@sbm-itb.ac.id</t>
  </si>
  <si>
    <t>resign 20/11/2017</t>
  </si>
  <si>
    <t>Bob Limios</t>
  </si>
  <si>
    <t>Batam, 3 Desember 1994</t>
  </si>
  <si>
    <t>Retail Sales Marketing Officer (RSMO) Jakarta =&gt; RSMO Modern Channel Jakarta</t>
  </si>
  <si>
    <t>NAYAKA</t>
  </si>
  <si>
    <t>Komp. Anggrek Mas Blok I No. 82 RT 02 / RW 06, Kel. Taman Baloi Kec. Batam Kota, Batam</t>
  </si>
  <si>
    <t>081288333168</t>
  </si>
  <si>
    <t>BCA : 5271246979</t>
  </si>
  <si>
    <t>830510749225000</t>
  </si>
  <si>
    <t>2171100312949001</t>
  </si>
  <si>
    <t>boblimios@gmail.com</t>
  </si>
  <si>
    <t>OS1412017</t>
  </si>
  <si>
    <t>increase 5% eff 29 dec '16 prev BS 7.665.000; increase 5% eff 1 Mar'16 prev BS 7.300.000</t>
  </si>
  <si>
    <t>terminated 29/12/2017, break 3 bln ke Permata</t>
  </si>
  <si>
    <t>OS1709020</t>
  </si>
  <si>
    <t>Vinka Syamdia Putri</t>
  </si>
  <si>
    <t>Bogor, 7 Juni 1995</t>
  </si>
  <si>
    <t>HC L&amp;D Intern</t>
  </si>
  <si>
    <t>Villa Citra Bantarjati A.1 No. 17 RT 02 / RW 11, Kec. Tegal Gundil Kel. Kota Bogor Utara, Kota Bogor</t>
  </si>
  <si>
    <t>081317564217</t>
  </si>
  <si>
    <t>BCA : 4582263985</t>
  </si>
  <si>
    <t>3271054706950004</t>
  </si>
  <si>
    <t>vinkasyamdia@yahoo.com, vinka.s@partner.samsung.com</t>
  </si>
  <si>
    <t>resign 29/12/2017</t>
  </si>
  <si>
    <t>OS1709047</t>
  </si>
  <si>
    <t>S1 ECONOMIC ACCOUNTING</t>
  </si>
  <si>
    <t>AV Salesman Lampung</t>
  </si>
  <si>
    <t xml:space="preserve">Darwin (Darwin.d@samsung.com) </t>
  </si>
  <si>
    <t>resign 1/1/2018</t>
  </si>
  <si>
    <t>OS1711010</t>
  </si>
  <si>
    <t>Ghaziary Farizan</t>
  </si>
  <si>
    <t>Jakarta, 30 Maret 1996</t>
  </si>
  <si>
    <t>IM Product Marketing Intern</t>
  </si>
  <si>
    <t>Ricky Bunardi/ricky.b@samsung.com/0817 0019197</t>
  </si>
  <si>
    <t>Jl. Laut Banda D11/1A Duren Sawit, Jakarta Timur</t>
  </si>
  <si>
    <t>081295360761</t>
  </si>
  <si>
    <t>BNI : 6633337771</t>
  </si>
  <si>
    <t>3175073003960003</t>
  </si>
  <si>
    <t>ghaziary.f@gmail.com, ghaziary.f@partner.samsung.com</t>
  </si>
  <si>
    <t>Resign 15/12/2017</t>
  </si>
  <si>
    <t>OS1709014</t>
  </si>
  <si>
    <t>Retail Visibility Intern =&gt; Retail Tech intern 6/12/2017</t>
  </si>
  <si>
    <t>OS1709016</t>
  </si>
  <si>
    <t>Jakarta,  5 Januari 1996</t>
  </si>
  <si>
    <t>HC Ops Intern</t>
  </si>
  <si>
    <t>Robin Garingging (r.garingging@samsung.com)</t>
  </si>
  <si>
    <t>Jalan Bhisma 1 no. 18 Indraprasta 2 Tegal Gundil Bogor Utara</t>
  </si>
  <si>
    <t>OS1711009</t>
  </si>
  <si>
    <t>Clarisha Octavia Widjaja</t>
  </si>
  <si>
    <t>Surabaya, 25 Oktober 1995</t>
  </si>
  <si>
    <t>Galaxy Master Internship Surabaya</t>
  </si>
  <si>
    <t>erwin.b@samsung.com</t>
  </si>
  <si>
    <t>Bendulmerisi Selatan 21 RT 07 / 10, Kel. Bendul Merisi Kec. Wonocolo, Kota Surabaya</t>
  </si>
  <si>
    <t>031-8433535 / 087852510300</t>
  </si>
  <si>
    <t>: 6265002530</t>
  </si>
  <si>
    <t>3578026510950003</t>
  </si>
  <si>
    <t>clarishaoctavia@gmail.com</t>
  </si>
  <si>
    <t>cancel join 1/11/2017</t>
  </si>
  <si>
    <t>OS1802001</t>
  </si>
  <si>
    <t>Edy Saputra Nugraha</t>
  </si>
  <si>
    <t>Jakarta, 19 Juli 1987</t>
  </si>
  <si>
    <t>Technical Support Home Appliance</t>
  </si>
  <si>
    <t>cecep.s@samsung.com</t>
  </si>
  <si>
    <t>Jl. Bungur No. 2 RT 03 / RW 11, Kel. Depok Kec. Pancoran Mas, Kota Depok</t>
  </si>
  <si>
    <t>089656259596</t>
  </si>
  <si>
    <t>3204461907870001</t>
  </si>
  <si>
    <t>frozzen_air@yahoo.com</t>
  </si>
  <si>
    <t>OS1707003</t>
  </si>
  <si>
    <t>Alfin Chairil Sidiq</t>
  </si>
  <si>
    <t>Bandung, 16 Maret 1991</t>
  </si>
  <si>
    <t>S1 Ekonomi Management</t>
  </si>
  <si>
    <t>ardi.g@samsung.com</t>
  </si>
  <si>
    <t>Kp. Langonsari Rt/Rw.003/003 Langonsari, Pameungpeuk, Kab. Bandung, Jawa Barat</t>
  </si>
  <si>
    <t>022-87799963 / 081320030621</t>
  </si>
  <si>
    <t>BCA : 4380011790</t>
  </si>
  <si>
    <t>898586508445000</t>
  </si>
  <si>
    <t>3204141603910001</t>
  </si>
  <si>
    <t>10014371172</t>
  </si>
  <si>
    <t>alfinchairilsidiq@gmail.com, alfin.s@partner.samsung.com</t>
  </si>
  <si>
    <t>terminated 10/1/2018 move permata</t>
  </si>
  <si>
    <t>Ardi Gustira Mahardika</t>
  </si>
  <si>
    <t>OS1707004</t>
  </si>
  <si>
    <t>Michael Halim Jungestian</t>
  </si>
  <si>
    <t>Jakarta, 2 Juni 1987</t>
  </si>
  <si>
    <t>Jl. Paradise III Blok F4 No.7 Rt/Rw.003/012 Sunter Agung, Tanjung Priok, Jakarta</t>
  </si>
  <si>
    <t>021-6522418 / 081287222688</t>
  </si>
  <si>
    <t>BCA : 2060302688</t>
  </si>
  <si>
    <t>34.060.545.0-045.000</t>
  </si>
  <si>
    <t>317204020687009</t>
  </si>
  <si>
    <t>15028359105</t>
  </si>
  <si>
    <t>0002217544053</t>
  </si>
  <si>
    <t>michaelwihau@gmail.com, michael.halim2688@yahoo.com, michael.hj@partner.samsung.com</t>
  </si>
  <si>
    <t>OS1706012</t>
  </si>
  <si>
    <t>Arian Priaga</t>
  </si>
  <si>
    <t>Kuningan, 20 September 1991</t>
  </si>
  <si>
    <t>S1 Management</t>
  </si>
  <si>
    <t>Retail Sales Marketing Officer (RSMO) Bandung</t>
  </si>
  <si>
    <t>Fendy (fendy.f@samsung.com)</t>
  </si>
  <si>
    <t>Bumi Panyileukan C.10 No. 1 RT 01 / RW 03, Kel. Cipadung Kidul Kec. Panyileukan, Kota Bandung</t>
  </si>
  <si>
    <t>081222810296 / 087824161570</t>
  </si>
  <si>
    <t>BCA : 3462705848</t>
  </si>
  <si>
    <t>66.965.976.5-429.000</t>
  </si>
  <si>
    <t>3273282009910001</t>
  </si>
  <si>
    <t>15033344241</t>
  </si>
  <si>
    <t>0000057742637</t>
  </si>
  <si>
    <t>arianpriaga20@gmail.com, arian.p@partner.samsung.com</t>
  </si>
  <si>
    <t>Fendy .</t>
  </si>
  <si>
    <t>OS1706013</t>
  </si>
  <si>
    <t>Yohanes Edi Yanto</t>
  </si>
  <si>
    <t>Bukit Tinggi, 10 Oktober 1990</t>
  </si>
  <si>
    <t>S1 Ilmu Politik</t>
  </si>
  <si>
    <t>Retail Sales Marketing Officer (RSMO) Batam</t>
  </si>
  <si>
    <t>Jing Hermanto (jing.h@samsung.com)</t>
  </si>
  <si>
    <t>Ranah Jorong Batang Buo, Kel. Biaro Gadang Kec. Ampek Angkek, Agam</t>
  </si>
  <si>
    <t>081261458776 / 081322906715</t>
  </si>
  <si>
    <t>BCA : 3800261171</t>
  </si>
  <si>
    <t>720267475214000</t>
  </si>
  <si>
    <t>1306071010900000</t>
  </si>
  <si>
    <t>anes_oct@yahoo.co.id, yohanes.e@partner.samsung.com</t>
  </si>
  <si>
    <t>Jing Hermanto</t>
  </si>
  <si>
    <t>OS1707005</t>
  </si>
  <si>
    <t>Gilang Rahadi Adiwijaya</t>
  </si>
  <si>
    <t>Ciamis, 27 November 1991</t>
  </si>
  <si>
    <t xml:space="preserve">S1 </t>
  </si>
  <si>
    <t>Bela Reza Tanjung (b.reza@samsung.com)</t>
  </si>
  <si>
    <t>Singandaru, RT 01 / RW 08, Kel. Kawalimukti Kec. Kawali, Ciamis</t>
  </si>
  <si>
    <t>0838-24109966 / 0812-30707565</t>
  </si>
  <si>
    <t>BCA : 1380360060</t>
  </si>
  <si>
    <t>71.354.761.0-442.000</t>
  </si>
  <si>
    <t>3207092711910001</t>
  </si>
  <si>
    <t>0000071753657</t>
  </si>
  <si>
    <t>giar.seven@gmail.com, gilang_rahadi@yahoo.com, gilang.r@partner.samsung.com</t>
  </si>
  <si>
    <t>Bela Reza Tanjung</t>
  </si>
  <si>
    <t>OS1707012</t>
  </si>
  <si>
    <t>Fadli Hidayat</t>
  </si>
  <si>
    <t>Cilacap, 9 Februari 1991</t>
  </si>
  <si>
    <t>Jogjakarta</t>
  </si>
  <si>
    <t>Retail Sales Marketing Officer (RSMO) Jogjakarta</t>
  </si>
  <si>
    <t>M. Fathul Aziz (fathul.a@samsung.com)</t>
  </si>
  <si>
    <t>Sidanegara Indah Blok 6 No. 199 RT 01 / RW 19, Kel. Sidanegara Kec. Cilacap Tengah, Cilacap</t>
  </si>
  <si>
    <t xml:space="preserve">085647762185   / 081234423516  </t>
  </si>
  <si>
    <t xml:space="preserve">Mandiri : 1390009915293   </t>
  </si>
  <si>
    <t xml:space="preserve">70.157.784.3-522.000   </t>
  </si>
  <si>
    <t xml:space="preserve">3301220902910003   </t>
  </si>
  <si>
    <t>14037812592</t>
  </si>
  <si>
    <t xml:space="preserve">0001653084887   </t>
  </si>
  <si>
    <t>fadlihyde@gmail.com       , fadli.h@partner.samsung.com</t>
  </si>
  <si>
    <t>M. Fathul Aziz Ansori</t>
  </si>
  <si>
    <t>OS1707016</t>
  </si>
  <si>
    <t>Vially Octaaf Gratianno Bernhard Kaparang</t>
  </si>
  <si>
    <t>Tomohon, 11 Oktober 1990</t>
  </si>
  <si>
    <t>S2 Magistes Management</t>
  </si>
  <si>
    <t>Adi Poernomo (adi.p@samsung.com) / daniel.a@samsung.com</t>
  </si>
  <si>
    <t>Kel. Paslaten Dua Kingk. I, Kec. Tomohon Timur, Kota Tomohon</t>
  </si>
  <si>
    <t>08174999898 / 085333535338</t>
  </si>
  <si>
    <t>BCA : 1700293838</t>
  </si>
  <si>
    <t>70.763.117.2-618.000</t>
  </si>
  <si>
    <t>7173041110900001</t>
  </si>
  <si>
    <t>13004848225</t>
  </si>
  <si>
    <t>0001615627034</t>
  </si>
  <si>
    <t>viallykaparang@gmail.com, vially.o@partner.samsung.com</t>
  </si>
  <si>
    <t>Adi Purnomo</t>
  </si>
  <si>
    <t>OS1707033</t>
  </si>
  <si>
    <t>Befin Amanda Putra</t>
  </si>
  <si>
    <t>Banyuwangi, 29 April 1991</t>
  </si>
  <si>
    <t>S1 TEKNOLOGI PENDIDIKAN</t>
  </si>
  <si>
    <t>Retail Sales Marketing Officer (RSMO) Bali</t>
  </si>
  <si>
    <t>Timotius Asmara Jaya (timotius.a@samsung.com)</t>
  </si>
  <si>
    <t>Jl. Danau Belayan 2 H 17 RT 08 / RW 07, Kel. Lesanpuro Kec. Kedungkandang, Kota Malang</t>
  </si>
  <si>
    <t>085646943238</t>
  </si>
  <si>
    <t>MANDIRI : 900-00-2203525-8</t>
  </si>
  <si>
    <t>46.236.959.6-905.000</t>
  </si>
  <si>
    <t>5103052904910005</t>
  </si>
  <si>
    <t>0001457103385</t>
  </si>
  <si>
    <t>befin.putra@gmail.com, befin.a@partner.samsung.com</t>
  </si>
  <si>
    <t>Asmara Jaya Mahaputra</t>
  </si>
  <si>
    <t>OS1708009</t>
  </si>
  <si>
    <t>Azys Sufriyadi</t>
  </si>
  <si>
    <t>Sukabumi, 6 Februari 1987</t>
  </si>
  <si>
    <t>S1 Information System</t>
  </si>
  <si>
    <t>Ardi Gastri (ardi.g@samsung.com)</t>
  </si>
  <si>
    <t>400 =&gt; 750 seharusnya</t>
  </si>
  <si>
    <t>Jl. Teratai VII A-9 No. 3 Taman Duta RT 04 / RW 10, Kel. Cisalak Kec. Sukamajaya, Kota Depok</t>
  </si>
  <si>
    <t>081280003438 / 0816993953</t>
  </si>
  <si>
    <t>MANDIRI : 1380013985184</t>
  </si>
  <si>
    <t>092395938405000</t>
  </si>
  <si>
    <t>3202170602870005</t>
  </si>
  <si>
    <t>azys.sufriyadi@gmail.com, azys.s@partner.samsung.com</t>
  </si>
  <si>
    <t>OS1708010</t>
  </si>
  <si>
    <t>Adam Budiman Nugroho</t>
  </si>
  <si>
    <t>Semarang, 21 November 1989</t>
  </si>
  <si>
    <t>Semarang =&gt; Pekalongan</t>
  </si>
  <si>
    <t>Retail Sales Marketing Officer (RSMO) Semarang</t>
  </si>
  <si>
    <t>Dwi Djatmiko (d.djatmiko@samsung.com)</t>
  </si>
  <si>
    <t>Jl. Suren Timur Dalam 179 RT 05 / RW 05, Kel. Padangsari Kec. Banyumanik, Kota Semarang</t>
  </si>
  <si>
    <t>081226012533</t>
  </si>
  <si>
    <t>MANDIRI : 136 00 1575320 2</t>
  </si>
  <si>
    <t>70.069.108.2-517.000</t>
  </si>
  <si>
    <t>3374112111890003</t>
  </si>
  <si>
    <t>14019620138</t>
  </si>
  <si>
    <t>0000077264346</t>
  </si>
  <si>
    <t>arindo.multi.tama@gmail.com, adam.bn@partner.samsung.com</t>
  </si>
  <si>
    <t>Dwi Djatmiko Sutrisno</t>
  </si>
  <si>
    <t>OS1708011</t>
  </si>
  <si>
    <t>Yessa Gusti Alexander</t>
  </si>
  <si>
    <t>Jakarta, 18 Juni 1991</t>
  </si>
  <si>
    <t>S1 Marketing Management</t>
  </si>
  <si>
    <t>Jl. Fatmawati Asri D-12 RT 07 / RW 25, Kel. Sendangmulyo Kec. Tembalang, Kota Semarang</t>
  </si>
  <si>
    <t>082133184577</t>
  </si>
  <si>
    <t>BCA : 8915105269</t>
  </si>
  <si>
    <t>70.314.773.6-517.000</t>
  </si>
  <si>
    <t>3404071806910006</t>
  </si>
  <si>
    <t>15003786520</t>
  </si>
  <si>
    <t>0001691135605</t>
  </si>
  <si>
    <t>yessa.alexander@yahoo.com, yessa.ga@partner.samsung.com</t>
  </si>
  <si>
    <t>OS1708013</t>
  </si>
  <si>
    <t>Ardi Albert</t>
  </si>
  <si>
    <t>Parepare, 21 Maret 1988</t>
  </si>
  <si>
    <t>S1 ECONOMIC MANAGEMENT</t>
  </si>
  <si>
    <t>Retail Sales Marketing Officer (RSMO) Makassar</t>
  </si>
  <si>
    <t xml:space="preserve">Bondan Roemandi (bondan.r@samsung.com) </t>
  </si>
  <si>
    <t>Perum Pantai Indah Soreang RT 01 / RW 04, Kel. Wattang Soreang Kec. Soreang, Kota Parepare</t>
  </si>
  <si>
    <t>08114600388</t>
  </si>
  <si>
    <t>MANDIRI : 1700000307482</t>
  </si>
  <si>
    <t>706686284801000</t>
  </si>
  <si>
    <t>7372032103880007</t>
  </si>
  <si>
    <t>ardi.albert@gmail.com, ardi.aa@partner.samsung.com</t>
  </si>
  <si>
    <t>Bondan Roemandi</t>
  </si>
  <si>
    <t>OS1708014</t>
  </si>
  <si>
    <t>Vino Wahyu Sarsena Haries</t>
  </si>
  <si>
    <t>Surabaya, 28 Oktober 1979</t>
  </si>
  <si>
    <t>Jl. Wisma Permai 1/101 RT 01 / RW 05, Kel. Mulyorejo Kec. Mulyorejo, Kota Surabaya</t>
  </si>
  <si>
    <t>031 - 5933022 / '081330546979</t>
  </si>
  <si>
    <t>BCA : 3890484891 a.n Mulyosari</t>
  </si>
  <si>
    <t>478691272619000</t>
  </si>
  <si>
    <t>3578262810790003</t>
  </si>
  <si>
    <t>0001260248894</t>
  </si>
  <si>
    <t>vinowahyu@yahoo.co.id, vino.w@partner.samsung.com</t>
  </si>
  <si>
    <t>OS1708015</t>
  </si>
  <si>
    <t>Petrus Arinda</t>
  </si>
  <si>
    <t>Jakarta, 21 Januari 1986</t>
  </si>
  <si>
    <t>Retail Sales Marketing Officer (RSMO) Modern Channel Jakarta</t>
  </si>
  <si>
    <t>Nayaka Buana (nayaka.b@samsung.com)</t>
  </si>
  <si>
    <t>Jl. Tebet Dalam II/26 RT 06 / RW 01, Kel. Tebet Barat Kec. Tebet, Jakarta Selatan</t>
  </si>
  <si>
    <t>081212613237</t>
  </si>
  <si>
    <t>BCA : 0921351711</t>
  </si>
  <si>
    <t>09.530.038.0-015.000</t>
  </si>
  <si>
    <t>3174012101860010</t>
  </si>
  <si>
    <t>11012562606</t>
  </si>
  <si>
    <t>0001738407284</t>
  </si>
  <si>
    <t>arvindapattynasarane@gmail.com, p.arinda@partner.samsung.com</t>
  </si>
  <si>
    <t>Nayaka Buana</t>
  </si>
  <si>
    <t>OS1708016</t>
  </si>
  <si>
    <t>Komarul Hidayat</t>
  </si>
  <si>
    <t>Madiun, 31 Juli 1984</t>
  </si>
  <si>
    <t>Jl. Pelita Tama No. 7 RT 10 / RW 03, Kel. Rejomulyo Kec. Kartoharjo, Kota Madiun</t>
  </si>
  <si>
    <t xml:space="preserve">082233355789 </t>
  </si>
  <si>
    <t xml:space="preserve">BCA : 2000 446311 </t>
  </si>
  <si>
    <t>71.858.100.2-621.000</t>
  </si>
  <si>
    <t>3509213107840001</t>
  </si>
  <si>
    <t>0001434858041</t>
  </si>
  <si>
    <t>Aroel.Gti@gmail.com , komarul.h@partner.samsung.com</t>
  </si>
  <si>
    <t>OS1709003</t>
  </si>
  <si>
    <t>M. Paul Aulino</t>
  </si>
  <si>
    <t>Diski, 4 April 1983</t>
  </si>
  <si>
    <t>Bandar Jaya</t>
  </si>
  <si>
    <t>Retail Sales Marketing Officer (RSMO) Bandar Jaya</t>
  </si>
  <si>
    <t>Ririn Destyana  (ririn.d@samsung.com)</t>
  </si>
  <si>
    <t>Dusun XII Konggo Kongsi Nomor Empat Belas, Kel. Sei Semayang Kec. Sunggal, Deli Serdang</t>
  </si>
  <si>
    <t>08116520551 / 081362330051</t>
  </si>
  <si>
    <t>MANDIRI : 106-00-0733883-6</t>
  </si>
  <si>
    <t>79.808.490.1-125.000</t>
  </si>
  <si>
    <t>1207230404830009</t>
  </si>
  <si>
    <t>15060202916</t>
  </si>
  <si>
    <t>0001882273678</t>
  </si>
  <si>
    <t>mpaul.simbolon@gmail.com, paul.a@partner.samsung.com</t>
  </si>
  <si>
    <t>Ririn Destiyana</t>
  </si>
  <si>
    <t xml:space="preserve"> OS1708023</t>
  </si>
  <si>
    <t>Surabaya, 17 September 1991</t>
  </si>
  <si>
    <t>Tegal</t>
  </si>
  <si>
    <t>Retail Sales Marketing Officer (RSMO) Tegal</t>
  </si>
  <si>
    <t>Dwi Djatmiko ( d.djatmiko@samsung.com)</t>
  </si>
  <si>
    <t>Manyar Sabrangan 152 RT 05 / RW 03, Kel. Manyar Sabrangan Kec. Mulyorejo, Kota Surabaya</t>
  </si>
  <si>
    <t>081938285922</t>
  </si>
  <si>
    <t>MANDIRI : 1410015522535</t>
  </si>
  <si>
    <t>715136222606000</t>
  </si>
  <si>
    <t>3578081709910001</t>
  </si>
  <si>
    <t>0001335674924</t>
  </si>
  <si>
    <t>FIRMAN.ALHABSYI@GMAIL.COM, firmansyah.f@partner.samsung.com</t>
  </si>
  <si>
    <t>OS1709004</t>
  </si>
  <si>
    <t>Jaka Pranata</t>
  </si>
  <si>
    <t>Medan, 25 Desember 1989</t>
  </si>
  <si>
    <t>Meulaboh</t>
  </si>
  <si>
    <t>Retail Sales Marketing Officer (RSMO) Meulaboh</t>
  </si>
  <si>
    <t>Ahmadi Wendhy  ( a.wendhy@samsung.com)</t>
  </si>
  <si>
    <t>Jl. Sei Batang Hari No. 53 RT 02 / RW 01, Babuka Sunggal, Medan Sunggal, Medan</t>
  </si>
  <si>
    <t>081362007789</t>
  </si>
  <si>
    <t>MANDIRI : 105-00-1241978-8</t>
  </si>
  <si>
    <t>359479235124000</t>
  </si>
  <si>
    <t>1271022512890001</t>
  </si>
  <si>
    <t>11018017076</t>
  </si>
  <si>
    <t>0001141098355</t>
  </si>
  <si>
    <t>JAKAPRANATA55@YAHOO.COM, jaka.p@partner.samsung.com</t>
  </si>
  <si>
    <t>Ahmadi Wendhy Triananda</t>
  </si>
  <si>
    <t xml:space="preserve"> OS1708024</t>
  </si>
  <si>
    <t>Purnomo</t>
  </si>
  <si>
    <t>Banjarnegara, 12 aug 1984</t>
  </si>
  <si>
    <t>Asahan</t>
  </si>
  <si>
    <t>Retail Sales Marketing Officer (RSMO) Asahan</t>
  </si>
  <si>
    <t>Ahmadi Wendhy ( a.wendhy@samsung.com)</t>
  </si>
  <si>
    <t>Jl. Asahan KM. 18.5 Huta I, Kel. Pematang Asilum Kec. Gunung Malela, Simalungun</t>
  </si>
  <si>
    <t>085261403740</t>
  </si>
  <si>
    <t>Mandiri : 1070005748969</t>
  </si>
  <si>
    <t>38.755.938.3.117.000</t>
  </si>
  <si>
    <t>1208021208840003</t>
  </si>
  <si>
    <t>10029626149</t>
  </si>
  <si>
    <t>0001138625278</t>
  </si>
  <si>
    <t>purnomokangpur@gmail.com, purnomofs@gmail.com, purnomo@partner.samsung.com</t>
  </si>
  <si>
    <t xml:space="preserve"> OS1708025</t>
  </si>
  <si>
    <t>Irfan Roshadi</t>
  </si>
  <si>
    <t>Surabaya, 28 November 1989</t>
  </si>
  <si>
    <t>Timotius Asmara Jaya (timoti.a@samsung.com)</t>
  </si>
  <si>
    <t>Sukodono, 3/40 RT 05 / RW 15, Kel. Ampel Kec. Semampir, Kota Surabaya</t>
  </si>
  <si>
    <t>081217103123</t>
  </si>
  <si>
    <t>BCA : 0885685001</t>
  </si>
  <si>
    <t>54.610.747.5-616.000</t>
  </si>
  <si>
    <t>3578162811890004</t>
  </si>
  <si>
    <t>15009748847</t>
  </si>
  <si>
    <t>0001607191672</t>
  </si>
  <si>
    <t>irfanroshadi@gmail.com, irfan.r@partner.samsung.com</t>
  </si>
  <si>
    <t>OS1709010</t>
  </si>
  <si>
    <t>Sendy Raymanda</t>
  </si>
  <si>
    <t>Samarinda, 9 Oktober 1987</t>
  </si>
  <si>
    <t>Retail Sales Marketing Officer (RSMO) Samarinda</t>
  </si>
  <si>
    <t>klay.andy@samsung.com, abdur.m@samsung.com</t>
  </si>
  <si>
    <t>Jl. Adam Malik Gg. Nihayah 4 RT 21, Kel. Karang Asam Ilir Kec. Sungai Kunjang, Kota Samarinda</t>
  </si>
  <si>
    <t xml:space="preserve">0821 5291 1783 </t>
  </si>
  <si>
    <t>BCA : 1911 681 825</t>
  </si>
  <si>
    <t>79.957.885.1-722.000</t>
  </si>
  <si>
    <t>6472 0409 1087 0003</t>
  </si>
  <si>
    <t>sendyraymanda7@gmail.com, sendy.r@partner.samsung.com</t>
  </si>
  <si>
    <t>Klay Andy</t>
  </si>
  <si>
    <t>OS1708055</t>
  </si>
  <si>
    <t>Chatrine Pratama</t>
  </si>
  <si>
    <t>Pontianak, 17 Jul 1994</t>
  </si>
  <si>
    <t>RSMO Modern Channel</t>
  </si>
  <si>
    <t>nayaka.b@samsung.com</t>
  </si>
  <si>
    <t>Jl. Cilangkap Baru No. 14 Rt 007 Rw 001, Desa Cilangkap, Kecamatan Cipayung, Jakarta Timur</t>
  </si>
  <si>
    <t>085212753666</t>
  </si>
  <si>
    <t>BCA : 6280987725</t>
  </si>
  <si>
    <t>3175105707940011</t>
  </si>
  <si>
    <t>17023823903</t>
  </si>
  <si>
    <t>chatrine.p@partner.samsung.com, c.pratama@partner.samsung.com</t>
  </si>
  <si>
    <t>OS1708057</t>
  </si>
  <si>
    <t>Muhammad Dimas Juniarto</t>
  </si>
  <si>
    <t>Prabumulih, 27 Jun 1990</t>
  </si>
  <si>
    <t>Komplek BPI Sasmita Loka Jl. Pelangi No. 02 Rt 003 Rw 012, Desa Pamulang Timur, Kecamatan Pamulang, Kota Tangerang Selatan</t>
  </si>
  <si>
    <t>083819702681</t>
  </si>
  <si>
    <t>BCA : 8800726981</t>
  </si>
  <si>
    <t>812993608453000</t>
  </si>
  <si>
    <t>3276042706900001</t>
  </si>
  <si>
    <t>17023824349</t>
  </si>
  <si>
    <t>mdimas.j@partner.samsung.com , dimas.mj@partner.samsung.com</t>
  </si>
  <si>
    <t>OS1708058</t>
  </si>
  <si>
    <t>Samuel Ryan Jeconia Winarko</t>
  </si>
  <si>
    <t>Semarang, 22 Oct 1994</t>
  </si>
  <si>
    <t>Jl. Siwalankerto Selatan I No. 10, Surabaya</t>
  </si>
  <si>
    <t>'087731483318</t>
  </si>
  <si>
    <t>BCA : 5075075798</t>
  </si>
  <si>
    <t>809947963517000</t>
  </si>
  <si>
    <t>3374102210940004</t>
  </si>
  <si>
    <t>17023822939</t>
  </si>
  <si>
    <t>samuel.rjw@partner.samsung.com, samuel.rj@partner.samsung.com</t>
  </si>
  <si>
    <t>OS1708059</t>
  </si>
  <si>
    <t>Satria Fauzan Sasradipoera</t>
  </si>
  <si>
    <t>Jakarta, 1 Dec 1992</t>
  </si>
  <si>
    <t>Jl. Batununggal Abadi I No. 2 Rt 002 Rw 005, Desa Mengger, Kecamatan Bandung Kidul, Kota Bandung</t>
  </si>
  <si>
    <t>0811867660</t>
  </si>
  <si>
    <t>CIMB : 702797756900</t>
  </si>
  <si>
    <t>812827046424000</t>
  </si>
  <si>
    <t>3273210112920001</t>
  </si>
  <si>
    <t xml:space="preserve"> 17023824802</t>
  </si>
  <si>
    <t>satria.f@partner.samsung.com, satria.f@partner.samsung.com</t>
  </si>
  <si>
    <t>OS1708060</t>
  </si>
  <si>
    <t>Satriyani Sada Ukur</t>
  </si>
  <si>
    <t>Pematang Siantar, 1 Apr 1990</t>
  </si>
  <si>
    <t>Jl. Bakung 3 No. 12 Karawaci,  Tangerang</t>
  </si>
  <si>
    <t>085270337440</t>
  </si>
  <si>
    <t>Mandiri : 1070006944096</t>
  </si>
  <si>
    <t>082423534117000</t>
  </si>
  <si>
    <t>1208174104900003</t>
  </si>
  <si>
    <t>13038510346</t>
  </si>
  <si>
    <t>satriyani.su@partner.samsung.com, satriyani.s@partner.samsung.com, siahaansatriyani@yahoo.com, satriyani.s@partner.samsung.com</t>
  </si>
  <si>
    <t>OS1708061</t>
  </si>
  <si>
    <t>Savira Fitri Nuraini</t>
  </si>
  <si>
    <t>Jakarta, 26 Jul 1992</t>
  </si>
  <si>
    <t>Taman Kedaung F-6 / 19 Rt 007 Rw 007, Desa Kedaung, Kecamatan Pamulang, Kota Tangerang Selatan</t>
  </si>
  <si>
    <t>082111135262</t>
  </si>
  <si>
    <t>BCA : 4731319981</t>
  </si>
  <si>
    <t>3674066607920007</t>
  </si>
  <si>
    <t>17023821469</t>
  </si>
  <si>
    <t>savira.fn@partner.samsung.com, savira.f@partner.samsung.com</t>
  </si>
  <si>
    <t>OS1708062</t>
  </si>
  <si>
    <t>Taufiq Fikri Faqihuddin</t>
  </si>
  <si>
    <t>Bogor, 2 Mar 1993</t>
  </si>
  <si>
    <t>Jl Arzimar 2 Tegal Gundil Rt 004 Rw 002, Desa Tegal Gundil, Kecamatan Kota Bogor Utara, Kota Bogor</t>
  </si>
  <si>
    <t>087873797838</t>
  </si>
  <si>
    <t>Mandiri : 1360007317503</t>
  </si>
  <si>
    <t>739466712404000</t>
  </si>
  <si>
    <t>3271050203930008</t>
  </si>
  <si>
    <t>17023826328</t>
  </si>
  <si>
    <t>taufiq.ff@partner.samsung.com, t.fikri@partner.samsung.com</t>
  </si>
  <si>
    <t>OS1709013</t>
  </si>
  <si>
    <t>Indrawan Wijaya</t>
  </si>
  <si>
    <t>Jakarta, 12 Oktober 1991</t>
  </si>
  <si>
    <t>Papua =&gt; Timika E_6/10/2017</t>
  </si>
  <si>
    <t>Retail Sales Marketing Officer (RSMO) Papua</t>
  </si>
  <si>
    <t xml:space="preserve">Yudhi Putra Tama (yudhi.p@samsung.com) </t>
  </si>
  <si>
    <t>Jl. Wonorejo Permai Utara VI/43, Surabaya 60296</t>
  </si>
  <si>
    <t>08114807720 / 08115399915 / 031 - 8706186</t>
  </si>
  <si>
    <t>Mandiri : 1420015206005</t>
  </si>
  <si>
    <t>709960553615000</t>
  </si>
  <si>
    <t>3578031210910001</t>
  </si>
  <si>
    <t>16005995655</t>
  </si>
  <si>
    <t>0001293118806</t>
  </si>
  <si>
    <t>indrawan_wijaya@hotmail.com, indrawan.w@partner.samsung.com</t>
  </si>
  <si>
    <t>Yudhi Putra Tama</t>
  </si>
  <si>
    <t>OS1709015</t>
  </si>
  <si>
    <t>Fouzan Nazar Putra</t>
  </si>
  <si>
    <t>Langsa, 29 Maret 1980</t>
  </si>
  <si>
    <t>S1 Ekonomi Akuntansi</t>
  </si>
  <si>
    <t>Bangkinang</t>
  </si>
  <si>
    <t>Retail Sales Marketing Officer (RSMO) Bangkinang</t>
  </si>
  <si>
    <t>daniel.yt@samsung.com</t>
  </si>
  <si>
    <t>700  =&gt; 400 seharusnya</t>
  </si>
  <si>
    <t>Jl. Cut Mutia No 80A Dusun Analisa PB Tunong Langsa</t>
  </si>
  <si>
    <t>085262473585</t>
  </si>
  <si>
    <t>BNI : '0123160806</t>
  </si>
  <si>
    <t>48.448.329.2 - 105.000</t>
  </si>
  <si>
    <t>1174022903800001</t>
  </si>
  <si>
    <t>07A00010193</t>
  </si>
  <si>
    <t>0001871626432</t>
  </si>
  <si>
    <t>fnazar2@gmail.com, f.nazar@partner.samsung.com</t>
  </si>
  <si>
    <t>Daniel Yulianto</t>
  </si>
  <si>
    <t>OS1709017</t>
  </si>
  <si>
    <t>Patria Arief Nugraha</t>
  </si>
  <si>
    <t>Medan, 4 April 1994</t>
  </si>
  <si>
    <t>RSMO Modern Channel Jakarta</t>
  </si>
  <si>
    <t>Jl. Platina VII A titipapan medan deli</t>
  </si>
  <si>
    <t>085210141197</t>
  </si>
  <si>
    <t>BCA : 2420869048</t>
  </si>
  <si>
    <t>74.253.359.9-112.000</t>
  </si>
  <si>
    <t>1271030404940005</t>
  </si>
  <si>
    <t>aribiohazard@gmail.com, patria.an@partner.samsung.com</t>
  </si>
  <si>
    <t>OS1709030</t>
  </si>
  <si>
    <t>Reuben Septian</t>
  </si>
  <si>
    <t>Malang, 17 September 1985</t>
  </si>
  <si>
    <t xml:space="preserve">Fendy (fendy.f@samsung.com) </t>
  </si>
  <si>
    <t>750  =&gt; 400 seharusnya</t>
  </si>
  <si>
    <t>Perum Kopo Permai RT 15 / RW 06, Kel. Cikopo Kec. Bungursari, Purwakarta</t>
  </si>
  <si>
    <t>081319765546</t>
  </si>
  <si>
    <t>BCA : 2330082618</t>
  </si>
  <si>
    <t>26.446.879.4-409.000</t>
  </si>
  <si>
    <t>3214131709850002</t>
  </si>
  <si>
    <t>0001386152188</t>
  </si>
  <si>
    <t>Reuben_Septian@ymail.com, reuben.s@partner.samsung.com</t>
  </si>
  <si>
    <t>OS1710002</t>
  </si>
  <si>
    <t>Yudhy Fanli</t>
  </si>
  <si>
    <t>Jakarta, 2 Mei 1985</t>
  </si>
  <si>
    <t>Jl. Masjid At-Taqwa No. 44 RT 01 / RW 02, Kel. Kembangan Utara Kec. Kembangan, Jakarta Barat</t>
  </si>
  <si>
    <t>082129798526 / 022 5412714</t>
  </si>
  <si>
    <t>BCA : 2881572534</t>
  </si>
  <si>
    <t>88.719.178-086.000</t>
  </si>
  <si>
    <t>3173080205850005</t>
  </si>
  <si>
    <t>0001379595069</t>
  </si>
  <si>
    <t>y.fanli@yahoo.co.id, yudhi.f@partner.samsung.com</t>
  </si>
  <si>
    <t>OS1709033</t>
  </si>
  <si>
    <t>Fajar Tri Prabowo</t>
  </si>
  <si>
    <t>Buleleng, 28 Desember 1989</t>
  </si>
  <si>
    <t xml:space="preserve">S1 Electrical Engineering </t>
  </si>
  <si>
    <t>Retail Sales Marketing Officer (RSMO) Modern Channel Bali Nusra</t>
  </si>
  <si>
    <t>Jl. Nangka Gg. Cendrawasih II/4 DPSBr/linkUmasari, Kel. Dangin Puri Kaja Kec. Denpasar Utara, Kota Denpasar</t>
  </si>
  <si>
    <t>6281285911528</t>
  </si>
  <si>
    <t>Mandiri : 1450011088248</t>
  </si>
  <si>
    <t>5171042812890003</t>
  </si>
  <si>
    <t>15026889319</t>
  </si>
  <si>
    <t>fajartriprabowo@gmail.com, fajar.tp@partner.samsung.com</t>
  </si>
  <si>
    <t>OS1709034</t>
  </si>
  <si>
    <t>Ary Setiawan</t>
  </si>
  <si>
    <t>Ujung Pandang, 29 Februari 1992</t>
  </si>
  <si>
    <t>S1 K3</t>
  </si>
  <si>
    <t>Gorontalo</t>
  </si>
  <si>
    <t>Retail Sales Marketing Officer (RSMO) Gorontalo</t>
  </si>
  <si>
    <t xml:space="preserve">Jemie Ronaldo (jemie.r@samsung.com) </t>
  </si>
  <si>
    <t>Jl. Sinassara IV/72 RT 03 / RT 07, Kel. Kaluku Bodoa Kec. Tallo, Kota Makassar</t>
  </si>
  <si>
    <t>085395100093</t>
  </si>
  <si>
    <t>BCA : 0251502659</t>
  </si>
  <si>
    <t>75.203.951.1-801.000</t>
  </si>
  <si>
    <t>7371072909920013</t>
  </si>
  <si>
    <t>0001655886328</t>
  </si>
  <si>
    <t>ary_haddade@yahoo.co.id, ary.se@partner.samsung.com</t>
  </si>
  <si>
    <t>Jemie Ronaldo</t>
  </si>
  <si>
    <t xml:space="preserve"> OS1710034</t>
  </si>
  <si>
    <t>Bangkit Rudianto</t>
  </si>
  <si>
    <t>Tulungagung, 15 Agustus 1988</t>
  </si>
  <si>
    <t>S1 Economic</t>
  </si>
  <si>
    <t>Jl. Pahlawan I, RT 01 / RW 02, Rejoagung, Kedungwaru, Tulungagung</t>
  </si>
  <si>
    <t>081233177221</t>
  </si>
  <si>
    <t>BCA : 0481154315</t>
  </si>
  <si>
    <t>46.838.117.3-629.000</t>
  </si>
  <si>
    <t>3504031508880002</t>
  </si>
  <si>
    <t>bangkit.rudianto@gmail.com, bangkit.r@partner.samsung.com</t>
  </si>
  <si>
    <t xml:space="preserve">OS1710048 </t>
  </si>
  <si>
    <t>Tri Andono</t>
  </si>
  <si>
    <t>Jakarta, 22 October 1982</t>
  </si>
  <si>
    <t>S1 Accounting</t>
  </si>
  <si>
    <t>Tangerang</t>
  </si>
  <si>
    <t>Retail Sales Marketing Officer (RSMO) Tangerang</t>
  </si>
  <si>
    <t>Jl. P. Sumba 8 No. 257 RT.001/011. Kel aren jaya Perumnas 3 Bekasi timur 17111</t>
  </si>
  <si>
    <t>021-88343689 / 081314502838</t>
  </si>
  <si>
    <t>MANDIRI : 1170006062236</t>
  </si>
  <si>
    <t>796408318407000</t>
  </si>
  <si>
    <t>3275012210820020</t>
  </si>
  <si>
    <t>0001456414683</t>
  </si>
  <si>
    <t>chaniago.82@gmail.com, tri.andono@partner.samsung.com</t>
  </si>
  <si>
    <t>OS1711011</t>
  </si>
  <si>
    <t>Hendra Koerniawan</t>
  </si>
  <si>
    <t>Surabaya, 16 Mei 1990</t>
  </si>
  <si>
    <t xml:space="preserve">Retail Sales Marketing Officer (RSMO) Surabaya =&gt; RSMO Modern Channel Surabaya </t>
  </si>
  <si>
    <t>Jl. Jepara No. 24 RT 05 / RW 01, Kec. Bubutan, Kota Surabaya</t>
  </si>
  <si>
    <t>082244308891</t>
  </si>
  <si>
    <t>BCA : 5120366302</t>
  </si>
  <si>
    <t>804428290614000</t>
  </si>
  <si>
    <t>3578131605900001</t>
  </si>
  <si>
    <t>17016591566</t>
  </si>
  <si>
    <t>0001544501709</t>
  </si>
  <si>
    <t>hendrakoerniawann@gmail.com, h.koerniawan@partner.samsung.com</t>
  </si>
  <si>
    <t>OS1711012</t>
  </si>
  <si>
    <t>Maidi</t>
  </si>
  <si>
    <t>Bangkalan, 5 Februari 1988</t>
  </si>
  <si>
    <t>Jl. Dinoyo / 9A Surabaya</t>
  </si>
  <si>
    <t>085645600495 / 081225020432</t>
  </si>
  <si>
    <t>BCA : 3250518641</t>
  </si>
  <si>
    <t>685119976607000</t>
  </si>
  <si>
    <t>3578050502880002</t>
  </si>
  <si>
    <t>0001543839186</t>
  </si>
  <si>
    <t>hmmaidi8@gmail.com, maidi.m@partner.samsung.com</t>
  </si>
  <si>
    <t>OS1711013</t>
  </si>
  <si>
    <t>Yukie Hendrawan</t>
  </si>
  <si>
    <t>Bogor, 2 Juni 1986</t>
  </si>
  <si>
    <t>Palangkaraya</t>
  </si>
  <si>
    <t>Retail Sales Marketing Officer (RSMO) Palangkaraya</t>
  </si>
  <si>
    <t>ibnu hakim</t>
  </si>
  <si>
    <t>Perumahan Taman Cibalagung, Jl. Asparagus 3 Blok H No. 2, Ciomas Bogor</t>
  </si>
  <si>
    <t>082187228238</t>
  </si>
  <si>
    <t>Mandiri 9000013228698</t>
  </si>
  <si>
    <t>707736963404000</t>
  </si>
  <si>
    <t>3271040206860001</t>
  </si>
  <si>
    <t>0000060421656</t>
  </si>
  <si>
    <t>yukieh4658@gmail.com, yukie.h@partner.samsung.com</t>
  </si>
  <si>
    <t>Ibnu Hakim</t>
  </si>
  <si>
    <t>OS1711014</t>
  </si>
  <si>
    <t>Enolson Tandi Panga</t>
  </si>
  <si>
    <t>Ujung Pandang, 24 April 1989</t>
  </si>
  <si>
    <t>Ambon</t>
  </si>
  <si>
    <t>Retail Sales Marketing Officer (RSMO) Ambon</t>
  </si>
  <si>
    <t>bondan.r@samsung.com</t>
  </si>
  <si>
    <t>Jl. A.P Pettarani 8 No. 8</t>
  </si>
  <si>
    <t>081 241 055 508</t>
  </si>
  <si>
    <t>MANDIRI : 1740001147578</t>
  </si>
  <si>
    <t>7371092404890002</t>
  </si>
  <si>
    <t>enolson_enong@yahoo.com, enolson.tp@partner.samsung.com</t>
  </si>
  <si>
    <t>OS1711021</t>
  </si>
  <si>
    <t>Aries Graha Perwaka</t>
  </si>
  <si>
    <t>Surabaya, 1 December 1981</t>
  </si>
  <si>
    <t>Retail Sales Marketing Officer Malang</t>
  </si>
  <si>
    <t>adi.p@samsung.com</t>
  </si>
  <si>
    <t>Jl. Rungkut Asri Barat XIV / 25 Surabaya</t>
  </si>
  <si>
    <t>081216270701</t>
  </si>
  <si>
    <t>MANDIRI : 1430013577711</t>
  </si>
  <si>
    <t>08.759.064.2-625.000</t>
  </si>
  <si>
    <t>3574030112810002</t>
  </si>
  <si>
    <t>0001806918906</t>
  </si>
  <si>
    <t>aries.perwaka@gmail.com, aries.gp@partner.samsung.com</t>
  </si>
  <si>
    <t>OS1711022</t>
  </si>
  <si>
    <t>Robert Tua Manullang</t>
  </si>
  <si>
    <t>Bogor, 1 Desember 1985</t>
  </si>
  <si>
    <t>Bogor</t>
  </si>
  <si>
    <t>Retail Sales Marketing Officer Bogor (RSMO Traditional Bogor)</t>
  </si>
  <si>
    <t>b.reza@samsung.com</t>
  </si>
  <si>
    <t>Babakan Perumnas Jl. Flamboyan No. 59 RT. 09 RW. 06, Bantar Kemang - Baranangsiang - BOGOR 16145</t>
  </si>
  <si>
    <t>081291590887 / 085697282777</t>
  </si>
  <si>
    <t>BCA : 0950679697</t>
  </si>
  <si>
    <t>898589247404000</t>
  </si>
  <si>
    <t>3271020112850006</t>
  </si>
  <si>
    <t>15027873288</t>
  </si>
  <si>
    <t>roberttua12@gmail.com, roberttua.m@partner.samsung.com</t>
  </si>
  <si>
    <t>OS1711040</t>
  </si>
  <si>
    <t>Elan Improvian</t>
  </si>
  <si>
    <t>Bandung, 2 February 1989</t>
  </si>
  <si>
    <t>Retail Sales Marketing Officer (RSMO) Bandung =&gt; RSMO Modern Channel Bandung</t>
  </si>
  <si>
    <t>Jl. Bojongkokosan No. 24 Rt 04 Rw 07 Bandung</t>
  </si>
  <si>
    <t>085624268510 / 081224544028</t>
  </si>
  <si>
    <t>MANDIRI : 1320016102874</t>
  </si>
  <si>
    <t>451757728445000</t>
  </si>
  <si>
    <t>3204090202890002</t>
  </si>
  <si>
    <t>12017368379</t>
  </si>
  <si>
    <t>0001664219092</t>
  </si>
  <si>
    <t>elan.improvian@gmail.com, elan.im@partner.samsung.com</t>
  </si>
  <si>
    <t>terminated 10/1/2018 move permata, ADA EKSES KLAIM</t>
  </si>
  <si>
    <t>OS1711070</t>
  </si>
  <si>
    <t>Malak Abdillah Solihin</t>
  </si>
  <si>
    <t>Bandung, 22 Desember 1992</t>
  </si>
  <si>
    <t>Richardo Situmeang</t>
  </si>
  <si>
    <t>Komplek Taman Kopo Indah 1 Blok M no. 110 RT05 RW XI</t>
  </si>
  <si>
    <t>082295433831</t>
  </si>
  <si>
    <t>BNI : 0253981856</t>
  </si>
  <si>
    <t>3204092212920001</t>
  </si>
  <si>
    <t>0002079900628</t>
  </si>
  <si>
    <t>malaqabdillahs@gmail.com, m.abdillah@partner.samsung.com</t>
  </si>
  <si>
    <t>OS1712001</t>
  </si>
  <si>
    <t>Muh Fajar Nur Muslim</t>
  </si>
  <si>
    <t>Makassar, 21 Desember 1987</t>
  </si>
  <si>
    <t>RSMO Modern Channel Makassar</t>
  </si>
  <si>
    <t>Jl. Gunung Bulusaraung Lorong 124A No. 6</t>
  </si>
  <si>
    <t>085256655190</t>
  </si>
  <si>
    <t>BCA : 7890792850</t>
  </si>
  <si>
    <t>1699117614801000</t>
  </si>
  <si>
    <t>7371062712870002</t>
  </si>
  <si>
    <t>17026148639</t>
  </si>
  <si>
    <t>fajarjharod@gmail.com, fajar.nm@partner.samsung.com</t>
  </si>
  <si>
    <t>OS1712013</t>
  </si>
  <si>
    <t>Syaiful Arifin</t>
  </si>
  <si>
    <t>Batang, 7 Juni 1991</t>
  </si>
  <si>
    <t>DK. Panjer DS. Wonokerso RT 03 / RW 05, Kel. Wonokerso, Batang</t>
  </si>
  <si>
    <t>08125872001</t>
  </si>
  <si>
    <t>BCA 8610273077</t>
  </si>
  <si>
    <t>71.576.8223.0-542.000</t>
  </si>
  <si>
    <t>3325100706910002</t>
  </si>
  <si>
    <t>15002724654</t>
  </si>
  <si>
    <t>syaifularifinn@gmail.com, s.arifin@partner.samsung.com</t>
  </si>
  <si>
    <t>OS1712011</t>
  </si>
  <si>
    <t>Muhamad Irvan Firdaus</t>
  </si>
  <si>
    <t>Bandung, 6 Juni 1988</t>
  </si>
  <si>
    <t>S1 MIPA</t>
  </si>
  <si>
    <t>Perumahan Pamoyanan Hijau, Blok E 4, Bogor, Jawa Barat, Indonesia</t>
  </si>
  <si>
    <t>0858-9264-5600</t>
  </si>
  <si>
    <t>BCA : 4271407356</t>
  </si>
  <si>
    <t>761553882-405000</t>
  </si>
  <si>
    <t>3202330606880004</t>
  </si>
  <si>
    <t>17015579596</t>
  </si>
  <si>
    <t>0002101286428</t>
  </si>
  <si>
    <t>muhamad.irvan.firdaus@gmail.com, i.firdaus@partner.samsung.com</t>
  </si>
  <si>
    <t>OS1801044</t>
  </si>
  <si>
    <t>Marsudin</t>
  </si>
  <si>
    <t>Ulak Rengas, 31 Oktober 1982</t>
  </si>
  <si>
    <t>Perum Cimanggis Green Residence 2 Blok G7 RT 006/006 Sukatani Tapos Depok</t>
  </si>
  <si>
    <t xml:space="preserve">087887876161 </t>
  </si>
  <si>
    <t>1803123110820001</t>
  </si>
  <si>
    <t>marsudin.odz@gmail.com</t>
  </si>
  <si>
    <t>cancel join 17/1/2018 move permata</t>
  </si>
  <si>
    <t>OS1609002</t>
  </si>
  <si>
    <t>Abdul Rahim Al Mu'min</t>
  </si>
  <si>
    <t>Jakarta, 1 Mei 1987</t>
  </si>
  <si>
    <t>S1 INFORMATION SYSTEM</t>
  </si>
  <si>
    <t>Marketing Activation</t>
  </si>
  <si>
    <t xml:space="preserve">Mila Likumahuwa mila.l@samsung.com </t>
  </si>
  <si>
    <t>CANCEL REV ; REVISI adj eff Mar'17 prev 10.4 jt ; adj 30% eff Mar'17 prev 8 jt</t>
  </si>
  <si>
    <t>Perum Permata Pamulang, Jl. Nuri 3 Blok B6 No.8 Tangerang Selatan</t>
  </si>
  <si>
    <t>0821 30000805</t>
  </si>
  <si>
    <t>Mandiri : 1020005231813</t>
  </si>
  <si>
    <t>57.285.715.9-027.000</t>
  </si>
  <si>
    <t>3171030105870008</t>
  </si>
  <si>
    <t>imbocreative@gmail.com, abdul.rahim@partner.samsung.com</t>
  </si>
  <si>
    <t>OS1701001</t>
  </si>
  <si>
    <t>Stephanie Tanya C. Tumbelaka</t>
  </si>
  <si>
    <t>Jakarta, 7 Oktober 1994</t>
  </si>
  <si>
    <t>S1 BUSINESS ADMINISTRATION</t>
  </si>
  <si>
    <t>Admin HR Ops</t>
  </si>
  <si>
    <t xml:space="preserve">Robin Hendra S r.garingging@samsung.com </t>
  </si>
  <si>
    <t>Taman Bougenville Estate Blok G1/8, Caman, Jatibening, Pondok Gede,
17412</t>
  </si>
  <si>
    <t>(021) 8650763 / 087881989407</t>
  </si>
  <si>
    <t>Mandiri : 167-00-0187338-8</t>
  </si>
  <si>
    <t>80.800.828.8-447.000</t>
  </si>
  <si>
    <t>3275084710940010</t>
  </si>
  <si>
    <t>tanyaclarest@gmail.com, s.claresta@partner.samsung.com</t>
  </si>
  <si>
    <t>resign 8/1/2018 ori</t>
  </si>
  <si>
    <t>OS1707011</t>
  </si>
  <si>
    <t>Nadila Saraya Aditya</t>
  </si>
  <si>
    <t>Semarang, 25 Juni 1994</t>
  </si>
  <si>
    <t>Bogor Raya Permai Blok FA 6/ No. 35, Bogor Barat 16113</t>
  </si>
  <si>
    <t xml:space="preserve">0251-7532703   / 0811110150  </t>
  </si>
  <si>
    <t xml:space="preserve">Mandiri : 1330013841002   </t>
  </si>
  <si>
    <t xml:space="preserve">3271046506940008   </t>
  </si>
  <si>
    <t>nadila94@hotmail.com       , nadila.s@partner.samsung.com</t>
  </si>
  <si>
    <t>resign</t>
  </si>
  <si>
    <t>OS1708003</t>
  </si>
  <si>
    <t>Dedy Kurniawan Marianzah</t>
  </si>
  <si>
    <t>Surabaya, 27 Juni 1977</t>
  </si>
  <si>
    <t>S1 Industrian Engineering</t>
  </si>
  <si>
    <t>FF Operation Lead</t>
  </si>
  <si>
    <t>vega.adi@samsung.com</t>
  </si>
  <si>
    <t>Prima Harapan Regency Blok H6 No. 7 RT 06 / RW 18 Kel. Harapan Baru Kec. Bekasi Utara</t>
  </si>
  <si>
    <t>02188989452 / 081284071963</t>
  </si>
  <si>
    <t>BCA : 0663120970</t>
  </si>
  <si>
    <t>240128710042000</t>
  </si>
  <si>
    <t>3275032706770014 =&gt; 3172022706770013</t>
  </si>
  <si>
    <t>KLINIK DUTA SEHAT</t>
  </si>
  <si>
    <t>dedykurniawan2706@gmail.com, dedi.km@partner.samsung.com</t>
  </si>
  <si>
    <t>Vega Susatyo Adi</t>
  </si>
  <si>
    <t>OS1509001</t>
  </si>
  <si>
    <t>Iman Rusmana</t>
  </si>
  <si>
    <t>Kuningan, 16 September 1988</t>
  </si>
  <si>
    <t>CE PM AV Admin.</t>
  </si>
  <si>
    <t>Ubay Bayanudin 
&lt;ubay.77@samsung.com&gt;</t>
  </si>
  <si>
    <t>16.000 / day</t>
  </si>
  <si>
    <t>adj 10% eff 1 Mar'17 prev 6.457.500 ; increase 5% eff 1 Mar'16 prev BS 6,150,000</t>
  </si>
  <si>
    <t>Jl. Belimbing VI AC/13 Kel. Kota Baru, Harapan Baru, Bekasi Barat</t>
  </si>
  <si>
    <t>0821 11057707</t>
  </si>
  <si>
    <t>CIMB Niaga : 4800100209126</t>
  </si>
  <si>
    <t>01.069.467.7.092.001</t>
  </si>
  <si>
    <t>3208301609880001</t>
  </si>
  <si>
    <t>0001624895278 OK</t>
  </si>
  <si>
    <t>iman.r@partner.samsung.com, iman_roesmana09@yahoo.com, iman.r@partner.samsung.com</t>
  </si>
  <si>
    <t>resign 12/2/2018</t>
  </si>
  <si>
    <t>Ubay Bayanudin.</t>
  </si>
  <si>
    <t>OS1610036</t>
  </si>
  <si>
    <t>Nenny Gantina</t>
  </si>
  <si>
    <t>Jakarta, 10 Januari 1986</t>
  </si>
  <si>
    <t xml:space="preserve">Lista Donna S lista.donna@samsung.com </t>
  </si>
  <si>
    <t>Jl.Mangga Gg.X No.18 RT.012/04 Cipete - Jakarta Selatan 12420</t>
  </si>
  <si>
    <t>08170000410 / 021-7657393</t>
  </si>
  <si>
    <t>Mandiri : 126-00-0703434-0</t>
  </si>
  <si>
    <t>49.252.703.1-016.000</t>
  </si>
  <si>
    <t>3174065001860007</t>
  </si>
  <si>
    <t>gantina.nenny@gmail.com, nenny.g@partner.samsung.com, nenny.g@partner.samsung.com</t>
  </si>
  <si>
    <t>resign 15/2/2018 ori</t>
  </si>
  <si>
    <t>Lista Donna Swanty Sitorus</t>
  </si>
  <si>
    <t>OS1705005</t>
  </si>
  <si>
    <t>Stephanie Theodora</t>
  </si>
  <si>
    <t>Pontianak, 1 Oktober 1993</t>
  </si>
  <si>
    <t>Channel Marketing Analyst</t>
  </si>
  <si>
    <t>mila.l@samsung.com</t>
  </si>
  <si>
    <t>Jl. Jendral A. Yani 82 kavling 33 Bogor 16161</t>
  </si>
  <si>
    <t xml:space="preserve">02518318206   / 08179890484  </t>
  </si>
  <si>
    <t xml:space="preserve">BCA :  0952959008 </t>
  </si>
  <si>
    <t xml:space="preserve">805754173404000   </t>
  </si>
  <si>
    <t xml:space="preserve">3271064110930012   </t>
  </si>
  <si>
    <t>17000414379</t>
  </si>
  <si>
    <t xml:space="preserve"> 0002097846494 </t>
  </si>
  <si>
    <t>STEPHANIE.THDRA@GMAIL.COM       , s.theodora@partner.samsung.com</t>
  </si>
  <si>
    <t>resign 26/2/2018 ori</t>
  </si>
  <si>
    <t>OS1710109</t>
  </si>
  <si>
    <t>Pudja Lestari</t>
  </si>
  <si>
    <t>Jakarta, 27 Desember 1996</t>
  </si>
  <si>
    <t>Channel Landscape Intern</t>
  </si>
  <si>
    <t>laurensius.m@samsung.com</t>
  </si>
  <si>
    <t>Jl. Jagakarsa II No. 16 RT 01 / RW 07, Kel. Jagakarsa, Jakarta Selatan</t>
  </si>
  <si>
    <t>087875953828</t>
  </si>
  <si>
    <t>BCA : 5465066218</t>
  </si>
  <si>
    <t>3174096712960001</t>
  </si>
  <si>
    <t>pudjatari@gmail.com , pudja.l@partner.samsung.com</t>
  </si>
  <si>
    <t>resign 7/2/2018 ori</t>
  </si>
  <si>
    <t>Laurensius Morris</t>
  </si>
  <si>
    <t>OS1711020</t>
  </si>
  <si>
    <t>Angeline Siauw</t>
  </si>
  <si>
    <t>4 Juli 1995</t>
  </si>
  <si>
    <t>IM Galaxy Master - Field Trainer Intern</t>
  </si>
  <si>
    <t>Erwin budiono/Erwin.b@partner.samsung.com/0818 09227887</t>
  </si>
  <si>
    <t>Delima 4, Bekasi 17131</t>
  </si>
  <si>
    <t>87783060009</t>
  </si>
  <si>
    <t>BCA : 211-010-9876</t>
  </si>
  <si>
    <t>822331005427000</t>
  </si>
  <si>
    <t>3275064407950012</t>
  </si>
  <si>
    <t>0001631764192</t>
  </si>
  <si>
    <t>angelnatt@yahoo.com, angelxiao@naver.com, angeline.s@partner.samsung.com</t>
  </si>
  <si>
    <t>out, last absensi 31/1/2018</t>
  </si>
  <si>
    <t>OS1509022</t>
  </si>
  <si>
    <t>Rani Handayani</t>
  </si>
  <si>
    <t>Jakarta, 6 Desember 1984</t>
  </si>
  <si>
    <t>S1 PENDIDIKAN BAHASA INGGRIS</t>
  </si>
  <si>
    <t>Inside Sales =&gt; Sales Admin SAC &amp; RAC (B2B) 24/3/2018</t>
  </si>
  <si>
    <t>andry.a@samsung.com</t>
  </si>
  <si>
    <t>adj 10% eff Mar'17 prev 5.3 jt ; increase 6% eff 1 Mar'16 prev BS 5jt</t>
  </si>
  <si>
    <t>Jl. Damai Gg. Masjid Nurul Mukmin No.11 Rt/Rw.03/05 Jatikarya, Jatisampurna, Bekasi 17435</t>
  </si>
  <si>
    <t>081211688844</t>
  </si>
  <si>
    <t>Mandiri : 129-00-1017118-5</t>
  </si>
  <si>
    <t>89.255.160.7-009.000</t>
  </si>
  <si>
    <t>3275104612840009</t>
  </si>
  <si>
    <t>0001739542037 -KELUARGA</t>
  </si>
  <si>
    <t>rahandayani88@yahoo.com, rani.rh@partner.samsung.com, rani.rh@partner.samsung.com</t>
  </si>
  <si>
    <t>terminated 23/3/2018 move to IMS</t>
  </si>
  <si>
    <t>Andry .</t>
  </si>
  <si>
    <t>OS1703033</t>
  </si>
  <si>
    <t>Devina Febriani Agung</t>
  </si>
  <si>
    <t>Banyumas, 12 Februari 1995</t>
  </si>
  <si>
    <t>Retail Marketing Sr. Staff</t>
  </si>
  <si>
    <t>Jl. Kom BB Suprapto No.101 Rt/Rw.001/002 Purwokerto Lor, Purwokerto Timur, Banyumas, Jawa Tengah</t>
  </si>
  <si>
    <t>BCA : 0460718333</t>
  </si>
  <si>
    <t>81.608.019.6.521.000</t>
  </si>
  <si>
    <t>3302265202950001</t>
  </si>
  <si>
    <t>0001724455348 dr otty widjanarko</t>
  </si>
  <si>
    <t>devina.febriani@sbm-itb.ac.id, devina.fa@partner.samsung.com, devina.fa@partner.samsung.com</t>
  </si>
  <si>
    <t>permanent 5/3/2018</t>
  </si>
  <si>
    <t>OS1709009</t>
  </si>
  <si>
    <t>Kenny Djopong</t>
  </si>
  <si>
    <t>Jakarta, 11 Juli 1995</t>
  </si>
  <si>
    <t>S1 Tourism</t>
  </si>
  <si>
    <t>Inside Sales</t>
  </si>
  <si>
    <t>jolanda.a@samsung.com</t>
  </si>
  <si>
    <t>Tanjung Duren Barat 5/ Gg. Duku Barat 3 No. 12</t>
  </si>
  <si>
    <t>021-5685888 / 081932958200 / 081288511460</t>
  </si>
  <si>
    <t>MANDIRI : 1650000853714</t>
  </si>
  <si>
    <t>82.708.881.6-036.000</t>
  </si>
  <si>
    <t>3173021107950003</t>
  </si>
  <si>
    <t>0001653909333</t>
  </si>
  <si>
    <t>kennydjopong@gmail.com, kenny.d@partner.samsung.com</t>
  </si>
  <si>
    <t>terminated 4/3/2018 move permata</t>
  </si>
  <si>
    <t>Jolanda Anatassia Budiman</t>
  </si>
  <si>
    <t>OS1601030</t>
  </si>
  <si>
    <t>Putra Jumanda Siregar</t>
  </si>
  <si>
    <t>Medan, 29 Mei 1987</t>
  </si>
  <si>
    <t>Audio Video - Master Trainer</t>
  </si>
  <si>
    <t>rozalis.as@samsung.com</t>
  </si>
  <si>
    <t>inc 3.5% eff 1 Mar '18 prev 15jt;</t>
  </si>
  <si>
    <t>Kampung Kober, Buaran Indah, Tangerang</t>
  </si>
  <si>
    <t>0878-6815-6969</t>
  </si>
  <si>
    <t>Mandiri : 148-00-1159964-7</t>
  </si>
  <si>
    <t>75.513.845.0.416.000</t>
  </si>
  <si>
    <t>1271062905870003</t>
  </si>
  <si>
    <t>0001637633632 OK</t>
  </si>
  <si>
    <t>Putra.Jumanda@Gmail.com, putra.s@partner.samsung.com</t>
  </si>
  <si>
    <t>permanen 1/5/2018</t>
  </si>
  <si>
    <t>OS1704033</t>
  </si>
  <si>
    <t>Putri Rizky Ramadhani</t>
  </si>
  <si>
    <t>Banda Aceh, 18 Maret 1991</t>
  </si>
  <si>
    <t>inc 2% eff 1 Mar '18 prev 3.850.000;</t>
  </si>
  <si>
    <t>Asmil Kipan E, Lambada, Seulimeum, Aceh Besar, Aceh</t>
  </si>
  <si>
    <t>BNI : 0160703408</t>
  </si>
  <si>
    <t>1106045803910001</t>
  </si>
  <si>
    <t>16043696059</t>
  </si>
  <si>
    <t>0001264897179 kel. Kebayoran lama</t>
  </si>
  <si>
    <t>rizky91ramadhani@gmail.com</t>
  </si>
  <si>
    <t>move vendor 16/04/2018</t>
  </si>
  <si>
    <t>OS1707035</t>
  </si>
  <si>
    <t>Roma Gumalag</t>
  </si>
  <si>
    <t>Manado, 25 Juni 1983</t>
  </si>
  <si>
    <t>KAO Sulawesi Utara</t>
  </si>
  <si>
    <t>Lingkungan III RW 003, Kel. Bumi Beringin Kec. Wenang, Kota Manado</t>
  </si>
  <si>
    <t>085340169990</t>
  </si>
  <si>
    <t>BNI : '0326406092</t>
  </si>
  <si>
    <t>14.389.988.8-821.000</t>
  </si>
  <si>
    <t>7171042506830001</t>
  </si>
  <si>
    <t>12036794563</t>
  </si>
  <si>
    <t>0000167491113 dr. Silvana Lumeno</t>
  </si>
  <si>
    <t>romagmlg@gmail.com, roma.g@partner.samsung.com</t>
  </si>
  <si>
    <t>move vendor 1/4/2018</t>
  </si>
  <si>
    <t>OS1709011</t>
  </si>
  <si>
    <t>Caesar Mujahid</t>
  </si>
  <si>
    <t>Ujung Pandang, 4 April 1984</t>
  </si>
  <si>
    <t>KAO Makassar</t>
  </si>
  <si>
    <t>inc 3.5% eff 1 Mar '18 prev 6,5jt;</t>
  </si>
  <si>
    <t>BTN Minasa Upa Blok D.4 No. 8 RT 04/ RW 07, Kel. Gunung Sari Kec. Rappocini, Kota Makassar</t>
  </si>
  <si>
    <t>081355788133</t>
  </si>
  <si>
    <t>BCA : 0262163448</t>
  </si>
  <si>
    <t>64.017.098.1-805.000</t>
  </si>
  <si>
    <t>7371130404840006</t>
  </si>
  <si>
    <t>0002235534478</t>
  </si>
  <si>
    <t>caesarmujahid@gmail.com, caesar.m@partner.samsung.com, caesar.m@partner.samsung.com</t>
  </si>
  <si>
    <t>OS1708056</t>
  </si>
  <si>
    <t>Geaffary Aji Nugraha</t>
  </si>
  <si>
    <t>Jakarta, 24 Jul 1994</t>
  </si>
  <si>
    <t xml:space="preserve">RSMO Modern Channel =&gt; KAO Modern Channel </t>
  </si>
  <si>
    <t>inc 3.5% eff 1 Mar '18 prev 5jt;</t>
  </si>
  <si>
    <t>Jl. Jagakarsa Raya Rt 006 Rw 006, Kecamatan Jagakarsa, Lenteng Agung, Jakarta Selatan</t>
  </si>
  <si>
    <t>081280516194</t>
  </si>
  <si>
    <t>Mandiri : 1330013596333</t>
  </si>
  <si>
    <t>547366013434000</t>
  </si>
  <si>
    <t>3201242407940002</t>
  </si>
  <si>
    <t>17023824653</t>
  </si>
  <si>
    <t>0001853037742</t>
  </si>
  <si>
    <t>geaffary.an@partner.samsung.com, geaffary.a@partner.samsung.com</t>
  </si>
  <si>
    <t>OS1710042</t>
  </si>
  <si>
    <t>Pitoyo Setiawan</t>
  </si>
  <si>
    <t>Semarang, 6 Maret 1975</t>
  </si>
  <si>
    <t>Visual Display Regional</t>
  </si>
  <si>
    <t>taufik.k@samsung.com</t>
  </si>
  <si>
    <t>Komplek Batan Indah Blok J No 73 Serpong, Tanggerang</t>
  </si>
  <si>
    <t>081314375512</t>
  </si>
  <si>
    <t>MANDIRI : 1550001663684</t>
  </si>
  <si>
    <t>682934229411000</t>
  </si>
  <si>
    <t>3674070603750001</t>
  </si>
  <si>
    <t>12004511643</t>
  </si>
  <si>
    <t>0001604917438</t>
  </si>
  <si>
    <t>pitoyo.s@partner.samsung.com, pitoyo.s@partner.samsung.com</t>
  </si>
  <si>
    <t>move vendor 10/04/2018</t>
  </si>
  <si>
    <t>OS1710043</t>
  </si>
  <si>
    <t>Muhammad Syahbi Sitepu</t>
  </si>
  <si>
    <t>Binjai, 17 Juli 1988</t>
  </si>
  <si>
    <t>Jl. Let. Jend Jamin Ginting Lk. Iii Kec. Binjai Selatan</t>
  </si>
  <si>
    <t>MANDIRI : 9000018521832</t>
  </si>
  <si>
    <t>662285709119000</t>
  </si>
  <si>
    <t>1275051707880003</t>
  </si>
  <si>
    <t>16005647942</t>
  </si>
  <si>
    <t>m.hasby@partner.samsung.com, m.hasby@partner.samsung.com</t>
  </si>
  <si>
    <t>OS1710044</t>
  </si>
  <si>
    <t>Hidayatus Sibian</t>
  </si>
  <si>
    <t>Jakarta, 31 Maret 1976</t>
  </si>
  <si>
    <t>D3 MANAJEMEN INFORMATIKA</t>
  </si>
  <si>
    <t>Jl. Puri Mutiara Ii No. 30 Rt 8/Rw 11 Cilandak Barat Jakarta Selatan</t>
  </si>
  <si>
    <t>089653127407</t>
  </si>
  <si>
    <t>MANDIRI : 129-00-0699374-1</t>
  </si>
  <si>
    <t>28.195.055.0-013.000</t>
  </si>
  <si>
    <t>3174063103780003</t>
  </si>
  <si>
    <t>15020049522</t>
  </si>
  <si>
    <t>0001209308545</t>
  </si>
  <si>
    <t>hidayatus.s@partner.samsung.com, hidayatus.s@partner.samsung.com</t>
  </si>
  <si>
    <t>OS1710045</t>
  </si>
  <si>
    <t>Yudhiansyah Putra</t>
  </si>
  <si>
    <t>Medan, 23 Oktober 1986</t>
  </si>
  <si>
    <t>Jl. Pondok Bandung No 7 Rt4/Rw 3 Kota Bambu Utara</t>
  </si>
  <si>
    <t>085714841066</t>
  </si>
  <si>
    <t>MANDIRI : 1160005213468</t>
  </si>
  <si>
    <t>090791377031000</t>
  </si>
  <si>
    <t>3173072310860006</t>
  </si>
  <si>
    <t>15020049514</t>
  </si>
  <si>
    <t>yudhiansyahputra@yahoo.com, yudhi.putra@partner.samsung.com</t>
  </si>
  <si>
    <t>OS1710046</t>
  </si>
  <si>
    <t>Andika Al Ramadhan</t>
  </si>
  <si>
    <t>Surabaya, 15 Mei 1986</t>
  </si>
  <si>
    <t>S1 CLINICAL PSYCHOLOGY</t>
  </si>
  <si>
    <t>Jl. Menanggal Iv No.04, Rt.003-Rw.002, Kel.Menanggal, Kec.Gayungan, Surabaya 60234</t>
  </si>
  <si>
    <t>082139968325</t>
  </si>
  <si>
    <t>MANDIRI : 1420012888383</t>
  </si>
  <si>
    <t>086454881609000</t>
  </si>
  <si>
    <t>3578221505860001</t>
  </si>
  <si>
    <t>0001838856352</t>
  </si>
  <si>
    <t>andikaramadhan.samsung@gmail.com, andika.r@partner.samsung.com</t>
  </si>
  <si>
    <t xml:space="preserve">OS1710047 </t>
  </si>
  <si>
    <t>Dedy Apriansyah</t>
  </si>
  <si>
    <t>Pontianak, 9 April 1988</t>
  </si>
  <si>
    <t>Jln. Gusti Hamzah Gg.Nursalim No.12 Pontianak</t>
  </si>
  <si>
    <t>0852 5253 5020</t>
  </si>
  <si>
    <t>MANDIRI : 1460006029164</t>
  </si>
  <si>
    <t>16.218.591.2-701.000</t>
  </si>
  <si>
    <t>6171030904880007</t>
  </si>
  <si>
    <t>15006976078</t>
  </si>
  <si>
    <t>0001636388065</t>
  </si>
  <si>
    <t>apriansyah.dedy2@gmail.com, dedy.a@partner.samsung.com, dedy.a@partner.samsung.com</t>
  </si>
  <si>
    <t>Product Marketing Internship</t>
  </si>
  <si>
    <t>87885293722</t>
  </si>
  <si>
    <t>terminated 12/04/2018</t>
  </si>
  <si>
    <t>OS1712004</t>
  </si>
  <si>
    <t>Bagus Gilang Yudanto</t>
  </si>
  <si>
    <t>Jakarta, 19 Mei 1993</t>
  </si>
  <si>
    <t>S1 Ilmu Komunikasi</t>
  </si>
  <si>
    <t>Key Account Officer</t>
  </si>
  <si>
    <t>nayaka.b@samsung.com, raby.a@samsung.com</t>
  </si>
  <si>
    <t>Jl. Nimun Raya Komplek Caltex No. 5 RT 08 / RW 10, Jakarta Selatan 12240</t>
  </si>
  <si>
    <t>087884587093 / 021 7392458</t>
  </si>
  <si>
    <t>BCA : 7310332628</t>
  </si>
  <si>
    <t>76.305.779.1-013.000</t>
  </si>
  <si>
    <t>3174051905930006</t>
  </si>
  <si>
    <t>0002079765832</t>
  </si>
  <si>
    <t>bgilangyudanto@gmail.com, bagus.g@partner.samsung.com</t>
  </si>
  <si>
    <t>OS1712005</t>
  </si>
  <si>
    <t>Yoga Satria</t>
  </si>
  <si>
    <t>Semarang, 19 November 1986</t>
  </si>
  <si>
    <t>Salesman Secondary Area Purwokerto</t>
  </si>
  <si>
    <t>ERWIN.ST@SAMSUNG.COM</t>
  </si>
  <si>
    <t>Jl. Kuala Mas VIII 377 RT 08 / RW 13, Kel. Panggung Lor Kec. Semarang Utara, Kota Semarang</t>
  </si>
  <si>
    <t>087824020527</t>
  </si>
  <si>
    <t>MANDIRI : 9000002818731</t>
  </si>
  <si>
    <t>44.804.805.8-504.000</t>
  </si>
  <si>
    <t>3374021911860001</t>
  </si>
  <si>
    <t>0001637582501</t>
  </si>
  <si>
    <t>yogasatria0527@gmail.com, y.satria@partner.samsung.com</t>
  </si>
  <si>
    <t>terminated 12/4/2018</t>
  </si>
  <si>
    <t>OS1801003</t>
  </si>
  <si>
    <t>Agung Kurniawan</t>
  </si>
  <si>
    <t>Semarang, 30 Maret 1981</t>
  </si>
  <si>
    <t>CE Salesman Semarang (Home Appliance)</t>
  </si>
  <si>
    <t>rizal.t@samsung.com</t>
  </si>
  <si>
    <t>TMN Karonsih Slt XI / 757 RT 09 / RW 06, Kel. Ngaliyan, Kota Semarang</t>
  </si>
  <si>
    <t>0247621603 / 085641222666</t>
  </si>
  <si>
    <t>MANDIRI 136-00-0778835-6</t>
  </si>
  <si>
    <t>08.808.967.7-503.000</t>
  </si>
  <si>
    <t>3374153003810004</t>
  </si>
  <si>
    <t>14007886204</t>
  </si>
  <si>
    <t>0001639472354</t>
  </si>
  <si>
    <t>Agoeng_30@Yahoo.com</t>
  </si>
  <si>
    <t>refuse extend 12/04/2018</t>
  </si>
  <si>
    <t>OS1802004</t>
  </si>
  <si>
    <t>Richi Dipa Kencana</t>
  </si>
  <si>
    <t>Jakarta, 01 Mei 1996</t>
  </si>
  <si>
    <t>ricky.b@samsung.com</t>
  </si>
  <si>
    <t>Cendana Golf 3 No.56 Bukit Golf Mediterania Pantai Indah Kapuk</t>
  </si>
  <si>
    <t>02156946882 / 081517308333</t>
  </si>
  <si>
    <t>BCA  8650116985</t>
  </si>
  <si>
    <t>3171020105960002</t>
  </si>
  <si>
    <t>0002316004907</t>
  </si>
  <si>
    <t>richikencana@gmail.com</t>
  </si>
  <si>
    <t>continue study 30/04/2018</t>
  </si>
  <si>
    <t>LIST OF EMPLOYEE PLACED AT PT National Oilwell Varco</t>
  </si>
  <si>
    <t>Tunj_meal &amp; transp /day</t>
  </si>
  <si>
    <t>OS1510048</t>
  </si>
  <si>
    <t>Unar</t>
  </si>
  <si>
    <t>Jakarta, 4 Maret 1964</t>
  </si>
  <si>
    <t>asuransi RI&amp;RJ plan 250, BPJS</t>
  </si>
  <si>
    <t xml:space="preserve">ump 2018 eff 1 Jan'18 prev 3.355.750 ; UMP 2017 prev 3.1jt </t>
  </si>
  <si>
    <t>Gg. Camat Gabun Rt/Rw.004/008 No.30 Lenteng Agung, Jagakarsa, Jakarta Selatan</t>
  </si>
  <si>
    <t>81295159124 / 021.78882558</t>
  </si>
  <si>
    <t>Mandiri : 1240007252605</t>
  </si>
  <si>
    <t>3174090403640001</t>
  </si>
  <si>
    <t>0001744977789 M1</t>
  </si>
  <si>
    <t>OS1704012</t>
  </si>
  <si>
    <t>Firsca Ayu Junianty</t>
  </si>
  <si>
    <t>Jakarta, 20 Juni 1997</t>
  </si>
  <si>
    <t>adj eff 1 Jan'18 prev 3.5 jt</t>
  </si>
  <si>
    <t>Taman Alamanda Blok F5 No.45 Rt/Rw.003/019 Karang Satria, Tambun Utara, Bekasi 17510</t>
  </si>
  <si>
    <t xml:space="preserve">BCA : 8420588241   </t>
  </si>
  <si>
    <t xml:space="preserve">732893094435000   </t>
  </si>
  <si>
    <t>3216056006970004</t>
  </si>
  <si>
    <t>Firscadevinaa@gmail.com, Firsca.Junianty@dnow.com</t>
  </si>
  <si>
    <t>OS1601031</t>
  </si>
  <si>
    <t>Pheni Koesumaningrum</t>
  </si>
  <si>
    <t>Jakarta, 14 aug 1975</t>
  </si>
  <si>
    <t>Inside Sales Representative</t>
  </si>
  <si>
    <t>salary NETT</t>
  </si>
  <si>
    <t>Puri Depok Mas Blok N-II A Rt.006 Rw.020 Pancoran Mas, Kota Depok</t>
  </si>
  <si>
    <t>BCA: 7330111881</t>
  </si>
  <si>
    <t>0001847668871 M2</t>
  </si>
  <si>
    <t>terminated 9/6/2016</t>
  </si>
  <si>
    <t>OS1601032</t>
  </si>
  <si>
    <t>Yunita Rosanti</t>
  </si>
  <si>
    <t>Purwokerto, 23 Juni 1982</t>
  </si>
  <si>
    <t>Jl. Kalibener No.724 Rt/Rw.005/002 Kranji, Purwokerto Timur, Kab. Banyumas, Jawa Tengah</t>
  </si>
  <si>
    <t>0815 42900740</t>
  </si>
  <si>
    <t>BCA: 0460613965</t>
  </si>
  <si>
    <t>3302266306820002</t>
  </si>
  <si>
    <t>0001622993714</t>
  </si>
  <si>
    <t>terminated 12/6/2016</t>
  </si>
  <si>
    <t>OS1510047</t>
  </si>
  <si>
    <t>Ira Novitha Yanthie</t>
  </si>
  <si>
    <t>Medan, 26 November 1986</t>
  </si>
  <si>
    <t>Jl. Pengadegan Timur 3 No.17 Pancoran, Jakarta Selatan</t>
  </si>
  <si>
    <t>081283431654 / 081389524254</t>
  </si>
  <si>
    <t>Mandiri : 124 000 7221 972</t>
  </si>
  <si>
    <t>67.889.669.7.015.000</t>
  </si>
  <si>
    <t>3174016611860007</t>
  </si>
  <si>
    <t>0001379288665</t>
  </si>
  <si>
    <t>iranovithayanthie@gmail.com</t>
  </si>
  <si>
    <t>terminated 7/4/2017</t>
  </si>
  <si>
    <t>OS1802003</t>
  </si>
  <si>
    <t>RR Henny Aprilyana</t>
  </si>
  <si>
    <t>Jakarta, 12 April 1982</t>
  </si>
  <si>
    <t>Accounting</t>
  </si>
  <si>
    <t>BELUM JOIN</t>
  </si>
  <si>
    <t>No OT, asuransi RI&amp;RJ plan 250, BPJS</t>
  </si>
  <si>
    <t>Asrama Polri Palmerah Blok G No. 26 RT 07 / RW 14, Palmerah Jakarta Barat 11480</t>
  </si>
  <si>
    <t>CODE OS</t>
  </si>
  <si>
    <t xml:space="preserve">EDUCATIONAL </t>
  </si>
  <si>
    <t>Hiring Manager</t>
  </si>
  <si>
    <t>Call Allowance</t>
  </si>
  <si>
    <t>Broadband allow</t>
  </si>
  <si>
    <t>Transportasi 
Allw</t>
  </si>
  <si>
    <t>Medical Allw</t>
  </si>
  <si>
    <t>Tunj. Biaya Kost (NETT)</t>
  </si>
  <si>
    <t>BACKGROUND</t>
  </si>
  <si>
    <t xml:space="preserve"> OS1710004</t>
  </si>
  <si>
    <t>referal</t>
  </si>
  <si>
    <t>Fransiskus Feniks Frandez</t>
  </si>
  <si>
    <t>Palembang, 29 Juni 1983</t>
  </si>
  <si>
    <t>Kota Bandar Lampung =&gt; Jabodetabek</t>
  </si>
  <si>
    <t>Area Channel Manager Bandar Lampung =&gt; City Manager Jabodetabek</t>
  </si>
  <si>
    <t>Andy Atmadja</t>
  </si>
  <si>
    <t>adj 1 Mar 18 BS prev 11704000 Other prev 1 jt</t>
  </si>
  <si>
    <t>Perumahan Vila Tri Indah Blok B.4. Jln. H.Said 2 Kelurahan Kota Baru, Kecamatan Tanjung Karang Timur, Bandar Lampung</t>
  </si>
  <si>
    <t>0853-77777667</t>
  </si>
  <si>
    <t>BCA : 525566665</t>
  </si>
  <si>
    <t>583171277432000</t>
  </si>
  <si>
    <t>3275052909830015</t>
  </si>
  <si>
    <t>10032123415</t>
  </si>
  <si>
    <t>0001856970819</t>
  </si>
  <si>
    <t>ffrandez1@lenovo.com</t>
  </si>
  <si>
    <t xml:space="preserve"> OS1710005</t>
  </si>
  <si>
    <t>Oyong Wibisono Haris</t>
  </si>
  <si>
    <t>Semarang, 14 September 1981</t>
  </si>
  <si>
    <t>Forestry S1</t>
  </si>
  <si>
    <t>Yogyakarta</t>
  </si>
  <si>
    <t>Area Channel Manager Yogyakarta =&gt; City Manager Yogyakarta</t>
  </si>
  <si>
    <t>Siswo Endro Wahyono</t>
  </si>
  <si>
    <t>adj 1 Mar 18 prev 8250000</t>
  </si>
  <si>
    <t>Citra Gemilang 3 No. A9 Gandok Dk. Dobalan Rt.002 Kel. Timbulharjo Kec. Sewon,</t>
  </si>
  <si>
    <t>0812-28384066</t>
  </si>
  <si>
    <t>BCA : 4451324441</t>
  </si>
  <si>
    <t>68.471.383.7-518.000</t>
  </si>
  <si>
    <t>3520041409810001</t>
  </si>
  <si>
    <t>10022548217</t>
  </si>
  <si>
    <t>0001856820453</t>
  </si>
  <si>
    <t>oharis@lenovo.com, oyong_wibi@yahoo.com</t>
  </si>
  <si>
    <t xml:space="preserve"> OS1710006</t>
  </si>
  <si>
    <t>Suhendra Kustiadie</t>
  </si>
  <si>
    <t>Bandung, 8 November 1973</t>
  </si>
  <si>
    <t>Area Channel Manager Semarang =&gt; City Manager Semarang</t>
  </si>
  <si>
    <t>adj 1 Mar 18 prev 10179510</t>
  </si>
  <si>
    <t>Jasmine Park Blok J 14 No.33 Rt/Rw. 001/034 Batursari, Mranggen, Demak, Jawa Tengah</t>
  </si>
  <si>
    <t>0857-28733000 / 024-6736449</t>
  </si>
  <si>
    <t>BCA : 0371882731</t>
  </si>
  <si>
    <t>25.088.890.6-515.000</t>
  </si>
  <si>
    <t>3321010811730001</t>
  </si>
  <si>
    <t>16027374939</t>
  </si>
  <si>
    <t>0001315737843</t>
  </si>
  <si>
    <t>skustiadie@lenovo.com, kustiadie@gmail.com</t>
  </si>
  <si>
    <t xml:space="preserve"> OS1710007</t>
  </si>
  <si>
    <t>Daniel Hermawan</t>
  </si>
  <si>
    <t>Bandung, 15 April 1979</t>
  </si>
  <si>
    <t>D3 Management</t>
  </si>
  <si>
    <t>Area Channel Manager Bandung =&gt; City Manager Bandung</t>
  </si>
  <si>
    <t>Yohanes Kurniawan</t>
  </si>
  <si>
    <t>adj 1 Mar 18 prev 9254065</t>
  </si>
  <si>
    <t>Jl. CCI V No.2  RT 001 / RW 015 Mekarrahayu Margaaasih Kab.Bandung 40218</t>
  </si>
  <si>
    <t>085956377500 / 082129286666</t>
  </si>
  <si>
    <t>BCA : 437-064-0331</t>
  </si>
  <si>
    <t>69.516.492.1-445.000</t>
  </si>
  <si>
    <t>3204101504790007</t>
  </si>
  <si>
    <t>0002103663857</t>
  </si>
  <si>
    <t>dhermawan1@lenovo.com, danielhermawa@gmail.com</t>
  </si>
  <si>
    <t xml:space="preserve"> OS1710010</t>
  </si>
  <si>
    <t>Jonsen</t>
  </si>
  <si>
    <t>Bagan Siapi-api, 21 Juli 1992</t>
  </si>
  <si>
    <t>SMA</t>
  </si>
  <si>
    <t>Pekanbaru =&gt; Palembang</t>
  </si>
  <si>
    <t>Area Channel Manager Pekanbaru =&gt; City Manager Palembang</t>
  </si>
  <si>
    <t>rev other eff 1 Mar'18 prev 2 jt ; adj 1 Mar 18 BS prev 8034553 Other prev 1 jt</t>
  </si>
  <si>
    <t>Jl. Putri Hijau no.1-D LKIII</t>
  </si>
  <si>
    <t>0821-64293343</t>
  </si>
  <si>
    <t>BCA : 830 519 1031</t>
  </si>
  <si>
    <t>71.695.978.8-111.000</t>
  </si>
  <si>
    <t>1271052107920001</t>
  </si>
  <si>
    <t>14012318110</t>
  </si>
  <si>
    <t>0001627743971</t>
  </si>
  <si>
    <t>jkho@lenovo.com, jonsen1992@gmail.com</t>
  </si>
  <si>
    <t>resign 18/5/2018</t>
  </si>
  <si>
    <t xml:space="preserve"> OS1710011</t>
  </si>
  <si>
    <t>Ramawansyah. DJ</t>
  </si>
  <si>
    <t>Kendari, 19 Juni 1984</t>
  </si>
  <si>
    <t>Area Channel Manager Jabodetabek =&gt; City Manager Jabodetabek</t>
  </si>
  <si>
    <t>BECHMAN ABRAM SIMANJUNTAK</t>
  </si>
  <si>
    <t>adj 1 Mar 18 prev 12493580</t>
  </si>
  <si>
    <t>Perumahan Cendana Residence Blok i8/12. Serpong – Tangerang Selatan</t>
  </si>
  <si>
    <t>0812-85007111 / 081283766618</t>
  </si>
  <si>
    <t>BCA : 5240148465</t>
  </si>
  <si>
    <t>25.934.565.0012.000</t>
  </si>
  <si>
    <t>3174071906840001</t>
  </si>
  <si>
    <t>0001866911973</t>
  </si>
  <si>
    <t>rramawansyah@lenovo.com, Rama.gues@gmail.com</t>
  </si>
  <si>
    <t xml:space="preserve"> OS1710014</t>
  </si>
  <si>
    <t>Andrews Steven</t>
  </si>
  <si>
    <t>Medan, 11 November 1988</t>
  </si>
  <si>
    <t>S1 Teknik Infromatika</t>
  </si>
  <si>
    <t>Area Channel Manager Medan =&gt; City Manager Medan</t>
  </si>
  <si>
    <t>adj 1 Mar 18 prev 11529485</t>
  </si>
  <si>
    <t>Jl Inspeksi Komp Griya Marelan Tahap II Blok M No. 3 titipapan Medan 20245</t>
  </si>
  <si>
    <t>0811-65150251</t>
  </si>
  <si>
    <t>BCA : 0222181800</t>
  </si>
  <si>
    <t>443057393113000</t>
  </si>
  <si>
    <t>1271201111880002</t>
  </si>
  <si>
    <t>asteven@lenovo.com</t>
  </si>
  <si>
    <t xml:space="preserve"> OS1710015</t>
  </si>
  <si>
    <t>Nikki Effendi</t>
  </si>
  <si>
    <t>Jakarta, 21 Oktober 1980</t>
  </si>
  <si>
    <t>adj 1 Mar 18 prev 11000000</t>
  </si>
  <si>
    <t xml:space="preserve">Alinda Kencana I Blok N 2 No.20 Rt/Rw.013/021 Kaliabang Tengah, Bekasi Utara, Kota Bekasi </t>
  </si>
  <si>
    <t>087782372323 / 089651866618</t>
  </si>
  <si>
    <t>BCA : 4141532663</t>
  </si>
  <si>
    <t>242819092045000</t>
  </si>
  <si>
    <t>3275032110800023</t>
  </si>
  <si>
    <t>0001645724272</t>
  </si>
  <si>
    <t>nickyale80@gmail.com</t>
  </si>
  <si>
    <t xml:space="preserve"> OS1710016</t>
  </si>
  <si>
    <t>Widy Rahayu</t>
  </si>
  <si>
    <t>Jakarta, 26 Agustus 1986</t>
  </si>
  <si>
    <t>SMK</t>
  </si>
  <si>
    <t>Sales Ops</t>
  </si>
  <si>
    <t>adj 10% eff 1 Feb 18 prev 6840435</t>
  </si>
  <si>
    <t>Jl. Gunung Indah VI, RT 02/03 No 32</t>
  </si>
  <si>
    <t>BCA : 6090263003</t>
  </si>
  <si>
    <t>74.375.926.8-453.000</t>
  </si>
  <si>
    <t>3674056608860013</t>
  </si>
  <si>
    <t>wrahayu@lenovo.com, wrahayu2608@gmail.com</t>
  </si>
  <si>
    <t xml:space="preserve"> OS1710017</t>
  </si>
  <si>
    <t>Ratna Setiawati</t>
  </si>
  <si>
    <t>Bandung 15 November 1984</t>
  </si>
  <si>
    <t>adj 8% eff 1 Feb 18 prev 5146196</t>
  </si>
  <si>
    <t>Jalan Jembatan Serong</t>
  </si>
  <si>
    <t>BCA : 5255175936</t>
  </si>
  <si>
    <t>543980254412000</t>
  </si>
  <si>
    <t>3276065511840008</t>
  </si>
  <si>
    <t>16036867964</t>
  </si>
  <si>
    <t>rshitawaty@lenovo.com</t>
  </si>
  <si>
    <t xml:space="preserve"> OS1710018</t>
  </si>
  <si>
    <t>Rendy Fauziansyah</t>
  </si>
  <si>
    <t>Bekasi, 6 Juni 1992</t>
  </si>
  <si>
    <t>adj 10% eff 1 Feb 18 prev 3408247</t>
  </si>
  <si>
    <t>Jl. Pala II No.10 Rt/Rw.002/006 Kel. Kota Baru Kec. Bekasi Barat, Kota Bekasi</t>
  </si>
  <si>
    <t>BCA : 0660785183</t>
  </si>
  <si>
    <t>735020521407000</t>
  </si>
  <si>
    <t>3275020606920009</t>
  </si>
  <si>
    <t>0001259902517</t>
  </si>
  <si>
    <t>rendyfauziansyah@gmail.com</t>
  </si>
  <si>
    <t xml:space="preserve"> OS1710019</t>
  </si>
  <si>
    <t xml:space="preserve">Nur Hidayat </t>
  </si>
  <si>
    <t>Jakarta, 09 July 1985</t>
  </si>
  <si>
    <t>adj 10% eff 1 Feb 18 prev 4620000</t>
  </si>
  <si>
    <t>Balimatraman Rt 15/10 no 19 Kel manggarai selatan Kec tebet</t>
  </si>
  <si>
    <t>0821-6906-6630</t>
  </si>
  <si>
    <t>BCA : 5750267728</t>
  </si>
  <si>
    <t>70.430.999.5-015.000</t>
  </si>
  <si>
    <t>3174010907850015</t>
  </si>
  <si>
    <t>15001470002</t>
  </si>
  <si>
    <t>0001264723839</t>
  </si>
  <si>
    <t>ahidayat@lenovo.com</t>
  </si>
  <si>
    <t xml:space="preserve"> OS1710020</t>
  </si>
  <si>
    <t>Efendi Susanto</t>
  </si>
  <si>
    <t>Weleri, 15 Desember 1981</t>
  </si>
  <si>
    <t>S1 Computerized Accounting</t>
  </si>
  <si>
    <t>Trainer Leader</t>
  </si>
  <si>
    <t>adj 8% eff 1 Feb 18 prev 18150000</t>
  </si>
  <si>
    <t>Sunter Kirana IV T-1 No. 2</t>
  </si>
  <si>
    <t>021-6509545 / 08176509545</t>
  </si>
  <si>
    <t>BCA : 5270538063</t>
  </si>
  <si>
    <t>34.493.687.7-048.000</t>
  </si>
  <si>
    <t>3172021512810006</t>
  </si>
  <si>
    <t>15060441530</t>
  </si>
  <si>
    <t>esusanto@lenovo.com, efendi.susanto@gmail.com</t>
  </si>
  <si>
    <t xml:space="preserve"> OS1710021</t>
  </si>
  <si>
    <t>Fitri Aprilia</t>
  </si>
  <si>
    <t>Jakarta, 4 April 1992</t>
  </si>
  <si>
    <t>ROM =&gt; City Manager 1/3/2018</t>
  </si>
  <si>
    <t>change posisi eff 1 Mar'18 BS prev 13.597.890 ; adj 10% eff 1 Feb 18 prev 12361718</t>
  </si>
  <si>
    <t>Kp. Pasar Lama RT 03 / RW 06, Kel. Bojong gede, Bogor</t>
  </si>
  <si>
    <t>BCA : 6930262666</t>
  </si>
  <si>
    <t>462084492403000</t>
  </si>
  <si>
    <t>3201134404920002</t>
  </si>
  <si>
    <t>14037342038</t>
  </si>
  <si>
    <t>faprilia@lenovo.com, aprilliavie@gmail.com</t>
  </si>
  <si>
    <t xml:space="preserve"> OS1710022</t>
  </si>
  <si>
    <t>Rony Setia Budi</t>
  </si>
  <si>
    <t>Banjarmasin, 06 Mei 1983</t>
  </si>
  <si>
    <t>Banjarmasin =&gt; Surabaya</t>
  </si>
  <si>
    <t>Area Channel Manager Banjarmasin =&gt; City Manager Surabaya</t>
  </si>
  <si>
    <t>adj 1 Mar 18 BS prev 8469120 Other prev 1 jt</t>
  </si>
  <si>
    <t>Jl. Skip lama GG. Sampurna Rt, 21 N0. 74</t>
  </si>
  <si>
    <t>0853-46607777</t>
  </si>
  <si>
    <t>BCA : 0510894286</t>
  </si>
  <si>
    <t>157142548731000</t>
  </si>
  <si>
    <t>6371050605830003</t>
  </si>
  <si>
    <t xml:space="preserve">15031696683 </t>
  </si>
  <si>
    <t>1645623459</t>
  </si>
  <si>
    <t>rbudi1@lenovo.com, rony.setia@yahoo.co.id</t>
  </si>
  <si>
    <t xml:space="preserve"> OS1710023</t>
  </si>
  <si>
    <t>Eryanto</t>
  </si>
  <si>
    <t>Bengkalis, 30 April 1988</t>
  </si>
  <si>
    <t>Retail Executive</t>
  </si>
  <si>
    <t>adj 10% eff 1 Feb 18 prev 15950000</t>
  </si>
  <si>
    <t>Jl. Bambu Kuning Blok FF No. 16 RT 05 / RW 10, Kel. Rejosari Kec. Tenayan Raya, Kota Pekanbaru</t>
  </si>
  <si>
    <t>BCA : 0341994178</t>
  </si>
  <si>
    <t>89.899.627.7-211.000</t>
  </si>
  <si>
    <t>1471103004880023</t>
  </si>
  <si>
    <t>14032819972</t>
  </si>
  <si>
    <t>0001602777317</t>
  </si>
  <si>
    <t>ehuang@lenovo.com</t>
  </si>
  <si>
    <t xml:space="preserve"> OS1710025</t>
  </si>
  <si>
    <t>Putri Azhariny</t>
  </si>
  <si>
    <t>Jakarta, 8 Oktober 1990</t>
  </si>
  <si>
    <t>Admin Sales</t>
  </si>
  <si>
    <t>adj 8% eff 1 Feb 18 prev 5566000</t>
  </si>
  <si>
    <t>Jl. Lembah Aren VI BL.K7/15 RT 13 / RW 09, Kel. Pondok Kelapa Kec. Duren Sawit, Jakarta Timur</t>
  </si>
  <si>
    <t>0839 92138408</t>
  </si>
  <si>
    <t>BCA : 2721633375</t>
  </si>
  <si>
    <t>687513093008000</t>
  </si>
  <si>
    <t>3175074810900005</t>
  </si>
  <si>
    <t>15060441373</t>
  </si>
  <si>
    <t>0001766823805</t>
  </si>
  <si>
    <t>pazhariny@lenovo.com</t>
  </si>
  <si>
    <t xml:space="preserve"> OS1710026</t>
  </si>
  <si>
    <t>Sales Ops Manager =&gt; City Manager</t>
  </si>
  <si>
    <t>adj 10% eff 1 Feb 18 prev 22862224</t>
  </si>
  <si>
    <t>BCA : 6890873471</t>
  </si>
  <si>
    <t>3671054304830008</t>
  </si>
  <si>
    <t>14043827386</t>
  </si>
  <si>
    <t>drachmayana@lenovo.com</t>
  </si>
  <si>
    <t xml:space="preserve"> OS1710030</t>
  </si>
  <si>
    <t>Bagus Aditya Satwika W</t>
  </si>
  <si>
    <t>Klaten, 14 September 1985</t>
  </si>
  <si>
    <t>Bali =&gt; Surabaya</t>
  </si>
  <si>
    <t>Area Channel Manager Bali =&gt; City Manager Surabaya</t>
  </si>
  <si>
    <t>SOEMARNO (Arnold)</t>
  </si>
  <si>
    <t>adj 1 Mar 18 BS prev 11302248 Other prev 1 jt</t>
  </si>
  <si>
    <t>SomoitanRT I/6, Ngering Jogonalan, Klaten</t>
  </si>
  <si>
    <t>BCA : 8270645446</t>
  </si>
  <si>
    <t>08.936.529.0-525.000</t>
  </si>
  <si>
    <t>3310081409850004</t>
  </si>
  <si>
    <t>16027374848</t>
  </si>
  <si>
    <t>0001655621662</t>
  </si>
  <si>
    <t>bsatwika@lenovo.com</t>
  </si>
  <si>
    <t>OS1701032</t>
  </si>
  <si>
    <t>Adi Firmansyah</t>
  </si>
  <si>
    <t>Jakarta , 25 Mei 1983</t>
  </si>
  <si>
    <t>Retail Ops</t>
  </si>
  <si>
    <t>INDRA GUNAWAN</t>
  </si>
  <si>
    <t>eff 1 Apr '18 tunjangan incentive dihapus prev 2jt</t>
  </si>
  <si>
    <t>Jl RE Martadinata Gg rambutan rt 004/04 no 42 cimanggis cipayung ciputat tangerang selatan 15411</t>
  </si>
  <si>
    <t>0812-88099981</t>
  </si>
  <si>
    <t>CIMB NIAGA : 701942249700</t>
  </si>
  <si>
    <t>263107302411000</t>
  </si>
  <si>
    <t>3674042505830005</t>
  </si>
  <si>
    <t>25adi05@gmail.com, retailops2@lenovo.com</t>
  </si>
  <si>
    <t>OS1711055</t>
  </si>
  <si>
    <t>Hary Okky Prasetyo</t>
  </si>
  <si>
    <t>Jakarta, 26 September 1989</t>
  </si>
  <si>
    <t>Jl. Palem Puri 2, Puri Bintaro Mansion Blok A No.7, Sawah Baru, Ciputat, Tangerang Selatan 15413</t>
  </si>
  <si>
    <t>021-22211187 / 081311038003</t>
  </si>
  <si>
    <t xml:space="preserve">BCA : 731.014.7421 </t>
  </si>
  <si>
    <t>895142180035000</t>
  </si>
  <si>
    <t>3173052609890002</t>
  </si>
  <si>
    <t>14027445965</t>
  </si>
  <si>
    <t>HARYOKKYPRASETYO@GMAIL.COM, retailops1@lenovo.com</t>
  </si>
  <si>
    <t>OS1802028</t>
  </si>
  <si>
    <t>Agung Agustinus</t>
  </si>
  <si>
    <t>Jakarta, 26 Agustus 1993</t>
  </si>
  <si>
    <t>City Manager Area Jakarta</t>
  </si>
  <si>
    <t>Gg. Arjuna Blok C1 No 10 Rt 4 Rw 7 Kelurahan Tegal Alur ,kecamatan Kalideres Jakarta Barat 11820</t>
  </si>
  <si>
    <t>0818088881932 / 082298888193</t>
  </si>
  <si>
    <t>BCA  7100292313</t>
  </si>
  <si>
    <t>71.759.519.3-085.000</t>
  </si>
  <si>
    <t>3173062608930001</t>
  </si>
  <si>
    <t>17015676913</t>
  </si>
  <si>
    <t>0001772856145</t>
  </si>
  <si>
    <t>AgustinusLenovo@gmail.com</t>
  </si>
  <si>
    <t>OS1701030</t>
  </si>
  <si>
    <t>Nancy</t>
  </si>
  <si>
    <t>Jakarta, 22 Juli 1986</t>
  </si>
  <si>
    <t>S1 Electrical Engineering</t>
  </si>
  <si>
    <t>Area Manager (ST) Jabotabek</t>
  </si>
  <si>
    <t>Silvia Trenaningsih</t>
  </si>
  <si>
    <t>BPJS KES, ASURANSI 300</t>
  </si>
  <si>
    <t>BSD Busa Loka Sektor 14-5, Jl. Giliraja Blok Q1 No. 28
KTP : Gg. Langgar RT 10 / RW 07, Kel. Tangki Kec. Taman Sari, Jakarta Barat</t>
  </si>
  <si>
    <t>081218950888</t>
  </si>
  <si>
    <t>BCA : 1662582918</t>
  </si>
  <si>
    <t>25.500.076.2-412.000</t>
  </si>
  <si>
    <t>3276026207860005</t>
  </si>
  <si>
    <t>15005722382</t>
  </si>
  <si>
    <t>nsutrisna@lenovo.com</t>
  </si>
  <si>
    <t>resign 30/4/2017</t>
  </si>
  <si>
    <t>OS1701013</t>
  </si>
  <si>
    <t>Antony Widjaja</t>
  </si>
  <si>
    <t>Jakarta, 10 Nopember 1979</t>
  </si>
  <si>
    <t>S1 Electro</t>
  </si>
  <si>
    <t>LKPP &amp; Product Specialist =&gt; E-Commerce B2G &amp; Product Specialist</t>
  </si>
  <si>
    <t>Azis Wonosari</t>
  </si>
  <si>
    <t>BPJS KES, ASURANSI FAMILY 300</t>
  </si>
  <si>
    <t>Jl. Carina Sayang Blok Y No. 10 RT 05 / RW 10, Bojong Indah, Rawa Buaya, Cengkareng, Jakarta Barat 11740</t>
  </si>
  <si>
    <t>08151815612</t>
  </si>
  <si>
    <t>CIMB NIAGA : 701609555000</t>
  </si>
  <si>
    <t>59.410.527.2-034.000</t>
  </si>
  <si>
    <t>3173011011790025</t>
  </si>
  <si>
    <t>10016182635</t>
  </si>
  <si>
    <t>awidjaja@live.com</t>
  </si>
  <si>
    <t>OS1701016</t>
  </si>
  <si>
    <t>Rian Saputra</t>
  </si>
  <si>
    <t>Semarang, 2 Juni 1985</t>
  </si>
  <si>
    <t>Area Manager (ST) Central Java</t>
  </si>
  <si>
    <t>Daud</t>
  </si>
  <si>
    <t>Lamper Tengah III / 158 RT 07 / RW 03, Kel. Lamper Tengah Kec. Semarang Selatan, Semarang</t>
  </si>
  <si>
    <t>CIMB NIAGA : 424-01-00507-11-4</t>
  </si>
  <si>
    <t>npwp tidak terbaca</t>
  </si>
  <si>
    <t>3374070206850004</t>
  </si>
  <si>
    <t>001862631336</t>
  </si>
  <si>
    <t>rsaputra@lenovo.com</t>
  </si>
  <si>
    <t>OS1701017</t>
  </si>
  <si>
    <t>Dewi Rahmawati</t>
  </si>
  <si>
    <t>Jakarta, 22 Juni 1987</t>
  </si>
  <si>
    <t>S1 ACCOUNTING</t>
  </si>
  <si>
    <t>Finance &amp; Tax Admin</t>
  </si>
  <si>
    <t>Sri Tuti Chuandri</t>
  </si>
  <si>
    <t>Jl. Menteng Karang Gg. I No. 57</t>
  </si>
  <si>
    <t>085693006240</t>
  </si>
  <si>
    <t>Mandiri : 157-00-0157087-9</t>
  </si>
  <si>
    <t>35.647.206.8-017.000</t>
  </si>
  <si>
    <t>3174096206870006</t>
  </si>
  <si>
    <t>12007463834</t>
  </si>
  <si>
    <t>0001453147593</t>
  </si>
  <si>
    <t>dewi_rahmawati87@yahoo.co.id; drahmawati@lenovo.com</t>
  </si>
  <si>
    <t>OS1701018</t>
  </si>
  <si>
    <t>Shintia Suzanna Tampubolon</t>
  </si>
  <si>
    <t>Depok, 17 September 1984</t>
  </si>
  <si>
    <t>D3 PUBLIC RELATIONS</t>
  </si>
  <si>
    <t>Veronica Tjahjono</t>
  </si>
  <si>
    <t>Jl. Sersan Aning No. 64 Depok, RT 04 / RW 07, Kec. Pancoran Mas, Depok</t>
  </si>
  <si>
    <t>021 7757435 / 082123499316</t>
  </si>
  <si>
    <t>CIMB NIAGA : 329-01-0014-12-1</t>
  </si>
  <si>
    <t>78.403.6675-412.000</t>
  </si>
  <si>
    <t>327601570984004</t>
  </si>
  <si>
    <t>13035121725</t>
  </si>
  <si>
    <t>shintiatampubolon@gmail.com; recepjkt_id@lenovo.com</t>
  </si>
  <si>
    <t>OS1701021</t>
  </si>
  <si>
    <t>Destanti Lakstiarini</t>
  </si>
  <si>
    <t>Jakarta, 23 Maret 1994</t>
  </si>
  <si>
    <t xml:space="preserve">S </t>
  </si>
  <si>
    <t>T2 Ops Application</t>
  </si>
  <si>
    <t>Jl. Gamelan Kidul 10 YK RT 17 / RW 06, Kel. Panembahan Kec. Kraton, Yogyakarta</t>
  </si>
  <si>
    <t>083869249589</t>
  </si>
  <si>
    <t>Mandiri : 1170006191506</t>
  </si>
  <si>
    <t>98.471.645.6-541.000</t>
  </si>
  <si>
    <t>3471096303940001</t>
  </si>
  <si>
    <t>destantilakstiarini@gmail.com</t>
  </si>
  <si>
    <t>OS1701031</t>
  </si>
  <si>
    <t>Ayok Budi Susanto</t>
  </si>
  <si>
    <t>Jombang, 31 Januari 1985</t>
  </si>
  <si>
    <t>Area Manager (ST) Surabaya</t>
  </si>
  <si>
    <t>Willy Setiawan</t>
  </si>
  <si>
    <t>Dsn Rejoslamet RT 04 / RW 01 Kel. Mancilan Kec. Mojoagung, Jombang</t>
  </si>
  <si>
    <t>BCA : 2650265966</t>
  </si>
  <si>
    <t>3517063101850001</t>
  </si>
  <si>
    <t>mau cairin</t>
  </si>
  <si>
    <t>asusanto@lenovo.com</t>
  </si>
  <si>
    <t>Jakarta, 25 Mei 1983</t>
  </si>
  <si>
    <t>Trainer Specialist</t>
  </si>
  <si>
    <t>Sri Windarto Adi (Tony)</t>
  </si>
  <si>
    <t>Cimanggis RT 04 / RW 04, Kel. Cipayung Kec. Ciputat, Kota Tangerang</t>
  </si>
  <si>
    <t xml:space="preserve">0812 880 999 81 </t>
  </si>
  <si>
    <t>BCA : 609-031-3108</t>
  </si>
  <si>
    <t>26.310.730.2-411.000</t>
  </si>
  <si>
    <t>14021326278</t>
  </si>
  <si>
    <t>afirmansyah@lenovo.com</t>
  </si>
  <si>
    <t>Dayminta Gracia Arista</t>
  </si>
  <si>
    <t>ISR</t>
  </si>
  <si>
    <t>Jl. Indraloka VII Blk H.3/1891 Rt/Rw. 008/006 Wijaya Kusuma, Grogol Petamburan, Jakarta Barat</t>
  </si>
  <si>
    <t xml:space="preserve">021-5871370   / 081219110221  </t>
  </si>
  <si>
    <t>BCA : 4661293912</t>
  </si>
  <si>
    <t>97.000.459.4-036.000</t>
  </si>
  <si>
    <t>3173026306860003</t>
  </si>
  <si>
    <t xml:space="preserve">darista@lenovo.com,dayminta.gracia@gmail.com       </t>
  </si>
  <si>
    <t>OS1701015</t>
  </si>
  <si>
    <t>Hardiantono Supardi</t>
  </si>
  <si>
    <t>Tangerang, 10 Nopember 1991</t>
  </si>
  <si>
    <t>Cons Segm T1</t>
  </si>
  <si>
    <t>Jl. Alpukat 4 Blok E 17/4 RT 03 / RW 18, Kel. Benda Baru Kec. Pamulang</t>
  </si>
  <si>
    <t>08788027093</t>
  </si>
  <si>
    <t>54.868.881.1-411.000</t>
  </si>
  <si>
    <t>3674061011910015</t>
  </si>
  <si>
    <t>14000276502</t>
  </si>
  <si>
    <t>0002069926997</t>
  </si>
  <si>
    <t>ardyanto60@gmail.com; hsupardi@lenovo.com</t>
  </si>
  <si>
    <t>terminated 30/4/2017</t>
  </si>
  <si>
    <t>OS1701019</t>
  </si>
  <si>
    <t>Muhammad Yunus</t>
  </si>
  <si>
    <t>Jakarta, 2 Mei 1976</t>
  </si>
  <si>
    <t xml:space="preserve">D3 </t>
  </si>
  <si>
    <t>Yes 30hrs</t>
  </si>
  <si>
    <t>Jl. Surilang RT 09 / RW 01, Kel. Gedong Kec. Pasar Rebo, Jakarta Timur</t>
  </si>
  <si>
    <t>081317573692</t>
  </si>
  <si>
    <t>CIMB NIAGA : 329-01-00286-11-8 / BCA : 5255226263</t>
  </si>
  <si>
    <t>58.546.709.5-009.000</t>
  </si>
  <si>
    <t>3276020205740024</t>
  </si>
  <si>
    <t>10032123118</t>
  </si>
  <si>
    <t xml:space="preserve"> OS1710008</t>
  </si>
  <si>
    <t>Bagus A Reindo</t>
  </si>
  <si>
    <t>Bandung, 20 Februari 1985</t>
  </si>
  <si>
    <t>Cirebon</t>
  </si>
  <si>
    <t>Area Channel Manager Cirebon</t>
  </si>
  <si>
    <t>entitle kost per join e_31/10/2017 1.1 jt base on kwitansi, exclude di kontrak kerja</t>
  </si>
  <si>
    <t>Kp. Cikadu RT 02 / RW 01, Kel. Wangunsari Kec. Lembang, Bandung Barat</t>
  </si>
  <si>
    <t>087767888270 / 0813-94414520 / 0877-67888279</t>
  </si>
  <si>
    <t>BCA : 3462452460</t>
  </si>
  <si>
    <t>700305121445000</t>
  </si>
  <si>
    <t>3204162002850006</t>
  </si>
  <si>
    <t>15060441514</t>
  </si>
  <si>
    <t>0001766821623</t>
  </si>
  <si>
    <t>baria@lenovo.com</t>
  </si>
  <si>
    <t xml:space="preserve"> OS1710029</t>
  </si>
  <si>
    <t>Feri Kurniawan</t>
  </si>
  <si>
    <t>Balikpapan, 16 Februari 1978</t>
  </si>
  <si>
    <t>Area Channel Manager Balikpapan</t>
  </si>
  <si>
    <t>Jl. Markoni Atas RT. 46 No. 8 Balikpapan 76112</t>
  </si>
  <si>
    <t>0877-23000077 / 62542760504</t>
  </si>
  <si>
    <t>MANDIRI : '149-00-0237707-7</t>
  </si>
  <si>
    <t>66.433.155.0-721.000</t>
  </si>
  <si>
    <t>6471021602780003</t>
  </si>
  <si>
    <t>0001298194378</t>
  </si>
  <si>
    <t>fkurniawan@lenovo.com</t>
  </si>
  <si>
    <t>not extend 21/12/2017</t>
  </si>
  <si>
    <t>OS1701014</t>
  </si>
  <si>
    <t>Marina Ratnasari R</t>
  </si>
  <si>
    <t>Jayapura, 9 Maret 1989</t>
  </si>
  <si>
    <t>Admin Mobil MIDH</t>
  </si>
  <si>
    <t>Miranda Vania</t>
  </si>
  <si>
    <t>Jl. Garuda KR Tengah RT 03/ RW 05, Kel. Jatisampurna Kec. Jatisampurna, Bekasi</t>
  </si>
  <si>
    <t>012 8445901 / 081310986520</t>
  </si>
  <si>
    <t>CIMB NIAGA : 701612039300</t>
  </si>
  <si>
    <t>97.356.855.3-432.000</t>
  </si>
  <si>
    <t>3275104903890012</t>
  </si>
  <si>
    <t>12017766721</t>
  </si>
  <si>
    <t>marina_ratnasari1989@yahoo.com, mratnasari@lenovo.com</t>
  </si>
  <si>
    <t>TERMINATED 31/1/2018</t>
  </si>
  <si>
    <t xml:space="preserve"> OS1711007</t>
  </si>
  <si>
    <t>Agung Salam Dwiyanto</t>
  </si>
  <si>
    <t>Jakarta, 10 September 1980</t>
  </si>
  <si>
    <t>Design Graphis</t>
  </si>
  <si>
    <t>Griya Melati Mas K1/5 Jatimulya, Cilodong, Depok, Jawa Barat</t>
  </si>
  <si>
    <t>BCA : 5750246143</t>
  </si>
  <si>
    <t>57.353.163.9-017.000</t>
  </si>
  <si>
    <t>3174091009800014</t>
  </si>
  <si>
    <t>0002103682195</t>
  </si>
  <si>
    <t>tanyaagungsalam@gmail.com</t>
  </si>
  <si>
    <t>OS1702166</t>
  </si>
  <si>
    <t>new hire</t>
  </si>
  <si>
    <t>Fairuz Zabadi</t>
  </si>
  <si>
    <t>Jakarta, 19 Juli 1983</t>
  </si>
  <si>
    <t>ACCOUNTING</t>
  </si>
  <si>
    <t>Event &amp; Activation Specialist</t>
  </si>
  <si>
    <t>Komp. Mekarsari Permai Jl. Bunga Raya Blok. A No. 1 Rt/Rw. 001/012, Mekarsari, Cimanggis, Depok</t>
  </si>
  <si>
    <t>0812-9885-8285 / 021-8715645</t>
  </si>
  <si>
    <t>MANDIRI : 129.00.110.5693.0</t>
  </si>
  <si>
    <t>67.611.024.0-412.000</t>
  </si>
  <si>
    <t>327.602.190783.0008</t>
  </si>
  <si>
    <t>fairuzzabadi_19@yahoo.com</t>
  </si>
  <si>
    <t>TERMINATED 19/2/2018</t>
  </si>
  <si>
    <t xml:space="preserve"> OS1710012</t>
  </si>
  <si>
    <t>Sonny Kurniawan</t>
  </si>
  <si>
    <t>Bojonegoro, 19 Oktober 1982</t>
  </si>
  <si>
    <t>S1 Magister Management</t>
  </si>
  <si>
    <t>Area Channel Manager Surabaya =&gt; City Manager</t>
  </si>
  <si>
    <t>Jl. J.A Suprapto 178 RT 02 / RW 01, Kel. Banjarejo Kec. Bojonegoro</t>
  </si>
  <si>
    <t>0878-32882999 / 0353-885070</t>
  </si>
  <si>
    <t>BCA : 8640002388</t>
  </si>
  <si>
    <t>69.774.008.2-601.000</t>
  </si>
  <si>
    <t>3522151910820009</t>
  </si>
  <si>
    <t>0001766824413</t>
  </si>
  <si>
    <t>skurniawan@lenovo.com, run3_angel@yahoo.com</t>
  </si>
  <si>
    <t xml:space="preserve"> OS1710024</t>
  </si>
  <si>
    <t>Febby Setiawan Tjahyono</t>
  </si>
  <si>
    <t>Surabaya, 08 Februari 1992</t>
  </si>
  <si>
    <t>Area Channel Manager Malang</t>
  </si>
  <si>
    <t>Jl Medokan Semampir Blok H 34 Surabaya</t>
  </si>
  <si>
    <t>081232584118</t>
  </si>
  <si>
    <t>BCA : 1302158830</t>
  </si>
  <si>
    <t>08.640.484.5-609.000</t>
  </si>
  <si>
    <t>3578040802920005</t>
  </si>
  <si>
    <t>16036868475</t>
  </si>
  <si>
    <t>Febbytjahjono66@gmail.com, febbytjahjono66@gmail.com</t>
  </si>
  <si>
    <t xml:space="preserve"> OS1710027</t>
  </si>
  <si>
    <t>Djuarddin</t>
  </si>
  <si>
    <t>Ambeua, 17 Agustus 1975</t>
  </si>
  <si>
    <t>S1 Manajemen Industri</t>
  </si>
  <si>
    <t>Area Channel Manager Manado</t>
  </si>
  <si>
    <t>Jl. Muh Tahir Pinggir Kanal No. 4, RT 04 / RW 01, Kel. Jongaya Kec. Tamalate, Kota Makassar</t>
  </si>
  <si>
    <t>08128752578 / 081342983456</t>
  </si>
  <si>
    <t>MANDIRI : 1520015342427</t>
  </si>
  <si>
    <t>165836602804000</t>
  </si>
  <si>
    <t>7371101708750025</t>
  </si>
  <si>
    <t>17019059439</t>
  </si>
  <si>
    <t>0002136721994</t>
  </si>
  <si>
    <t>m.juarddin@lenovo.com</t>
  </si>
  <si>
    <t xml:space="preserve"> OS1710028</t>
  </si>
  <si>
    <t>Maulana Achmad</t>
  </si>
  <si>
    <t>Jakarta, 23 Mei 1989</t>
  </si>
  <si>
    <t>Area Channel Manager Pontianak</t>
  </si>
  <si>
    <t>Kp. Kapitan No.42 B Rt/Rw.008/004 Kel. Klender Kec. Duren Sawit, Jakarta Timur</t>
  </si>
  <si>
    <t>08111929658</t>
  </si>
  <si>
    <t>BCA : 2301511215</t>
  </si>
  <si>
    <t>255706665008000</t>
  </si>
  <si>
    <t>3175072305890009</t>
  </si>
  <si>
    <t>14021872495</t>
  </si>
  <si>
    <t>0001770013495</t>
  </si>
  <si>
    <t>machmad@lenovo.com</t>
  </si>
  <si>
    <t xml:space="preserve"> OS1710031</t>
  </si>
  <si>
    <t>Rangga Purnama</t>
  </si>
  <si>
    <t>Jakarta, 20 Oktober 1985</t>
  </si>
  <si>
    <t>Retail Supervisor</t>
  </si>
  <si>
    <t>adj 8% eff 1 Feb 18 prev 8400000</t>
  </si>
  <si>
    <t>Kp. Kayuringin RT 01 RW 24, Kayuringin Jaya, Bekasi Selatan</t>
  </si>
  <si>
    <t>2122889288 / 081222200822</t>
  </si>
  <si>
    <t>BCA : '7390585769</t>
  </si>
  <si>
    <t>683774715432000</t>
  </si>
  <si>
    <t>3275042010850021</t>
  </si>
  <si>
    <t>15001469954</t>
  </si>
  <si>
    <t>0001870828986</t>
  </si>
  <si>
    <t>rpurnama@lenovo.com</t>
  </si>
  <si>
    <t>terminated 28/2/2018 move agent</t>
  </si>
  <si>
    <t>revisi kontrak</t>
  </si>
  <si>
    <t xml:space="preserve"> OS1710009</t>
  </si>
  <si>
    <t>Mohamad Khadafi</t>
  </si>
  <si>
    <t>Jakarta 08 April 1978</t>
  </si>
  <si>
    <t>adj 1 Mar 18 prev 9863821</t>
  </si>
  <si>
    <t>Jl. Otto Iskandardinata 78 No.55 Rt.05 Rw.05 Bidaracina, Jakarta Timur 13330</t>
  </si>
  <si>
    <t>0858-88856700</t>
  </si>
  <si>
    <t>BCA : 6870927311</t>
  </si>
  <si>
    <t>590571261002000</t>
  </si>
  <si>
    <t>3175030804780014</t>
  </si>
  <si>
    <t>14005255782</t>
  </si>
  <si>
    <t>mohamadkhadafi@gmail.com</t>
  </si>
  <si>
    <t xml:space="preserve"> OS1710013</t>
  </si>
  <si>
    <t>Patria Putra</t>
  </si>
  <si>
    <t>Jakarta, 02 Desember 1974</t>
  </si>
  <si>
    <t>Area Channel Manager Makassar =&gt; City Manager Makassar</t>
  </si>
  <si>
    <t>adj 1 Mar 18 prev 12906600</t>
  </si>
  <si>
    <t>Jl. Pluit Raya 200, Carina Sayang I Blok 2 No. 4, Jakarta</t>
  </si>
  <si>
    <t>021-669 3507 / 0811 870 9198 / 0812-8752-578</t>
  </si>
  <si>
    <t>BCA : '092 1151 909</t>
  </si>
  <si>
    <t>79 063 626 0 041 000</t>
  </si>
  <si>
    <t>3172 0102 1274 1005</t>
  </si>
  <si>
    <t>pputra@lenovo.com, patria.terra@gmail.com</t>
  </si>
  <si>
    <t>OS1701020</t>
  </si>
  <si>
    <t>Surahim</t>
  </si>
  <si>
    <t>Jakarta, 5 Juni 1986</t>
  </si>
  <si>
    <t>SENIOR HIGH SCHOOL</t>
  </si>
  <si>
    <t>Yes 50hrs</t>
  </si>
  <si>
    <t>08999991447</t>
  </si>
  <si>
    <t>CIMB NIAGA : 329-01-00035-12-7</t>
  </si>
  <si>
    <t>58.546.724.4-009.000</t>
  </si>
  <si>
    <t>3175050506860001</t>
  </si>
  <si>
    <t>09030181003</t>
  </si>
  <si>
    <t>baimsurahym.bs@gmail.com</t>
  </si>
  <si>
    <t>not extend 30/04/2018</t>
  </si>
  <si>
    <t>LIST OF EMPLOYEE PLACED AT PT. MARUBENI INDONESIA</t>
  </si>
  <si>
    <t>OS1603019</t>
  </si>
  <si>
    <t>Afya Mutiara Yanto</t>
  </si>
  <si>
    <t>Solok, 30 April 1993</t>
  </si>
  <si>
    <t>ASURANSI, BPJS KES</t>
  </si>
  <si>
    <t>adj 1 Apr'18 prev 4.591.175 ; adj 1 Apr'17 prev 4.193.459 e_8/3/2018</t>
  </si>
  <si>
    <t>Jl. H. Kamad No. 39 RT/RW 003/003 Pondok Bambu Duren Sawit Jakarta Timur</t>
  </si>
  <si>
    <t>087888108738</t>
  </si>
  <si>
    <t>BCA: 3150009340</t>
  </si>
  <si>
    <t>3175077004930008</t>
  </si>
  <si>
    <t>73.490.972.4-008.000</t>
  </si>
  <si>
    <t>0001313750248 OK</t>
  </si>
  <si>
    <t>afyamutiara@gmail.com</t>
  </si>
  <si>
    <t>OS1801040</t>
  </si>
  <si>
    <t>Pamela Nurul Khairani</t>
  </si>
  <si>
    <t>Jakarta, 26 September 1994</t>
  </si>
  <si>
    <t>OT, ASURANSI, BPJS KES</t>
  </si>
  <si>
    <t>Kp. Kalibata RT003/RW006 No.15, Srengseng Sawah, Jagakarsa, Jakarta Selatan 12640</t>
  </si>
  <si>
    <t>BCA 8691386341</t>
  </si>
  <si>
    <t>3174096609940005</t>
  </si>
  <si>
    <t>pamelanurulkhairani@gmail.com</t>
  </si>
  <si>
    <t>LIST OF EMPLOYEE PLACED AT PT Mundipharma Healthcare Indonesia</t>
  </si>
  <si>
    <t xml:space="preserve">Meal </t>
  </si>
  <si>
    <t>Transport</t>
  </si>
  <si>
    <t>OS1710077</t>
  </si>
  <si>
    <t>Suryadinata</t>
  </si>
  <si>
    <t>Bogor, 24 Oktober 1990</t>
  </si>
  <si>
    <t>Adj 1 Jan'17 prev 2.750 jt</t>
  </si>
  <si>
    <t>OT, BPJS KES ONLY</t>
  </si>
  <si>
    <t>Kp. Utan Jaya No. 42 RT 07 / RW 04, Kel. Pondok Jaya Kec. Cipayung, Kota Depok</t>
  </si>
  <si>
    <t>0895 602323923 / 0899 3125460</t>
  </si>
  <si>
    <t>BNI : 0258007387</t>
  </si>
  <si>
    <t>3276012410900001</t>
  </si>
  <si>
    <t>704777093412000</t>
  </si>
  <si>
    <t>suryadinata2410@gmail.com</t>
  </si>
  <si>
    <t>OS1711035</t>
  </si>
  <si>
    <t>Rina Oktaviani</t>
  </si>
  <si>
    <t>Tangerang, 07 Oktober 1992</t>
  </si>
  <si>
    <t>SFE Administrator &amp; IT Support</t>
  </si>
  <si>
    <t>NO OT, BPJS KES ONLY</t>
  </si>
  <si>
    <t>Jl. H. Mean 3, ciledug- tangerang</t>
  </si>
  <si>
    <t>CIMB NIAGA : 4350100487169</t>
  </si>
  <si>
    <t>3671124710920001</t>
  </si>
  <si>
    <t>715592531416000</t>
  </si>
  <si>
    <t>14031535991</t>
  </si>
  <si>
    <t>0001620831205</t>
  </si>
  <si>
    <t>Oktaviani.Rina@mundipharma.co.id, rina.oktaviani20@yahoo.com</t>
  </si>
  <si>
    <t>OS1712003</t>
  </si>
  <si>
    <t>Bernadet Bunga Limbong</t>
  </si>
  <si>
    <t>Jakarta, 15 Januari 1990</t>
  </si>
  <si>
    <t>Ethical Sales &amp; Marketing Admin</t>
  </si>
  <si>
    <t>Jl. Cempaka Putih Barat XXVI No. 10, Jakarta Pusat</t>
  </si>
  <si>
    <t>81299207990</t>
  </si>
  <si>
    <t>BCA : 7060365860</t>
  </si>
  <si>
    <t>3171055501900003</t>
  </si>
  <si>
    <t>72.303.154.8-024.000</t>
  </si>
  <si>
    <t>11016338995</t>
  </si>
  <si>
    <t>0001480411056</t>
  </si>
  <si>
    <t>deta_flower@yahoo.com</t>
  </si>
  <si>
    <t>OS1801005</t>
  </si>
  <si>
    <t>Nadia Ninette</t>
  </si>
  <si>
    <t>Jakarta 20 September 1994</t>
  </si>
  <si>
    <t>Padurenan RT 05 RW 10 Kel Pabuaran Kec Cibinong Kab Bogor. 16916</t>
  </si>
  <si>
    <t>02187916284 / 085697418857</t>
  </si>
  <si>
    <t>BCA 0952.98.3537</t>
  </si>
  <si>
    <t>3201016009940007</t>
  </si>
  <si>
    <t>80.625.054.4-403.000</t>
  </si>
  <si>
    <t>17026095970</t>
  </si>
  <si>
    <t>nadianinettes@gmail.com</t>
  </si>
  <si>
    <t>OS1801006</t>
  </si>
  <si>
    <t>Nofi Kustiardi</t>
  </si>
  <si>
    <t>Jakarta, 17 November 1984</t>
  </si>
  <si>
    <t>Consumer Admin</t>
  </si>
  <si>
    <t>Jl. Kenanga I no. 43, Rt.007 / 02, Kalisari, Pasar Rebo</t>
  </si>
  <si>
    <t>522 500 3138</t>
  </si>
  <si>
    <t>3175055711840004</t>
  </si>
  <si>
    <t>49.628.446.4-009.000</t>
  </si>
  <si>
    <t>17015965993</t>
  </si>
  <si>
    <t>0001216375031</t>
  </si>
  <si>
    <t>nofi84@yahoo.com</t>
  </si>
  <si>
    <t>OS1801007</t>
  </si>
  <si>
    <t>Suciati Wulan Sari</t>
  </si>
  <si>
    <t>Bandung, 10 Februari 1996</t>
  </si>
  <si>
    <t>Corporate Communication Staff</t>
  </si>
  <si>
    <t>Mulya Asri 1, Blok C7 No. 1 RT 021 RW 005. Kel. Sukamulya. Kec. Cikupa</t>
  </si>
  <si>
    <t>0813 1016 1084</t>
  </si>
  <si>
    <t>3603185002960009</t>
  </si>
  <si>
    <t>suciati.wulansari@gmail.com</t>
  </si>
  <si>
    <t>OS1801008</t>
  </si>
  <si>
    <t>Anggi Syafari</t>
  </si>
  <si>
    <t>Jakarta, 1 Juli 1979</t>
  </si>
  <si>
    <t>Jl. Tole Iskandar, PondokSukmajayaPermai Blok D5 no. 7 Depok 16412</t>
  </si>
  <si>
    <t>0818 0739 8220 / 0857 31455863</t>
  </si>
  <si>
    <t>MANDIRI 157-00-0538188-5</t>
  </si>
  <si>
    <t>3276054107790009</t>
  </si>
  <si>
    <t>80.590.011.5-412.000</t>
  </si>
  <si>
    <t>0001276208166</t>
  </si>
  <si>
    <t>anggysyafari@gmail.com</t>
  </si>
  <si>
    <t>OS1803003</t>
  </si>
  <si>
    <t>Ratu Intan Permatasari</t>
  </si>
  <si>
    <t>Bandung, 16 September 1987</t>
  </si>
  <si>
    <t>Bugel Mas Indah C. 23 No. 1 RT 03 / RW 08, Kel. Bugel, Kec. Karawaci, Tangerang</t>
  </si>
  <si>
    <t>087884004657</t>
  </si>
  <si>
    <t>BCA 8831008041</t>
  </si>
  <si>
    <t>3671075609870009</t>
  </si>
  <si>
    <t>88.481.780.0-402.000</t>
  </si>
  <si>
    <t>13030593357</t>
  </si>
  <si>
    <t>0002098845224</t>
  </si>
  <si>
    <t>intan_1609@yahoo.com</t>
  </si>
  <si>
    <t>OS1802061</t>
  </si>
  <si>
    <t>Julia Fitri Wala</t>
  </si>
  <si>
    <t>Makassar, 21 Juni 1985</t>
  </si>
  <si>
    <t>Purchasing Officer</t>
  </si>
  <si>
    <t>Melati Mas Vista Blok V19 No. 2, Jelupang, Serpong, Tangerang</t>
  </si>
  <si>
    <t>0812-1928-1086 / 0852-8953-4090</t>
  </si>
  <si>
    <t>BCA  5270745182</t>
  </si>
  <si>
    <t>7571046106850001</t>
  </si>
  <si>
    <t>982620213822000</t>
  </si>
  <si>
    <t>12040472594</t>
  </si>
  <si>
    <t>juliafitriwala@gmail.com</t>
  </si>
  <si>
    <t>OS1804016</t>
  </si>
  <si>
    <t>Bayu Saputra</t>
  </si>
  <si>
    <t>Jakarta, 25 Desember 1989</t>
  </si>
  <si>
    <t>Tax Specialist</t>
  </si>
  <si>
    <t>Jl. Gempol RT 011/02 Kel. Ceger Kec. Cipayung Jakarta Timur</t>
  </si>
  <si>
    <t xml:space="preserve">021 8444965 / 082111697335  
</t>
  </si>
  <si>
    <t>CIMB NIAGA : 200-01-06778-18-3</t>
  </si>
  <si>
    <t>3175102512890001</t>
  </si>
  <si>
    <t>35.995.607.5-009.000</t>
  </si>
  <si>
    <t>13021825552</t>
  </si>
  <si>
    <t>byusputra@gmail.com</t>
  </si>
  <si>
    <t>OS1711034</t>
  </si>
  <si>
    <t>Mega Panorama</t>
  </si>
  <si>
    <t>10 Desember 1994</t>
  </si>
  <si>
    <t>NO OT</t>
  </si>
  <si>
    <t>Jl. Bojong Megah VI F 33 No. 14, Bekasi Timur</t>
  </si>
  <si>
    <t>BCA : 0660997083</t>
  </si>
  <si>
    <t>3275055012940013</t>
  </si>
  <si>
    <t>megapanorama10@gmail.com</t>
  </si>
  <si>
    <t>terminated 6/4/2018</t>
  </si>
  <si>
    <t>LIST OF EMPLOYEE PLACED AT PT. Asahi</t>
  </si>
  <si>
    <t>Basic Salary (NETT)</t>
  </si>
  <si>
    <t>Transport (NETT)</t>
  </si>
  <si>
    <t>Jakarta, 5 Agustus 1973</t>
  </si>
  <si>
    <t>Engineering</t>
  </si>
  <si>
    <t>Pup Sektor V Blok F-4 No. 18 RT 03 / RW 23, Bahagia, Babelan, Bekasi</t>
  </si>
  <si>
    <t>085888892280</t>
  </si>
  <si>
    <t>32146020508730013</t>
  </si>
  <si>
    <t>58.456.256.5-435.000</t>
  </si>
  <si>
    <t>0001421703685</t>
  </si>
  <si>
    <t>BCA 7060043927</t>
  </si>
  <si>
    <t>abdul@sda-solution.com</t>
  </si>
  <si>
    <t>Achir Ade Syaputra</t>
  </si>
  <si>
    <t>Gunung Tua, 6 Februari 1993</t>
  </si>
  <si>
    <t>Site Engineer</t>
  </si>
  <si>
    <t>Kp. Sukajaya RT 03 / RW 03, Kel. Batu IX, Kec. Tanjung Pinang Timur, Kep Riau 29125</t>
  </si>
  <si>
    <t>085217529338</t>
  </si>
  <si>
    <t>2172020602930005</t>
  </si>
  <si>
    <t>74.038.497.9-214.000</t>
  </si>
  <si>
    <t>0001125126112</t>
  </si>
  <si>
    <t>BRI 0423.01.019423.50.0</t>
  </si>
  <si>
    <t>achirsyaputra@gmail.com</t>
  </si>
  <si>
    <t>Achmad Riyanto</t>
  </si>
  <si>
    <t>Semarang, 16 September 1972</t>
  </si>
  <si>
    <t>Sales</t>
  </si>
  <si>
    <t>Cakung Barat RT 02 / RW 01, Cakung Barat, Cakung, Jakarta Timur</t>
  </si>
  <si>
    <t>081380542426</t>
  </si>
  <si>
    <t>3175061609720005</t>
  </si>
  <si>
    <t>09.637.119.0-006.000</t>
  </si>
  <si>
    <t>14015499552</t>
  </si>
  <si>
    <t>0002060515282</t>
  </si>
  <si>
    <t>BCA 0021575746</t>
  </si>
  <si>
    <t>ryanardams@gmail.com</t>
  </si>
  <si>
    <t>Ade Chairunnisa</t>
  </si>
  <si>
    <t>Bandar Lampung, 4 Januari 1995</t>
  </si>
  <si>
    <t>Staff Finance</t>
  </si>
  <si>
    <t>Jl. Ikan Kembung No. 11 LK III RT 46, Kel. Pesawahan, Teluk Betung Selatan, Kota Bandar Lampung</t>
  </si>
  <si>
    <t>089514603379</t>
  </si>
  <si>
    <t>1871074401960003</t>
  </si>
  <si>
    <t>74.391.849.2-324.000</t>
  </si>
  <si>
    <t>14031780274</t>
  </si>
  <si>
    <t>KIS 0000358260996</t>
  </si>
  <si>
    <t>BRI 0423.01.019186.50.6</t>
  </si>
  <si>
    <t>Ahmad Shanhaji</t>
  </si>
  <si>
    <t>Tangerang, 1 Oktober 1989</t>
  </si>
  <si>
    <t>Mechanical Engineering</t>
  </si>
  <si>
    <t>Kp. Sondol Rt/Rw.002/002 Kel. Kuta Bumi Kec. Pasar Kemis Kab. Tangerang 15561</t>
  </si>
  <si>
    <t>085287648060</t>
  </si>
  <si>
    <t>3603120110890001</t>
  </si>
  <si>
    <t>34.521.575.0-418.000</t>
  </si>
  <si>
    <t>15053853857</t>
  </si>
  <si>
    <t>BCA 7130761385</t>
  </si>
  <si>
    <t>Deni Hentiasa</t>
  </si>
  <si>
    <t>Jakarta, 24 Juli 1973</t>
  </si>
  <si>
    <t>Tekhnisi</t>
  </si>
  <si>
    <t>Kp. Pertanian Tengah No.8 Rt/Rw.007/002 Kel. Klender Kec. Duren Sawit, Jakarta Timur</t>
  </si>
  <si>
    <t>08129917881</t>
  </si>
  <si>
    <t>3175072407730007</t>
  </si>
  <si>
    <t>67.750.862.4-008.000</t>
  </si>
  <si>
    <t>0001377184599</t>
  </si>
  <si>
    <t>Mandiri 0060006469187</t>
  </si>
  <si>
    <t>deni.hentiasa@gmail.com</t>
  </si>
  <si>
    <t>Didik Subagyo</t>
  </si>
  <si>
    <t>Wonosobo, 24 September 1973</t>
  </si>
  <si>
    <t>Supervisor</t>
  </si>
  <si>
    <t>Jlamprang RT 001/003 Kel. Jlamprang Kec. Leksono Kab. Wonosobo</t>
  </si>
  <si>
    <t>08170436833</t>
  </si>
  <si>
    <t>BRI 0423.01.019194.50.9</t>
  </si>
  <si>
    <t>Dim Slamet</t>
  </si>
  <si>
    <t>Salatiga, 5 Januari 1969</t>
  </si>
  <si>
    <t>081395581145</t>
  </si>
  <si>
    <t>1807120501690006</t>
  </si>
  <si>
    <t>Mandiri 1550006975182</t>
  </si>
  <si>
    <t>Fahruddin Saleh Harahap</t>
  </si>
  <si>
    <t>Langsar, 29 Juli 1992</t>
  </si>
  <si>
    <t>Puri Bhayangkara Elok B5 No. 6 RT 03 / RW 15, Kutamandiri, Tanjungsari, Sumedang</t>
  </si>
  <si>
    <t>082214194946</t>
  </si>
  <si>
    <t>3211112907920003</t>
  </si>
  <si>
    <t>44.010.209.3-446.000</t>
  </si>
  <si>
    <t>0001141991458</t>
  </si>
  <si>
    <t>BRI 0423.01.019590.50.1</t>
  </si>
  <si>
    <t>Fajar Sidik Supradi</t>
  </si>
  <si>
    <t>Semarang, 24 November 1981</t>
  </si>
  <si>
    <t>Estimator</t>
  </si>
  <si>
    <t>Larasati Village Blok B No.6 RT 005/008 Kel. Harjamukti Kec. Cimanggis Kota Depok</t>
  </si>
  <si>
    <t>081382515213</t>
  </si>
  <si>
    <t>3374092411810002</t>
  </si>
  <si>
    <t>49.447.897.7-517.000</t>
  </si>
  <si>
    <t>0001644045052</t>
  </si>
  <si>
    <t>BRI 0423.01.019597.50.3</t>
  </si>
  <si>
    <t>fajar.supradi@gmail.com</t>
  </si>
  <si>
    <t>Ferry Febrian</t>
  </si>
  <si>
    <t>Cilegon, 1 Februari 1985</t>
  </si>
  <si>
    <t>Persada Raya Blok J.2 No. 12 RT 07 / RW 08, Gembor, Periuk, Kota Tangerang</t>
  </si>
  <si>
    <t>081314112738</t>
  </si>
  <si>
    <t>3671080102850003</t>
  </si>
  <si>
    <t>67.841.038.2-402.000</t>
  </si>
  <si>
    <t>11004253289</t>
  </si>
  <si>
    <t>0001820750927</t>
  </si>
  <si>
    <t>BRI 2113.01.006031.50.7</t>
  </si>
  <si>
    <t>solo2_total@yahoo.co.id; ferryfo42@gmail.com</t>
  </si>
  <si>
    <t>Helmi</t>
  </si>
  <si>
    <t>Jakarta, 11 Februari 1972</t>
  </si>
  <si>
    <t>IT Spesialist</t>
  </si>
  <si>
    <t>Jl. Nusa Indah I/4 No. 53 RT 04 / RW 13, Malaka Jaya, Duren Sawit, Jakarta Timur</t>
  </si>
  <si>
    <t>082113506358</t>
  </si>
  <si>
    <t>3175071102720002</t>
  </si>
  <si>
    <t>71.755.674.0-008.000</t>
  </si>
  <si>
    <t>BRI 211301006032503</t>
  </si>
  <si>
    <t>helmimsh@gmail.com</t>
  </si>
  <si>
    <t>Junaedi Ibrahim</t>
  </si>
  <si>
    <t>Srimenanti, 12 Juni 1982</t>
  </si>
  <si>
    <t>Skill</t>
  </si>
  <si>
    <t>Margodadi II RT025/004 Kel. Labuhan Ratu I kec. Way Jepara Kab. Lampung Timur</t>
  </si>
  <si>
    <t>082312289026</t>
  </si>
  <si>
    <t>1807071206820006</t>
  </si>
  <si>
    <t>0002241982787</t>
  </si>
  <si>
    <t>BRI 339401036392534</t>
  </si>
  <si>
    <t>Lili Mulyana</t>
  </si>
  <si>
    <t>Garut, 27 Agustus 1968</t>
  </si>
  <si>
    <t>Produksi Electrical</t>
  </si>
  <si>
    <t>Link. Ternate Udik RT 03 / RW 02, Kel. Masigit Kec. Jombang, Cilegon</t>
  </si>
  <si>
    <t>081293827490</t>
  </si>
  <si>
    <t>3672052708680002</t>
  </si>
  <si>
    <t>69.511.236.7-417.000</t>
  </si>
  <si>
    <t>Mandiri 1550000524135</t>
  </si>
  <si>
    <t>lilimulyana71@gmail.com</t>
  </si>
  <si>
    <t>Maya Surastika Tawulo</t>
  </si>
  <si>
    <t>Kendari, 5 Desember 1991</t>
  </si>
  <si>
    <t>Jl. Balai Kota III No. 87 B RT 04 / RW 01, Kel. Pondambea Kec. Kadia, Kota Kendari</t>
  </si>
  <si>
    <t>08118900199</t>
  </si>
  <si>
    <t>7471084512910001</t>
  </si>
  <si>
    <t>70.540.467.1-061.000</t>
  </si>
  <si>
    <t>14026734237</t>
  </si>
  <si>
    <t>0001388260383</t>
  </si>
  <si>
    <t>BCA 5055035498</t>
  </si>
  <si>
    <t>maya@sda-solution.com; maya_surastika@yahoo.co.id</t>
  </si>
  <si>
    <t>Misdja</t>
  </si>
  <si>
    <t>Cilegon, 4 Mei 1960</t>
  </si>
  <si>
    <t>Link Sumampir Timur RT 04 / RW 04, Kebon Dalem, Purwakarta, Cilegon</t>
  </si>
  <si>
    <t>085283470244</t>
  </si>
  <si>
    <t>3672070405600003</t>
  </si>
  <si>
    <t>84.579.448.6-417.000</t>
  </si>
  <si>
    <t>BNI 0275915414</t>
  </si>
  <si>
    <t>Mohamad Hasbi Firman</t>
  </si>
  <si>
    <t>Jakarta, 23 April 1985</t>
  </si>
  <si>
    <t>Kebon Jeruk RT 08 / RW 01, Jakarta Barat</t>
  </si>
  <si>
    <t>081314556620</t>
  </si>
  <si>
    <t>3173052304850005</t>
  </si>
  <si>
    <t>58.445.379.9-035.000</t>
  </si>
  <si>
    <t>16031184266</t>
  </si>
  <si>
    <t>0001384389933</t>
  </si>
  <si>
    <t>BCA 6560737317</t>
  </si>
  <si>
    <t>abiefirman@yahoo.com</t>
  </si>
  <si>
    <t>Muchamad Syafi' Muhaimin</t>
  </si>
  <si>
    <t>Wonosobo, 5 Januari 1992</t>
  </si>
  <si>
    <t>Site Manager</t>
  </si>
  <si>
    <t>Jlamprang RT 02 / RW 03, Jlamprang, Leksono, Wonosobo</t>
  </si>
  <si>
    <t>082299106589</t>
  </si>
  <si>
    <t>3307050501920002</t>
  </si>
  <si>
    <t>58.456.259.9-045.000</t>
  </si>
  <si>
    <t>14024686751</t>
  </si>
  <si>
    <t>BRI 0423.01.019185.50.0</t>
  </si>
  <si>
    <t>msyafi28@gmail.com</t>
  </si>
  <si>
    <t>Muhammad Farid Mufti Azis</t>
  </si>
  <si>
    <t>Wonosobo, 8 Agustus 1996</t>
  </si>
  <si>
    <t>Wonokerto Rt 006/003 Kel. Wonokerto Kec. Leksono Kab. Wonosobo</t>
  </si>
  <si>
    <t>082280171268</t>
  </si>
  <si>
    <t>3307050808960005</t>
  </si>
  <si>
    <t>84.998.891.0-553.000</t>
  </si>
  <si>
    <t>BRI 0423.01.019197.50.7</t>
  </si>
  <si>
    <t>muhammadfarid0808@gmail.com</t>
  </si>
  <si>
    <t>Muhammad Kharisul Ilmi</t>
  </si>
  <si>
    <t>Wonosobo, 16 November 1992</t>
  </si>
  <si>
    <t>Procurment</t>
  </si>
  <si>
    <t>Dk. Kemiri RT 01 / RW 02, Jlamprang, Leksono, Wonosobo</t>
  </si>
  <si>
    <t>082242731360</t>
  </si>
  <si>
    <t>3307051611920002</t>
  </si>
  <si>
    <t>80.910.963.0-533.000</t>
  </si>
  <si>
    <t>BRI 042301019198503</t>
  </si>
  <si>
    <t>kharisul16@gmail.com</t>
  </si>
  <si>
    <t>Muhammad Rizki</t>
  </si>
  <si>
    <t>Jakarta, 24 April 1989</t>
  </si>
  <si>
    <t>Network Specialist System Engineer</t>
  </si>
  <si>
    <t>Gg. Masjid Cisalak Rt/Rw.004/006 Kel. Cisalak Kec. Sukmajaya, Kota Depok 16416</t>
  </si>
  <si>
    <t>083872492944</t>
  </si>
  <si>
    <t>3276052404890017</t>
  </si>
  <si>
    <t>78.775.324.3-412.000</t>
  </si>
  <si>
    <t>BRI 042301019199509</t>
  </si>
  <si>
    <t>muhammad.rizki@asahiesda.com</t>
  </si>
  <si>
    <t>Muhammad Sukron</t>
  </si>
  <si>
    <t>Wonosobo, 27 Januari 1988</t>
  </si>
  <si>
    <t>Jl. Ahmad Yani Ruko Sentra Niaga Kalimalang Blok B1 No.11 Bekasi</t>
  </si>
  <si>
    <t>081804882435</t>
  </si>
  <si>
    <t>3307052701880002</t>
  </si>
  <si>
    <t>81.608.501.3-538.000</t>
  </si>
  <si>
    <t>BRI 042301019183508</t>
  </si>
  <si>
    <t>msukron471@yahoo,com</t>
  </si>
  <si>
    <t>Yasser Sultan Bayduri</t>
  </si>
  <si>
    <t>Jakarta, 17 Februari 1999</t>
  </si>
  <si>
    <t>Junior Application Engineer</t>
  </si>
  <si>
    <t>Kp. Pisangan RT 15 / RW 05, Penggilingan, Cakung</t>
  </si>
  <si>
    <t>083898981151</t>
  </si>
  <si>
    <t>3175061702991002</t>
  </si>
  <si>
    <t>84.740.972.9-412.000</t>
  </si>
  <si>
    <t>BRI 211301006059505</t>
  </si>
  <si>
    <t>yasser.sultan@asahiesda.com</t>
  </si>
  <si>
    <t>Jakarta, 1 Mei 1973</t>
  </si>
  <si>
    <t>Lite Engineering</t>
  </si>
  <si>
    <t>Jl. Baru Gg. II No. 7, Cilincing, Jakarta Utara</t>
  </si>
  <si>
    <t>085890132522</t>
  </si>
  <si>
    <t>3172041105730005</t>
  </si>
  <si>
    <t>Mandiri tidak jelas tulisannya / CIMB Niaga 704133659800</t>
  </si>
  <si>
    <t>mulyanto05@gmail.com</t>
  </si>
  <si>
    <t>Nurjaman</t>
  </si>
  <si>
    <t>Garut, 17 Agustus 1992</t>
  </si>
  <si>
    <t>Kampung Legok Kondang RT03/07 Kel. Panca Sura Kec. Singajaya Kab Garut</t>
  </si>
  <si>
    <t>082110972396</t>
  </si>
  <si>
    <t>BRI 2113.01.005878.50.8</t>
  </si>
  <si>
    <t>anamnuy2@gmail.com</t>
  </si>
  <si>
    <t>Pedi</t>
  </si>
  <si>
    <t>Cianjur, 3 Januari 1989</t>
  </si>
  <si>
    <t>KP. Dukuh Gunung RT.001/005 DS. Padasuka Warunggunung Lebak</t>
  </si>
  <si>
    <t>085751908486</t>
  </si>
  <si>
    <t>3602130207894551</t>
  </si>
  <si>
    <t>BRI 483601008480530</t>
  </si>
  <si>
    <t>Peni Handayani Dewi</t>
  </si>
  <si>
    <t>Jakarta, 18 Desember 1975</t>
  </si>
  <si>
    <t>Komp Imigrasi Blk.b/1 RT 05 / RW 06, Duren Sawit, Pondok Bambu Jakarta 13430</t>
  </si>
  <si>
    <t>0817180584</t>
  </si>
  <si>
    <t>3175075812750012</t>
  </si>
  <si>
    <t>34.571.556.9-008.999</t>
  </si>
  <si>
    <t>96JP0174782</t>
  </si>
  <si>
    <t>Mandiri 1660001371889</t>
  </si>
  <si>
    <t>peni.handayani@hotmail.com</t>
  </si>
  <si>
    <t>Rival</t>
  </si>
  <si>
    <t>Kendari, 23 Maret 1993</t>
  </si>
  <si>
    <t>Admin Project</t>
  </si>
  <si>
    <t>Komp. STP Jl. AUP No. 1 Rt 01 / RW 09, Pasar Minggu Jakarta Selatan</t>
  </si>
  <si>
    <t>081212807993</t>
  </si>
  <si>
    <t>7402202303930002</t>
  </si>
  <si>
    <t>80.412.011.1-017.000</t>
  </si>
  <si>
    <t>0000132793378</t>
  </si>
  <si>
    <t>BRI 042301019598509</t>
  </si>
  <si>
    <t>rival@asahiesda.com</t>
  </si>
  <si>
    <t>Fardan Kurniawan</t>
  </si>
  <si>
    <t>Jakarta, 17 November 1879</t>
  </si>
  <si>
    <t>Jl. Jatinegara Kaum RT 006/003 Kel.Jatinegara kaum Kec. Pulo Gadung Jakarta Timur</t>
  </si>
  <si>
    <t>085211382399</t>
  </si>
  <si>
    <t>3175021711790012</t>
  </si>
  <si>
    <t>87.183.847.0-003.000</t>
  </si>
  <si>
    <t>16031184217</t>
  </si>
  <si>
    <t>0001336365617</t>
  </si>
  <si>
    <t>BRI 0423.01.019187.50.2</t>
  </si>
  <si>
    <t>afardan7778@gmail.com</t>
  </si>
  <si>
    <t>Satria Guna Putra</t>
  </si>
  <si>
    <t>Jakarta, 06 Juni 1972</t>
  </si>
  <si>
    <t>Jl. Ciptomangunkusumo RT005/001 Kel. Kaligangsa Kec. Margadana Kota tegal</t>
  </si>
  <si>
    <t>082137385523</t>
  </si>
  <si>
    <t>Mandiri 1390011112061</t>
  </si>
  <si>
    <t>Surowo</t>
  </si>
  <si>
    <t>Lebak, 20 Maret 1969</t>
  </si>
  <si>
    <t>Kp. Pasir Bedeng RT 03 / RW 06, Muara Ciujung Timur, Lebak</t>
  </si>
  <si>
    <t>085215636215</t>
  </si>
  <si>
    <t>3602142003690002</t>
  </si>
  <si>
    <t>13021583409</t>
  </si>
  <si>
    <t>Mandiri 1630000028160</t>
  </si>
  <si>
    <t>Syakur Rahman</t>
  </si>
  <si>
    <t>Mataram, 14 April 1989</t>
  </si>
  <si>
    <t>Software Developer</t>
  </si>
  <si>
    <t>Babakan Lio No. 7 RT 02 / RW 08, Bubulak, Bogor Barat</t>
  </si>
  <si>
    <t>08175719860</t>
  </si>
  <si>
    <t>3271041404890020</t>
  </si>
  <si>
    <t>55.414.603.5-404.000</t>
  </si>
  <si>
    <t>16026122578</t>
  </si>
  <si>
    <t>0001374014351</t>
  </si>
  <si>
    <t>BRI 211301005798504</t>
  </si>
  <si>
    <t>shaqman2004@yahoo.com</t>
  </si>
  <si>
    <t>Zenriyansyah Putra</t>
  </si>
  <si>
    <t>Tanjung Uban, 27 Maret 1996</t>
  </si>
  <si>
    <t>Jl. Brigjen Katamso GG Meranti RT 004/001 Kel. Tanjung Unggat Kec. Bukit Bestari Kota Tanjung Pinang</t>
  </si>
  <si>
    <t>081991481066</t>
  </si>
  <si>
    <t>BRI 0423.01.019421.50.8</t>
  </si>
  <si>
    <t>zenryan27@gmail.com</t>
  </si>
  <si>
    <t>Usep Sunarya</t>
  </si>
  <si>
    <t>Jakarta, 9 September 1986</t>
  </si>
  <si>
    <t>Mega Regency Blok L01/07</t>
  </si>
  <si>
    <t>087879134592</t>
  </si>
  <si>
    <t>3173010907860005</t>
  </si>
  <si>
    <t>55.563.028.4-413.000</t>
  </si>
  <si>
    <t>BCA 5220636430</t>
  </si>
  <si>
    <t>usep.340@gmail.com</t>
  </si>
  <si>
    <t>Hendrayana</t>
  </si>
  <si>
    <t>Bandung, 02 Mei 1986</t>
  </si>
  <si>
    <t>Perum Mega Regency Blok C28/27 RT 06/07</t>
  </si>
  <si>
    <t>081317073799</t>
  </si>
  <si>
    <t>3273120206860000</t>
  </si>
  <si>
    <t>0001474103024</t>
  </si>
  <si>
    <t>Mandiri 1560007841085</t>
  </si>
  <si>
    <t>hendra_total@yahoo,com</t>
  </si>
  <si>
    <t>Darlianto</t>
  </si>
  <si>
    <t>Kisaran, 23 Februari 1972</t>
  </si>
  <si>
    <t>Jl. Swakarsa III jatibening pondok Gede</t>
  </si>
  <si>
    <t>081316390555 / 081316390555</t>
  </si>
  <si>
    <t>3175062302720013</t>
  </si>
  <si>
    <t>BRI 0842.01.009637.50.3</t>
  </si>
  <si>
    <t>darlianto.ananda@gmail.com</t>
  </si>
  <si>
    <t>Kasino</t>
  </si>
  <si>
    <t>Ciamis, 1 Agustus 1980</t>
  </si>
  <si>
    <t>Produksi Mekanikal</t>
  </si>
  <si>
    <t>Kp. Rawa Bebek Rt/Rw 010/010 Kota Baru</t>
  </si>
  <si>
    <t>081385567362 / 081384063604 (WA)</t>
  </si>
  <si>
    <t>3275020108800036</t>
  </si>
  <si>
    <t>87.455.963.6-004.000</t>
  </si>
  <si>
    <t>BRI 1187.01.000054.53.1</t>
  </si>
  <si>
    <t>Umayiroh</t>
  </si>
  <si>
    <t>Subang, 22 November 1996</t>
  </si>
  <si>
    <t>Administrasi</t>
  </si>
  <si>
    <t>Perum Meadow green lippo Cikarang</t>
  </si>
  <si>
    <t>081329015609</t>
  </si>
  <si>
    <t>3213056211960009</t>
  </si>
  <si>
    <t>84.758.778.9-439.000</t>
  </si>
  <si>
    <t>BRI 148401001850500</t>
  </si>
  <si>
    <t>dindamekanikal96@gmail.com</t>
  </si>
  <si>
    <t>Joko Sutanto</t>
  </si>
  <si>
    <t>Purworejo, 25 Desember 1986</t>
  </si>
  <si>
    <t>Perum BCM Blok C 12/24 Ds. Sukadami</t>
  </si>
  <si>
    <t>087779042518 / 087876824480</t>
  </si>
  <si>
    <t>3216192512860003</t>
  </si>
  <si>
    <t>78.397.894.3-531.000</t>
  </si>
  <si>
    <t>BCA 8760721591</t>
  </si>
  <si>
    <t>joko.sutanto86@gmail.com</t>
  </si>
  <si>
    <t>Dwi Siswanto</t>
  </si>
  <si>
    <t>Tulungagung, 1 September 1987</t>
  </si>
  <si>
    <t>Kp. Pagaulan RT 013/005 Ds. Sukaresmi, Cikarang</t>
  </si>
  <si>
    <t>081294011987</t>
  </si>
  <si>
    <t>3504090109870003</t>
  </si>
  <si>
    <t>57.593.140.7-629.000</t>
  </si>
  <si>
    <t>BNI 0583235256</t>
  </si>
  <si>
    <t>dwis47242@gmail.com</t>
  </si>
  <si>
    <t>Damai Hamongan Karo Karo</t>
  </si>
  <si>
    <t>Hamparan Perak, 08 Mei 1981</t>
  </si>
  <si>
    <t>Klumpang Kampung</t>
  </si>
  <si>
    <t>082168508876</t>
  </si>
  <si>
    <t>BNI 643503796</t>
  </si>
  <si>
    <t>Ratih Purwati</t>
  </si>
  <si>
    <t>Jakarta, 4 Januari 1992</t>
  </si>
  <si>
    <t xml:space="preserve">Jl. H. Mali No. 66 RT 008/01, Duri Kosambi – Cengkareng, Jakarta </t>
  </si>
  <si>
    <t>085894274659</t>
  </si>
  <si>
    <t>3173014401920005</t>
  </si>
  <si>
    <t>BNI 0643503796</t>
  </si>
  <si>
    <t>andriratih10@gmail.com</t>
  </si>
  <si>
    <t>Said Marzuki Salim</t>
  </si>
  <si>
    <t>Kebumen, 16 November 1997</t>
  </si>
  <si>
    <t>Pekuncen RT01/01 Ke. Sempor kebumen</t>
  </si>
  <si>
    <t>083831967454</t>
  </si>
  <si>
    <t>3305181611970002</t>
  </si>
  <si>
    <t>83.426.550.6-523.000</t>
  </si>
  <si>
    <t>BRI 042301019193503</t>
  </si>
  <si>
    <t>saidmarzukisalim12344@gmail.com</t>
  </si>
  <si>
    <t>Irfan Setiawan</t>
  </si>
  <si>
    <t>Garut, 21 Oktober 1984</t>
  </si>
  <si>
    <t>Kp. Jatiwangi RT 06/02 desa cigawir</t>
  </si>
  <si>
    <t>082240801010</t>
  </si>
  <si>
    <t>3205392110840002</t>
  </si>
  <si>
    <t>irfannur4@gmail.com</t>
  </si>
  <si>
    <t>take out, belum ada rekening</t>
  </si>
  <si>
    <t>LIST OF EMPLOYEE PLACED AT PT. PROFESIONAL TELEKOMUNIKASI INDONESIA</t>
  </si>
  <si>
    <t>Salary THP</t>
  </si>
  <si>
    <t>Holmes Fernando Pasaribu</t>
  </si>
  <si>
    <t>Medan, 27 Juli 1983</t>
  </si>
  <si>
    <t>Sitac Specialist</t>
  </si>
  <si>
    <t>Jl. Catur No. 47 Kel. Pasar Merah Barat Kec. Medan Kota, Kota Medan</t>
  </si>
  <si>
    <t>08119305015</t>
  </si>
  <si>
    <t>BCA 7865046600</t>
  </si>
  <si>
    <t>97.925.887.8-122.000</t>
  </si>
  <si>
    <t>holmes.pasaribu@protelindo.net</t>
  </si>
  <si>
    <t>Fauzi Rahman</t>
  </si>
  <si>
    <t>Cilacap, 05 September 1977</t>
  </si>
  <si>
    <t>Jl. Sirajudin Rani No. 68 RT 01 / RW 05, Kel. Bonto Bontoa Kec. Somba Opu Kab. Gowa, Sulawesi Selatan</t>
  </si>
  <si>
    <t>089603015513</t>
  </si>
  <si>
    <t>BNI 0399058070</t>
  </si>
  <si>
    <t>24.280.996.0-403.000</t>
  </si>
  <si>
    <t>ouzie354@gmail.com</t>
  </si>
  <si>
    <t>Sri Hendro Bawono</t>
  </si>
  <si>
    <t>Jakarta, 25 Februari 1975</t>
  </si>
  <si>
    <t>Pesona Depok 2 blok BH no. 4,  Mekarjaya, Sukmajaya, Kota Depok, 16411</t>
  </si>
  <si>
    <t>089603015519</t>
  </si>
  <si>
    <t xml:space="preserve">BCA 8690915121 </t>
  </si>
  <si>
    <t>253025654412000</t>
  </si>
  <si>
    <t>shbawono@gmail.com</t>
  </si>
  <si>
    <t>OS1512008</t>
  </si>
  <si>
    <t>Ir. Asjhari Madjid</t>
  </si>
  <si>
    <t>Surabaya, 26 Juli 1963</t>
  </si>
  <si>
    <t>ICR</t>
  </si>
  <si>
    <t>Dsn. Manyar Kandek, RT 002/RW 001, Ds. Karang Tengah, Kec. Kandangan, Kabupaten Kediri</t>
  </si>
  <si>
    <t>087852056677/ 082230904767</t>
  </si>
  <si>
    <t>BCA : 1400530188</t>
  </si>
  <si>
    <t>25.063.372.4 – 655.000</t>
  </si>
  <si>
    <t>Asjhari.Madjid@protelindo.net</t>
  </si>
  <si>
    <t>OS1512009</t>
  </si>
  <si>
    <t>Alia Rahmani</t>
  </si>
  <si>
    <t>Surabaya, 06 Juni 1988</t>
  </si>
  <si>
    <t>Jl. Kebalen Wetan 8/9 Surabaya</t>
  </si>
  <si>
    <t>Mandiri : 1420009756718</t>
  </si>
  <si>
    <t>88.672.175.2-613.000</t>
  </si>
  <si>
    <t>Alia.Rakhmani@protelindo.net</t>
  </si>
  <si>
    <t>OS1601026</t>
  </si>
  <si>
    <t>Irsal Aryudi</t>
  </si>
  <si>
    <t>Jakarta, 27 Oktober 1981</t>
  </si>
  <si>
    <t>Sitac Manager</t>
  </si>
  <si>
    <t>Jl. Johari 2 No 10 kebayoran lama, Jakarta Selatan</t>
  </si>
  <si>
    <t>OS1602075</t>
  </si>
  <si>
    <t>Nur Pebrianti</t>
  </si>
  <si>
    <t xml:space="preserve">TANJUNG ENIM , 03 FEBRUARI 1991 </t>
  </si>
  <si>
    <t>SINGLE</t>
  </si>
  <si>
    <t>JL. M NUR 1 PERUMAHAN JAYA PURA INDAH BLOK E NO 1 WAYHALIM BANDAR LAMPUNG</t>
  </si>
  <si>
    <t>MANDIRI 900-00-1101614-5 a.n Nur Pebtri Anti</t>
  </si>
  <si>
    <t>70.671.103.3-323.000</t>
  </si>
  <si>
    <t>OS1603010</t>
  </si>
  <si>
    <t>Jhon Dearman Putra Saragih</t>
  </si>
  <si>
    <t>Perdagangan, 16 Oktober 1971</t>
  </si>
  <si>
    <t>Kp. Bubulak Rt/Rw : 02/03, Desa Cadas Ngampar, Kec. Sukaraja, Kab. Bogor</t>
  </si>
  <si>
    <t>087878982856</t>
  </si>
  <si>
    <t>BCA: 0952967892</t>
  </si>
  <si>
    <t>77.287.357.6-008.000</t>
  </si>
  <si>
    <t>Jhon.Saragih@protelindo.net</t>
  </si>
  <si>
    <t>OS1603011</t>
  </si>
  <si>
    <t>Ipan Sopian</t>
  </si>
  <si>
    <t>Bandung, 24 November 1981</t>
  </si>
  <si>
    <t>Sitac Coordinator</t>
  </si>
  <si>
    <t>Jl. Cijerokaso RT.006 RW.001 Kel. Sarijadi Kec. Sukasari, Bandung, Jawa Barat</t>
  </si>
  <si>
    <t>081808502937</t>
  </si>
  <si>
    <t>Mandiri: 1300004913706</t>
  </si>
  <si>
    <t>34.402.369.2-422.000</t>
  </si>
  <si>
    <t>Ipan.Sopian@protelindo.net</t>
  </si>
  <si>
    <t>OS1603012</t>
  </si>
  <si>
    <t>Paripurno Satriyaningrat</t>
  </si>
  <si>
    <t>Blitar, 9 September 1983</t>
  </si>
  <si>
    <t>Legal Coordinator</t>
  </si>
  <si>
    <t>Jl. Melati Dalam No 10 RT 004 RW 008 Rawamangun Pulogadung Jakarta Timur 13220</t>
  </si>
  <si>
    <t>BCA: 5345023779 a/n Paripurno Satyriyaningrat</t>
  </si>
  <si>
    <t>34.225.086.7-003.000</t>
  </si>
  <si>
    <t>Satriya@protelindo.net</t>
  </si>
  <si>
    <t>OS1603014</t>
  </si>
  <si>
    <t>Perys Salomo</t>
  </si>
  <si>
    <t>Jakarta, 22 Mei 1975</t>
  </si>
  <si>
    <t>Perum Griya Paniki Indah, Blok Dahlia A No 11a, Lingkungan X, Kel.Paniki Bawah, Kec.Mapanget, Manado Sulawesi Utara</t>
  </si>
  <si>
    <t>MANDIRI: 1270004715882</t>
  </si>
  <si>
    <t>59.517.226.3-911.000</t>
  </si>
  <si>
    <t>PERYS.SALOMO@GMAIL.COM</t>
  </si>
  <si>
    <t>OS1604001</t>
  </si>
  <si>
    <t>Muksin</t>
  </si>
  <si>
    <t>Pontianak, 05 Januari 1978</t>
  </si>
  <si>
    <t>Jl. Parit H Husin I Gg.Muslimin II No.48 RT.004/RW.010
Kel.Bangka Belitung Laut Kec.Pontianak Tenggara, Kota Pontianak, KALBAR</t>
  </si>
  <si>
    <t>Mandiri: 146 000 555 4840                 an. MUKSIN</t>
  </si>
  <si>
    <t>68.882.056.2-701.000</t>
  </si>
  <si>
    <t>Muksin@protelindo.net</t>
  </si>
  <si>
    <t>OS1604004</t>
  </si>
  <si>
    <t>Monang Sirait</t>
  </si>
  <si>
    <t>Pasar Baru, 12 April 1980</t>
  </si>
  <si>
    <t>Perumahan Palem Pertiwi Blok i/16 Rt.17/06 Palem Watu Kec. Menganti Kab. Gresik Jawa Timur 61174</t>
  </si>
  <si>
    <t>089603015004</t>
  </si>
  <si>
    <t>BCA :4290425307 a/n monang sirait</t>
  </si>
  <si>
    <t>24.506.883.8-618.000</t>
  </si>
  <si>
    <t>Monang.Sirait@protelindo.net</t>
  </si>
  <si>
    <t>Enden Suherlan</t>
  </si>
  <si>
    <t>Sukabumi, 17 Januari 1980</t>
  </si>
  <si>
    <t>Perumahan Erfina Kencana Regency Cluster F1 No. 21 RT 03 / RW 10, Kel. Nanggewer Mekar Kec. Cibinong, Kab. Bogor</t>
  </si>
  <si>
    <t>Bank Mandiri No.Rek.133-000-740-5558</t>
  </si>
  <si>
    <t>24.724.359.5-405.000</t>
  </si>
  <si>
    <t>Enden.Suherlan@protelindo.net</t>
  </si>
  <si>
    <t>Bachtiar Anwari</t>
  </si>
  <si>
    <t>Jakarta, 2 Oktober 1986</t>
  </si>
  <si>
    <t>Jl. Manggarai Selatan V No. 21 RT 04 / RW 10, Kel. Manggarai, Kec. Tebet, Jakarta Selatan 12850</t>
  </si>
  <si>
    <t>Mandiri – 124.000.460.1093</t>
  </si>
  <si>
    <t>59.097.218.8-015.000</t>
  </si>
  <si>
    <t>Bachtiar.Anwari@protelindo.net</t>
  </si>
  <si>
    <t>Pekalongan, 8 Nopember 1990</t>
  </si>
  <si>
    <t>CAD Draftman</t>
  </si>
  <si>
    <t>Dukuh Blendung RT 01 / RW 07, Kel. Purworejo Kec. Sragi, Kab. Pekalongan, Jawa Tengah</t>
  </si>
  <si>
    <t>BNI :  0378382396</t>
  </si>
  <si>
    <t>66.784.826.1-502.000</t>
  </si>
  <si>
    <t>Wahyudin@protelindo.net</t>
  </si>
  <si>
    <t>OS1607013</t>
  </si>
  <si>
    <t>Nisrina Amrilia</t>
  </si>
  <si>
    <t>Jakarta, 14 Mei 1986</t>
  </si>
  <si>
    <t>Legal Admin</t>
  </si>
  <si>
    <t>Komplek Bumi Pelita Kencana Blok A6 No. 7 Pondok Cabe, Pamulang- Tangerang Selatan</t>
  </si>
  <si>
    <t>0818736354</t>
  </si>
  <si>
    <t>BCA : 2101308482</t>
  </si>
  <si>
    <t>79.569.749.9-411.000</t>
  </si>
  <si>
    <t>namrilia@yahoo.com</t>
  </si>
  <si>
    <t>OS1609004</t>
  </si>
  <si>
    <t>Muhammad Taftazani</t>
  </si>
  <si>
    <t>Surabaya, 22 December 1979</t>
  </si>
  <si>
    <t>Jl. Batu Wadas No. 54E RT.06 RW. 03 Kel.Batu Ampar Kec. Kramatjati JakTim</t>
  </si>
  <si>
    <t>081287252478</t>
  </si>
  <si>
    <t>BNI : 10 230 8088</t>
  </si>
  <si>
    <t>58.459.939.3.645.000</t>
  </si>
  <si>
    <t>Muhammad.Taftazani@protelindo.net</t>
  </si>
  <si>
    <t>OS1610026</t>
  </si>
  <si>
    <t>Prita Pertiwi</t>
  </si>
  <si>
    <t>Jakarta , 06 Desember 1981</t>
  </si>
  <si>
    <t>QC Staff</t>
  </si>
  <si>
    <t>Jl. Bojong Raya No.17 Rawa Buaya Cengkareng Jakarta Barat</t>
  </si>
  <si>
    <t>081316119255</t>
  </si>
  <si>
    <t>Mandiri : 122-00-0665583-4</t>
  </si>
  <si>
    <t>67.025.842.5-034.000</t>
  </si>
  <si>
    <t>Prita.Pertiwi@protelindo.net</t>
  </si>
  <si>
    <t>Christian Yosep Tulung</t>
  </si>
  <si>
    <t>Manado, 25-Sept-1983</t>
  </si>
  <si>
    <t>Data Controller 
Analyst</t>
  </si>
  <si>
    <t>Jl. Februari 22, Lingk. III No. 75 Kel. Teling Atas Kec. Wanea</t>
  </si>
  <si>
    <t>08124455730</t>
  </si>
  <si>
    <t>BCA : 0261383828</t>
  </si>
  <si>
    <t>24.683.745.4-821.000</t>
  </si>
  <si>
    <t>Christian.Tulung@protelindo.net</t>
  </si>
  <si>
    <t xml:space="preserve">                  </t>
  </si>
  <si>
    <t>Arip Rahman</t>
  </si>
  <si>
    <t>Kuningan, 21 Mei 1986</t>
  </si>
  <si>
    <t>Engineering Coordinator</t>
  </si>
  <si>
    <t>Desa Kutaraja RT 007 RW 002 kec. Maleber Kab. Kuningan- Jawa Barat</t>
  </si>
  <si>
    <t>085711098129</t>
  </si>
  <si>
    <t>BCA : 5260-7451-68</t>
  </si>
  <si>
    <t>577513476023000</t>
  </si>
  <si>
    <t>Arip.Rahman@protelindo.net</t>
  </si>
  <si>
    <t>OS1612004</t>
  </si>
  <si>
    <t>Sion Femina Munthe</t>
  </si>
  <si>
    <t>Cilegon, 18 Nopember 1981</t>
  </si>
  <si>
    <t>2 Maret 2017</t>
  </si>
  <si>
    <t>Kp. Jalumprit No. 5A Rt 03/RW 01 Kel. Waringinkurung, Kec Waringinkurung, Serang - Banten</t>
  </si>
  <si>
    <t>2551218742 (BCA)</t>
  </si>
  <si>
    <t>59.059.980.9-401.000</t>
  </si>
  <si>
    <t>Sion.FeminaMunthe@protelindo.net</t>
  </si>
  <si>
    <t>Isman Abdul Barry</t>
  </si>
  <si>
    <t>Banda Aceh, 18 Maret 1975</t>
  </si>
  <si>
    <t>16 Maret 2017</t>
  </si>
  <si>
    <t>Jl. Sabar no 41 RT/RW 007/003 Petukangan Selatan Kecamatan Pesanggrahan Jakarta Selatan</t>
  </si>
  <si>
    <t>BCA KCP Utan Kayu No Rekening 5800126241 a.n ISMAN ABDUL BARRY</t>
  </si>
  <si>
    <t>59.550.028.1-013.000</t>
  </si>
  <si>
    <t>Isman.AbdulBarry@protelindo.net</t>
  </si>
  <si>
    <t>Agus Kurniawan</t>
  </si>
  <si>
    <t>bengkulu 17 agus 1981</t>
  </si>
  <si>
    <t>Area Coordinator</t>
  </si>
  <si>
    <t>27 April 2017</t>
  </si>
  <si>
    <t xml:space="preserve"> jl timur indah 1A No 91 RT 02 RW 01 kec. singgaran patih kota bengkulu.</t>
  </si>
  <si>
    <t>89603015492 / 081369614715</t>
  </si>
  <si>
    <t>BCA : 0580623972</t>
  </si>
  <si>
    <t>72.945.041.1-311.000</t>
  </si>
  <si>
    <t>Agus.Kurniawan@protelindo.net</t>
  </si>
  <si>
    <t>Andry Gefany Wicaksono</t>
  </si>
  <si>
    <t>Palangkaraya, 15 Oktober 1983</t>
  </si>
  <si>
    <t>19 April 2017</t>
  </si>
  <si>
    <t>Jl. Meranti Komp Babussalam No.113 Palangkaraya, Kalteng 73111</t>
  </si>
  <si>
    <t>85391855959 / '08118697716</t>
  </si>
  <si>
    <t>BRI Cab. Palangkaraya : 0243-01-062037-50-2</t>
  </si>
  <si>
    <t>16.803.665.5-711.000</t>
  </si>
  <si>
    <t>Andry.Wicaksono@protelindo.net</t>
  </si>
  <si>
    <t>OS1705041</t>
  </si>
  <si>
    <t>Maximus Frasetyo</t>
  </si>
  <si>
    <t>Bandung, 15 Mei 1989</t>
  </si>
  <si>
    <t>Helpdesk Officer</t>
  </si>
  <si>
    <t>29 Mei 2017</t>
  </si>
  <si>
    <t>JL. Suci. Gg. Pelita II. No.4 Rt/Rw 02, Bandung - 40125</t>
  </si>
  <si>
    <t xml:space="preserve">BCA - 4371518660 A/N Maximus Frasetyo
</t>
  </si>
  <si>
    <t>733735096423000</t>
  </si>
  <si>
    <t>maximus.frasetyo@gmail.com, Maximus.Frasetyo2@protelindo.net</t>
  </si>
  <si>
    <t>OS1706002</t>
  </si>
  <si>
    <t>Endah Gayuh Gratiawati</t>
  </si>
  <si>
    <t>Jakarta, 11 Oktober 1987</t>
  </si>
  <si>
    <t>General Admin</t>
  </si>
  <si>
    <t>adj prev 4,558,200</t>
  </si>
  <si>
    <t>Jl. Sepakat VIII RT 005 RW 001 Kel. Cilangkap, Kec. Cipayung, Jakarta Timur</t>
  </si>
  <si>
    <t>BCA : 6280619874</t>
  </si>
  <si>
    <t>35.584.901.9-009.000</t>
  </si>
  <si>
    <t>Endah.Gratiawati@protelindo.net</t>
  </si>
  <si>
    <t>OS1707013</t>
  </si>
  <si>
    <t>Etty Susi Endang Barasa</t>
  </si>
  <si>
    <t>Palembang, 25 Mei 1989</t>
  </si>
  <si>
    <t>adj prev 3.355.750</t>
  </si>
  <si>
    <t>Jl. Kumis Kucing III No. 54 KPAD Cibubur Jakarta Timur</t>
  </si>
  <si>
    <t>BCA : 5015779630 AN Etty Susi Endang Barasa</t>
  </si>
  <si>
    <t>58.227.554.1-643.000</t>
  </si>
  <si>
    <t>Etty.Barasa@protelindo.net</t>
  </si>
  <si>
    <t>OS1709027</t>
  </si>
  <si>
    <t>Nurmala Adikara Wirawanto</t>
  </si>
  <si>
    <t>Jakarta, 18 Februari 1981</t>
  </si>
  <si>
    <t>Jl. Cempaka Kav. DKI Blok K/3 Cipayung Jakarta Timur</t>
  </si>
  <si>
    <t xml:space="preserve">BCA : 6280901685 </t>
  </si>
  <si>
    <t>3171031802810003</t>
  </si>
  <si>
    <t>09.054.921.3-027.000</t>
  </si>
  <si>
    <t>Nurmala.Wirawanto@protelindo.net</t>
  </si>
  <si>
    <t>OS1711033</t>
  </si>
  <si>
    <t>Mustanir</t>
  </si>
  <si>
    <t>Ujung Pandang, 14 Desember 1989</t>
  </si>
  <si>
    <t>Jl. A.P.Pettarani II F No.   4 RT. 005 RW.005 Kel. Tamamaung Kec. panakkukang Kota Makassar 90231</t>
  </si>
  <si>
    <t xml:space="preserve">BNI :  031 049 6674 </t>
  </si>
  <si>
    <t>74 609 073 7 805 000</t>
  </si>
  <si>
    <t>Mustanir@protelindo.net</t>
  </si>
  <si>
    <t>OS1711039</t>
  </si>
  <si>
    <t>Andri Pujadi</t>
  </si>
  <si>
    <t>Biak, 13 Maret 1980</t>
  </si>
  <si>
    <t>Jalan Sosial no. 56A rt 02/06 Jatiwaringin Pondok Gede Bekasi 17411</t>
  </si>
  <si>
    <t>BCA : 4820304336</t>
  </si>
  <si>
    <t>67.072.737.9-432.000</t>
  </si>
  <si>
    <t>Andri.Pujadi@protelindo.net</t>
  </si>
  <si>
    <t>OS1801039</t>
  </si>
  <si>
    <t>Ibnu Hasan</t>
  </si>
  <si>
    <t>Sialang Palas, 08 Oktober 1988</t>
  </si>
  <si>
    <t>adj 8 Jan'18 prev 3.752.778</t>
  </si>
  <si>
    <t>Sialang Palas, Kecamatan Lubuk Dalam, Kabupaten Siak. Riau</t>
  </si>
  <si>
    <t>BCA 8230157805</t>
  </si>
  <si>
    <t>74.909.132.8-222.000</t>
  </si>
  <si>
    <t>Ibnu.Hasan@protelindo.net</t>
  </si>
  <si>
    <t>OS1803029</t>
  </si>
  <si>
    <t>Yoga Yuliantoro</t>
  </si>
  <si>
    <t>Jakarta, 27 Juli 1992</t>
  </si>
  <si>
    <t>Perumahan Dian Asri II Blok D19/15 RT002 RW0015 Jln. Jambu. Cibinong - Bogor</t>
  </si>
  <si>
    <t>BCA  8691458628</t>
  </si>
  <si>
    <t>73.651.148.6-403.000</t>
  </si>
  <si>
    <t>yoga.yuliantoro@gmail.com</t>
  </si>
</sst>
</file>

<file path=xl/styles.xml><?xml version="1.0" encoding="utf-8"?>
<styleSheet xmlns="http://schemas.openxmlformats.org/spreadsheetml/2006/main">
  <numFmts count="12">
    <numFmt numFmtId="176" formatCode="[$-409]d\-mmm\-yyyy;@"/>
    <numFmt numFmtId="177" formatCode="[$-409]d/mmm/yy;@"/>
    <numFmt numFmtId="178" formatCode="[$-409]d\-mmm\-yy;@"/>
    <numFmt numFmtId="179" formatCode="[$-409]dd\-mmm\-yyyy;@"/>
    <numFmt numFmtId="44" formatCode="_(&quot;$&quot;* #,##0.00_);_(&quot;$&quot;* \(#,##0.00\);_(&quot;$&quot;* &quot;-&quot;??_);_(@_)"/>
    <numFmt numFmtId="180" formatCode="_(* #,##0.00_);_(* \(#,##0.00\);_(* \-??_);_(@_)"/>
    <numFmt numFmtId="41" formatCode="_(* #,##0_);_(* \(#,##0\);_(* &quot;-&quot;_);_(@_)"/>
    <numFmt numFmtId="43" formatCode="_(* #,##0.00_);_(* \(#,##0.00\);_(* &quot;-&quot;??_);_(@_)"/>
    <numFmt numFmtId="42" formatCode="_(&quot;$&quot;* #,##0_);_(&quot;$&quot;* \(#,##0\);_(&quot;$&quot;* &quot;-&quot;_);_(@_)"/>
    <numFmt numFmtId="181" formatCode="_(* #,##0_);_(* \(#,##0\);_(* &quot;-&quot;??_);_(@_)"/>
    <numFmt numFmtId="182" formatCode="_ * #,##0_ ;_ * \-#,##0_ ;_ * &quot;-&quot;_ ;_ @_ "/>
    <numFmt numFmtId="183" formatCode="_(* #,##0_);_(* \(#,##0\);_(* \-_);_(@_)"/>
  </numFmts>
  <fonts count="96">
    <font>
      <sz val="10"/>
      <name val="Arial"/>
      <charset val="134"/>
    </font>
    <font>
      <sz val="9"/>
      <name val="Palatino Linotype"/>
      <charset val="134"/>
    </font>
    <font>
      <sz val="9"/>
      <color rgb="FFFF0000"/>
      <name val="Palatino Linotype"/>
      <charset val="134"/>
    </font>
    <font>
      <b/>
      <sz val="9"/>
      <name val="Palatino Linotype"/>
      <charset val="134"/>
    </font>
    <font>
      <sz val="8"/>
      <name val="Segoe UI"/>
      <charset val="134"/>
    </font>
    <font>
      <sz val="9"/>
      <color indexed="10"/>
      <name val="Palatino Linotype"/>
      <charset val="134"/>
    </font>
    <font>
      <sz val="10"/>
      <color rgb="FFFF0000"/>
      <name val="Palatino Linotype"/>
      <charset val="134"/>
    </font>
    <font>
      <sz val="11"/>
      <color rgb="FFFF0000"/>
      <name val="Calibri"/>
      <charset val="134"/>
    </font>
    <font>
      <sz val="8"/>
      <color rgb="FFFF0000"/>
      <name val="Segoe UI"/>
      <charset val="134"/>
    </font>
    <font>
      <b/>
      <sz val="9"/>
      <name val="Tahoma"/>
      <charset val="134"/>
    </font>
    <font>
      <b/>
      <sz val="9"/>
      <name val="Garamond"/>
      <charset val="134"/>
    </font>
    <font>
      <u/>
      <sz val="10"/>
      <color indexed="12"/>
      <name val="Arial"/>
      <charset val="134"/>
    </font>
    <font>
      <u/>
      <sz val="10"/>
      <color rgb="FFFF0000"/>
      <name val="Arial"/>
      <charset val="134"/>
    </font>
    <font>
      <sz val="8"/>
      <color indexed="10"/>
      <name val="Segoe UI"/>
      <charset val="134"/>
    </font>
    <font>
      <b/>
      <sz val="8"/>
      <name val="Segoe UI"/>
      <charset val="134"/>
    </font>
    <font>
      <u/>
      <sz val="10"/>
      <name val="Arial"/>
      <charset val="134"/>
    </font>
    <font>
      <sz val="11"/>
      <name val="Calibri"/>
      <charset val="134"/>
    </font>
    <font>
      <i/>
      <sz val="9"/>
      <name val="Palatino Linotype"/>
      <charset val="134"/>
    </font>
    <font>
      <u/>
      <sz val="8"/>
      <color indexed="12"/>
      <name val="Segoe UI"/>
      <charset val="134"/>
    </font>
    <font>
      <sz val="8"/>
      <color indexed="8"/>
      <name val="Segoe UI"/>
      <charset val="134"/>
    </font>
    <font>
      <u/>
      <sz val="8"/>
      <color rgb="FFFF0000"/>
      <name val="Segoe UI"/>
      <charset val="134"/>
    </font>
    <font>
      <b/>
      <sz val="9"/>
      <color rgb="FFFF0000"/>
      <name val="Palatino Linotype"/>
      <charset val="134"/>
    </font>
    <font>
      <sz val="11"/>
      <color theme="1"/>
      <name val="Calibri"/>
      <charset val="134"/>
      <scheme val="minor"/>
    </font>
    <font>
      <sz val="11"/>
      <color rgb="FFFF0000"/>
      <name val="Calibri"/>
      <charset val="134"/>
      <scheme val="minor"/>
    </font>
    <font>
      <sz val="11"/>
      <name val="Calibri"/>
      <charset val="134"/>
      <scheme val="minor"/>
    </font>
    <font>
      <sz val="8"/>
      <color theme="1"/>
      <name val="Segoe UI"/>
      <charset val="134"/>
    </font>
    <font>
      <u/>
      <sz val="9"/>
      <name val="Calibri"/>
      <charset val="134"/>
      <scheme val="minor"/>
    </font>
    <font>
      <sz val="8"/>
      <name val="Palatino Linotype"/>
      <charset val="134"/>
    </font>
    <font>
      <sz val="8"/>
      <color rgb="FFFF0000"/>
      <name val="Palatino Linotype"/>
      <charset val="134"/>
    </font>
    <font>
      <sz val="8"/>
      <color theme="1"/>
      <name val="Palatino Linotype"/>
      <charset val="134"/>
    </font>
    <font>
      <u/>
      <sz val="8"/>
      <color indexed="12"/>
      <name val="Arial"/>
      <charset val="134"/>
    </font>
    <font>
      <u/>
      <sz val="8"/>
      <name val="Segoe UI"/>
      <charset val="134"/>
    </font>
    <font>
      <u/>
      <sz val="8"/>
      <color theme="1"/>
      <name val="Segoe UI"/>
      <charset val="134"/>
    </font>
    <font>
      <u/>
      <sz val="8"/>
      <color rgb="FFFF0000"/>
      <name val="Arial"/>
      <charset val="134"/>
    </font>
    <font>
      <sz val="11"/>
      <color indexed="8"/>
      <name val="Calibri"/>
      <charset val="134"/>
    </font>
    <font>
      <u/>
      <sz val="8"/>
      <color theme="1"/>
      <name val="Arial"/>
      <charset val="134"/>
    </font>
    <font>
      <b/>
      <sz val="8"/>
      <color rgb="FFFF0000"/>
      <name val="Segoe UI"/>
      <charset val="134"/>
    </font>
    <font>
      <b/>
      <sz val="8"/>
      <color indexed="9"/>
      <name val="Segoe UI"/>
      <charset val="134"/>
    </font>
    <font>
      <i/>
      <sz val="8"/>
      <name val="Segoe UI"/>
      <charset val="134"/>
    </font>
    <font>
      <sz val="8"/>
      <color indexed="63"/>
      <name val="Segoe UI"/>
      <charset val="134"/>
    </font>
    <font>
      <sz val="8"/>
      <color indexed="62"/>
      <name val="Segoe UI"/>
      <charset val="134"/>
    </font>
    <font>
      <sz val="8"/>
      <color rgb="FF7030A0"/>
      <name val="Segoe UI"/>
      <charset val="134"/>
    </font>
    <font>
      <sz val="8"/>
      <color theme="0"/>
      <name val="Segoe UI"/>
      <charset val="134"/>
    </font>
    <font>
      <b/>
      <sz val="8"/>
      <color theme="0"/>
      <name val="Segoe UI"/>
      <charset val="134"/>
    </font>
    <font>
      <sz val="8"/>
      <color rgb="FF000000"/>
      <name val="Segoe UI"/>
      <charset val="134"/>
    </font>
    <font>
      <u/>
      <sz val="10"/>
      <color rgb="FF7030A0"/>
      <name val="Arial"/>
      <charset val="134"/>
    </font>
    <font>
      <b/>
      <sz val="11"/>
      <color rgb="FFFF0000"/>
      <name val="Calibri"/>
      <charset val="134"/>
      <scheme val="minor"/>
    </font>
    <font>
      <sz val="8"/>
      <color rgb="FF333333"/>
      <name val="Verdana"/>
      <charset val="134"/>
    </font>
    <font>
      <b/>
      <sz val="8"/>
      <name val="Palatino Linotype"/>
      <charset val="134"/>
    </font>
    <font>
      <u/>
      <sz val="8"/>
      <color rgb="FFFF0000"/>
      <name val="Palatino Linotype"/>
      <charset val="134"/>
    </font>
    <font>
      <b/>
      <sz val="8"/>
      <color rgb="FFFF0000"/>
      <name val="Palatino Linotype"/>
      <charset val="134"/>
    </font>
    <font>
      <u/>
      <sz val="8"/>
      <name val="Palatino Linotype"/>
      <charset val="134"/>
    </font>
    <font>
      <b/>
      <sz val="8"/>
      <name val="Arial"/>
      <charset val="134"/>
    </font>
    <font>
      <sz val="8"/>
      <color rgb="FF0070C0"/>
      <name val="Palatino Linotype"/>
      <charset val="134"/>
    </font>
    <font>
      <sz val="8"/>
      <color rgb="FF0070C0"/>
      <name val="Segoe UI"/>
      <charset val="134"/>
    </font>
    <font>
      <u/>
      <sz val="10"/>
      <color rgb="FF0070C0"/>
      <name val="Arial"/>
      <charset val="134"/>
    </font>
    <font>
      <sz val="10"/>
      <name val="Calibri"/>
      <charset val="134"/>
      <scheme val="minor"/>
    </font>
    <font>
      <sz val="10"/>
      <color rgb="FFFF0000"/>
      <name val="Calibri"/>
      <charset val="134"/>
      <scheme val="minor"/>
    </font>
    <font>
      <u/>
      <sz val="8"/>
      <color rgb="FF0070C0"/>
      <name val="Segoe UI"/>
      <charset val="134"/>
    </font>
    <font>
      <sz val="11"/>
      <color rgb="FF7030A0"/>
      <name val="Calibri"/>
      <charset val="134"/>
      <scheme val="minor"/>
    </font>
    <font>
      <sz val="11"/>
      <color rgb="FF00B050"/>
      <name val="Calibri"/>
      <charset val="134"/>
      <scheme val="minor"/>
    </font>
    <font>
      <sz val="8"/>
      <color rgb="FF00B050"/>
      <name val="Segoe UI"/>
      <charset val="134"/>
    </font>
    <font>
      <u/>
      <sz val="11"/>
      <color theme="10"/>
      <name val="Calibri"/>
      <charset val="134"/>
    </font>
    <font>
      <sz val="11"/>
      <color rgb="FF000000"/>
      <name val="Calibri"/>
      <charset val="134"/>
    </font>
    <font>
      <sz val="9"/>
      <color rgb="FF000000"/>
      <name val="Arial"/>
      <charset val="134"/>
    </font>
    <font>
      <b/>
      <sz val="8"/>
      <name val="Calibri"/>
      <charset val="134"/>
    </font>
    <font>
      <sz val="8"/>
      <name val="Calibri"/>
      <charset val="134"/>
    </font>
    <font>
      <b/>
      <i/>
      <sz val="10"/>
      <color rgb="FF000000"/>
      <name val="Arial"/>
      <charset val="134"/>
    </font>
    <font>
      <sz val="8"/>
      <color rgb="FF000000"/>
      <name val="Arial"/>
      <charset val="134"/>
    </font>
    <font>
      <sz val="8"/>
      <color rgb="FF000000"/>
      <name val="Calibri"/>
      <charset val="134"/>
    </font>
    <font>
      <sz val="10"/>
      <color indexed="8"/>
      <name val="Arial"/>
      <charset val="134"/>
    </font>
    <font>
      <b/>
      <sz val="18"/>
      <color theme="3"/>
      <name val="Calibri"/>
      <charset val="134"/>
      <scheme val="minor"/>
    </font>
    <font>
      <sz val="11"/>
      <color theme="1"/>
      <name val="Calibri"/>
      <charset val="0"/>
      <scheme val="minor"/>
    </font>
    <font>
      <sz val="11"/>
      <color theme="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u/>
      <sz val="11"/>
      <color rgb="FF800080"/>
      <name val="Calibri"/>
      <charset val="0"/>
      <scheme val="minor"/>
    </font>
    <font>
      <b/>
      <sz val="11"/>
      <color theme="3"/>
      <name val="Calibri"/>
      <charset val="134"/>
      <scheme val="minor"/>
    </font>
    <font>
      <sz val="11"/>
      <name val="Arial"/>
      <charset val="134"/>
    </font>
    <font>
      <b/>
      <sz val="11"/>
      <color rgb="FF3F3F3F"/>
      <name val="Calibri"/>
      <charset val="0"/>
      <scheme val="minor"/>
    </font>
    <font>
      <sz val="11"/>
      <color rgb="FF9C0006"/>
      <name val="Calibri"/>
      <charset val="0"/>
      <scheme val="minor"/>
    </font>
    <font>
      <sz val="11"/>
      <color rgb="FFFF0000"/>
      <name val="Calibri"/>
      <charset val="0"/>
      <scheme val="minor"/>
    </font>
    <font>
      <sz val="12"/>
      <name val="Times New Roman"/>
      <charset val="134"/>
    </font>
    <font>
      <b/>
      <sz val="15"/>
      <color theme="3"/>
      <name val="Calibri"/>
      <charset val="134"/>
      <scheme val="minor"/>
    </font>
    <font>
      <sz val="12"/>
      <name val="宋体"/>
      <charset val="134"/>
    </font>
    <font>
      <u/>
      <sz val="11"/>
      <color theme="10"/>
      <name val="Calibri"/>
      <charset val="1"/>
      <scheme val="minor"/>
    </font>
    <font>
      <sz val="11"/>
      <color rgb="FF3F3F76"/>
      <name val="Calibri"/>
      <charset val="0"/>
      <scheme val="minor"/>
    </font>
    <font>
      <sz val="8"/>
      <color theme="1"/>
      <name val="Trebuchet MS"/>
      <charset val="1"/>
    </font>
    <font>
      <sz val="11"/>
      <color theme="1"/>
      <name val="Calibri"/>
      <charset val="1"/>
      <scheme val="minor"/>
    </font>
    <font>
      <sz val="10"/>
      <color indexed="8"/>
      <name val="MS Sans Serif"/>
      <charset val="134"/>
    </font>
    <font>
      <sz val="11"/>
      <color rgb="FFFA7D00"/>
      <name val="Calibri"/>
      <charset val="0"/>
      <scheme val="minor"/>
    </font>
    <font>
      <sz val="11"/>
      <color rgb="FF9C650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s>
  <fills count="45">
    <fill>
      <patternFill patternType="none"/>
    </fill>
    <fill>
      <patternFill patternType="gray125"/>
    </fill>
    <fill>
      <patternFill patternType="solid">
        <fgColor indexed="22"/>
        <bgColor indexed="64"/>
      </patternFill>
    </fill>
    <fill>
      <patternFill patternType="solid">
        <fgColor theme="8" tint="0.599993896298105"/>
        <bgColor indexed="64"/>
      </patternFill>
    </fill>
    <fill>
      <patternFill patternType="solid">
        <fgColor rgb="FFFFFF00"/>
        <bgColor indexed="64"/>
      </patternFill>
    </fill>
    <fill>
      <patternFill patternType="solid">
        <fgColor theme="9" tint="0.599993896298105"/>
        <bgColor indexed="64"/>
      </patternFill>
    </fill>
    <fill>
      <patternFill patternType="solid">
        <fgColor rgb="FF00B0F0"/>
        <bgColor indexed="64"/>
      </patternFill>
    </fill>
    <fill>
      <patternFill patternType="solid">
        <fgColor rgb="FFCCFFFF"/>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969696"/>
        <bgColor indexed="64"/>
      </patternFill>
    </fill>
    <fill>
      <patternFill patternType="solid">
        <fgColor indexed="43"/>
        <bgColor indexed="64"/>
      </patternFill>
    </fill>
    <fill>
      <patternFill patternType="solid">
        <fgColor indexed="9"/>
        <bgColor indexed="64"/>
      </patternFill>
    </fill>
    <fill>
      <patternFill patternType="solid">
        <fgColor theme="6" tint="-0.249977111117893"/>
        <bgColor indexed="64"/>
      </patternFill>
    </fill>
    <fill>
      <patternFill patternType="solid">
        <fgColor theme="0"/>
        <bgColor indexed="64"/>
      </patternFill>
    </fill>
    <fill>
      <patternFill patternType="solid">
        <fgColor indexed="22"/>
        <bgColor indexed="0"/>
      </patternFill>
    </fill>
    <fill>
      <patternFill patternType="solid">
        <fgColor indexed="55"/>
        <bgColor indexed="64"/>
      </patternFill>
    </fill>
    <fill>
      <patternFill patternType="solid">
        <fgColor theme="8"/>
        <bgColor indexed="64"/>
      </patternFill>
    </fill>
    <fill>
      <patternFill patternType="solid">
        <fgColor theme="9" tint="0.799981688894314"/>
        <bgColor indexed="64"/>
      </patternFill>
    </fill>
    <fill>
      <patternFill patternType="solid">
        <fgColor rgb="FF00B050"/>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s>
  <borders count="61">
    <border>
      <left/>
      <right/>
      <top/>
      <bottom/>
      <diagonal/>
    </border>
    <border>
      <left style="double">
        <color auto="1"/>
      </left>
      <right style="double">
        <color auto="1"/>
      </right>
      <top style="double">
        <color auto="1"/>
      </top>
      <bottom/>
      <diagonal/>
    </border>
    <border>
      <left style="double">
        <color auto="1"/>
      </left>
      <right style="double">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double">
        <color auto="1"/>
      </left>
      <right style="double">
        <color auto="1"/>
      </right>
      <top style="double">
        <color auto="1"/>
      </top>
      <bottom style="double">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style="double">
        <color auto="1"/>
      </top>
      <bottom style="thin">
        <color auto="1"/>
      </bottom>
      <diagonal/>
    </border>
    <border>
      <left style="double">
        <color auto="1"/>
      </left>
      <right/>
      <top style="double">
        <color auto="1"/>
      </top>
      <bottom style="thin">
        <color auto="1"/>
      </bottom>
      <diagonal/>
    </border>
    <border>
      <left style="double">
        <color auto="1"/>
      </left>
      <right style="double">
        <color auto="1"/>
      </right>
      <top style="thin">
        <color auto="1"/>
      </top>
      <bottom/>
      <diagonal/>
    </border>
    <border>
      <left style="double">
        <color auto="1"/>
      </left>
      <right/>
      <top style="thin">
        <color auto="1"/>
      </top>
      <bottom/>
      <diagonal/>
    </border>
    <border>
      <left style="double">
        <color auto="1"/>
      </left>
      <right/>
      <top style="double">
        <color auto="1"/>
      </top>
      <bottom/>
      <diagonal/>
    </border>
    <border>
      <left style="double">
        <color auto="1"/>
      </left>
      <right/>
      <top/>
      <bottom/>
      <diagonal/>
    </border>
    <border>
      <left style="double">
        <color auto="1"/>
      </left>
      <right style="double">
        <color auto="1"/>
      </right>
      <top/>
      <bottom style="double">
        <color auto="1"/>
      </bottom>
      <diagonal/>
    </border>
    <border>
      <left/>
      <right style="double">
        <color auto="1"/>
      </right>
      <top style="double">
        <color auto="1"/>
      </top>
      <bottom/>
      <diagonal/>
    </border>
    <border>
      <left style="double">
        <color auto="1"/>
      </left>
      <right style="double">
        <color auto="1"/>
      </right>
      <top style="thin">
        <color auto="1"/>
      </top>
      <bottom style="double">
        <color auto="1"/>
      </bottom>
      <diagonal/>
    </border>
    <border>
      <left style="double">
        <color auto="1"/>
      </left>
      <right/>
      <top style="thin">
        <color auto="1"/>
      </top>
      <bottom style="double">
        <color auto="1"/>
      </bottom>
      <diagonal/>
    </border>
    <border>
      <left style="double">
        <color auto="1"/>
      </left>
      <right/>
      <top/>
      <bottom style="double">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thin">
        <color auto="1"/>
      </right>
      <top style="double">
        <color auto="1"/>
      </top>
      <bottom/>
      <diagonal/>
    </border>
    <border>
      <left style="double">
        <color auto="1"/>
      </left>
      <right style="thin">
        <color auto="1"/>
      </right>
      <top/>
      <bottom style="double">
        <color auto="1"/>
      </bottom>
      <diagonal/>
    </border>
    <border>
      <left/>
      <right/>
      <top style="double">
        <color auto="1"/>
      </top>
      <bottom style="double">
        <color auto="1"/>
      </bottom>
      <diagonal/>
    </border>
    <border>
      <left style="medium">
        <color auto="1"/>
      </left>
      <right/>
      <top/>
      <bottom/>
      <diagonal/>
    </border>
    <border>
      <left/>
      <right/>
      <top style="double">
        <color auto="1"/>
      </top>
      <bottom/>
      <diagonal/>
    </border>
    <border>
      <left/>
      <right/>
      <top/>
      <bottom style="double">
        <color auto="1"/>
      </bottom>
      <diagonal/>
    </border>
    <border>
      <left style="double">
        <color auto="1"/>
      </left>
      <right style="thin">
        <color auto="1"/>
      </right>
      <top/>
      <bottom/>
      <diagonal/>
    </border>
    <border>
      <left style="medium">
        <color auto="1"/>
      </left>
      <right style="medium">
        <color auto="1"/>
      </right>
      <top style="medium">
        <color auto="1"/>
      </top>
      <bottom style="medium">
        <color auto="1"/>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auto="1"/>
      </left>
      <right style="thin">
        <color auto="1"/>
      </right>
      <top style="double">
        <color auto="1"/>
      </top>
      <bottom style="thin">
        <color auto="1"/>
      </bottom>
      <diagonal/>
    </border>
    <border>
      <left/>
      <right style="double">
        <color auto="1"/>
      </right>
      <top/>
      <bottom style="double">
        <color auto="1"/>
      </bottom>
      <diagonal/>
    </border>
    <border>
      <left style="medium">
        <color auto="1"/>
      </left>
      <right/>
      <top/>
      <bottom style="thin">
        <color auto="1"/>
      </bottom>
      <diagonal/>
    </border>
    <border>
      <left style="double">
        <color auto="1"/>
      </left>
      <right style="double">
        <color auto="1"/>
      </right>
      <top/>
      <bottom style="thin">
        <color auto="1"/>
      </bottom>
      <diagonal/>
    </border>
    <border>
      <left/>
      <right/>
      <top style="thin">
        <color rgb="FF7F7F7F"/>
      </top>
      <bottom style="thin">
        <color rgb="FF7F7F7F"/>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right/>
      <top/>
      <bottom style="thin">
        <color auto="1"/>
      </bottom>
      <diagonal/>
    </border>
    <border>
      <left/>
      <right style="thin">
        <color indexed="22"/>
      </right>
      <top style="thin">
        <color indexed="22"/>
      </top>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177">
    <xf numFmtId="0" fontId="0" fillId="0" borderId="0"/>
    <xf numFmtId="43" fontId="0" fillId="0" borderId="0" applyFont="0" applyFill="0" applyBorder="0" applyAlignment="0" applyProtection="0"/>
    <xf numFmtId="43" fontId="0" fillId="0" borderId="0" applyFont="0" applyFill="0" applyBorder="0" applyAlignment="0" applyProtection="0"/>
    <xf numFmtId="0" fontId="22" fillId="0" borderId="0"/>
    <xf numFmtId="0" fontId="89" fillId="0" borderId="0"/>
    <xf numFmtId="0" fontId="70" fillId="0" borderId="0"/>
    <xf numFmtId="0" fontId="88" fillId="0" borderId="0"/>
    <xf numFmtId="182" fontId="85" fillId="0" borderId="0" applyFont="0" applyFill="0" applyBorder="0" applyAlignment="0" applyProtection="0">
      <alignment vertical="center"/>
    </xf>
    <xf numFmtId="0" fontId="0" fillId="0" borderId="0"/>
    <xf numFmtId="41" fontId="8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90" fillId="0" borderId="0"/>
    <xf numFmtId="0" fontId="0" fillId="0" borderId="0"/>
    <xf numFmtId="0" fontId="70" fillId="0" borderId="0"/>
    <xf numFmtId="41" fontId="89" fillId="0" borderId="0" applyFont="0" applyFill="0" applyBorder="0" applyAlignment="0" applyProtection="0"/>
    <xf numFmtId="41" fontId="89" fillId="0" borderId="0" applyFont="0" applyFill="0" applyBorder="0" applyAlignment="0" applyProtection="0"/>
    <xf numFmtId="183" fontId="34" fillId="0" borderId="0" applyFill="0" applyBorder="0" applyAlignment="0" applyProtection="0"/>
    <xf numFmtId="0" fontId="70" fillId="0" borderId="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0" fontId="0" fillId="0" borderId="0"/>
    <xf numFmtId="0" fontId="22" fillId="0" borderId="0"/>
    <xf numFmtId="43" fontId="0" fillId="0" borderId="0" applyFont="0" applyFill="0" applyBorder="0" applyAlignment="0" applyProtection="0"/>
    <xf numFmtId="43" fontId="0" fillId="0" borderId="0" applyFont="0" applyFill="0" applyBorder="0" applyAlignment="0" applyProtection="0"/>
    <xf numFmtId="43" fontId="22" fillId="0" borderId="0" applyFont="0" applyFill="0" applyBorder="0" applyAlignment="0" applyProtection="0"/>
    <xf numFmtId="180" fontId="34" fillId="0" borderId="0" applyFill="0" applyBorder="0" applyAlignment="0" applyProtection="0"/>
    <xf numFmtId="43" fontId="22" fillId="0" borderId="0" applyFont="0" applyFill="0" applyBorder="0" applyAlignment="0" applyProtection="0"/>
    <xf numFmtId="0" fontId="70" fillId="0" borderId="0"/>
    <xf numFmtId="43" fontId="0" fillId="0" borderId="0" applyFont="0" applyFill="0" applyBorder="0" applyAlignment="0" applyProtection="0"/>
    <xf numFmtId="0" fontId="0" fillId="0" borderId="0"/>
    <xf numFmtId="180" fontId="34" fillId="0" borderId="0" applyFill="0" applyBorder="0" applyAlignment="0" applyProtection="0"/>
    <xf numFmtId="0" fontId="22" fillId="0" borderId="0"/>
    <xf numFmtId="43" fontId="0" fillId="0" borderId="0" applyFont="0" applyFill="0" applyBorder="0" applyAlignment="0" applyProtection="0"/>
    <xf numFmtId="0" fontId="86" fillId="0" borderId="0" applyNumberFormat="0" applyFill="0" applyBorder="0" applyAlignment="0" applyProtection="0"/>
    <xf numFmtId="0" fontId="62" fillId="0" borderId="0" applyNumberFormat="0" applyFill="0" applyBorder="0" applyAlignment="0" applyProtection="0">
      <alignment vertical="top"/>
      <protection locked="0"/>
    </xf>
    <xf numFmtId="0" fontId="70" fillId="0" borderId="0"/>
    <xf numFmtId="0" fontId="22" fillId="0" borderId="0"/>
    <xf numFmtId="0" fontId="22" fillId="0" borderId="0"/>
    <xf numFmtId="0" fontId="22" fillId="0" borderId="0"/>
    <xf numFmtId="0" fontId="22" fillId="0" borderId="0"/>
    <xf numFmtId="0" fontId="22" fillId="0" borderId="0"/>
    <xf numFmtId="0" fontId="0" fillId="0" borderId="0"/>
    <xf numFmtId="0" fontId="85" fillId="0" borderId="0"/>
    <xf numFmtId="0" fontId="22" fillId="0" borderId="0"/>
    <xf numFmtId="0" fontId="0" fillId="0" borderId="0"/>
    <xf numFmtId="0" fontId="0" fillId="0" borderId="0"/>
    <xf numFmtId="0" fontId="0" fillId="0" borderId="0"/>
    <xf numFmtId="0" fontId="0" fillId="0" borderId="0"/>
    <xf numFmtId="0" fontId="0" fillId="0" borderId="0"/>
    <xf numFmtId="0" fontId="0" fillId="0" borderId="0"/>
    <xf numFmtId="0" fontId="22" fillId="0" borderId="0"/>
    <xf numFmtId="0" fontId="70" fillId="0" borderId="0"/>
    <xf numFmtId="0" fontId="0" fillId="0" borderId="0"/>
    <xf numFmtId="0" fontId="0" fillId="0" borderId="0"/>
    <xf numFmtId="0" fontId="0" fillId="0" borderId="0"/>
    <xf numFmtId="0" fontId="0" fillId="0" borderId="0"/>
    <xf numFmtId="0" fontId="22" fillId="0" borderId="0"/>
    <xf numFmtId="0" fontId="70" fillId="0" borderId="0"/>
    <xf numFmtId="0" fontId="22" fillId="0" borderId="0"/>
    <xf numFmtId="0" fontId="70" fillId="0" borderId="0"/>
    <xf numFmtId="0" fontId="22" fillId="0" borderId="0"/>
    <xf numFmtId="0" fontId="22" fillId="0" borderId="0"/>
    <xf numFmtId="0" fontId="70" fillId="0" borderId="0"/>
    <xf numFmtId="0" fontId="70" fillId="0" borderId="0"/>
    <xf numFmtId="0" fontId="70" fillId="0" borderId="0"/>
    <xf numFmtId="0" fontId="70" fillId="0" borderId="0"/>
    <xf numFmtId="0" fontId="70" fillId="0" borderId="0"/>
    <xf numFmtId="0" fontId="70" fillId="0" borderId="0"/>
    <xf numFmtId="9" fontId="85" fillId="0" borderId="0" applyFont="0" applyFill="0" applyBorder="0" applyAlignment="0" applyProtection="0"/>
    <xf numFmtId="0" fontId="22" fillId="0" borderId="0"/>
    <xf numFmtId="0" fontId="83" fillId="0" borderId="0"/>
    <xf numFmtId="0" fontId="70" fillId="0" borderId="0"/>
    <xf numFmtId="0" fontId="73" fillId="9" borderId="0" applyNumberFormat="0" applyBorder="0" applyAlignment="0" applyProtection="0">
      <alignment vertical="center"/>
    </xf>
    <xf numFmtId="43" fontId="22" fillId="0" borderId="0" applyFont="0" applyFill="0" applyBorder="0" applyAlignment="0" applyProtection="0"/>
    <xf numFmtId="0" fontId="73" fillId="41" borderId="0" applyNumberFormat="0" applyBorder="0" applyAlignment="0" applyProtection="0">
      <alignment vertical="center"/>
    </xf>
    <xf numFmtId="0" fontId="73" fillId="38" borderId="0" applyNumberFormat="0" applyBorder="0" applyAlignment="0" applyProtection="0">
      <alignment vertical="center"/>
    </xf>
    <xf numFmtId="0" fontId="72" fillId="5" borderId="0" applyNumberFormat="0" applyBorder="0" applyAlignment="0" applyProtection="0">
      <alignment vertical="center"/>
    </xf>
    <xf numFmtId="43" fontId="0" fillId="0" borderId="0" applyFont="0" applyFill="0" applyBorder="0" applyAlignment="0" applyProtection="0"/>
    <xf numFmtId="0" fontId="73" fillId="37" borderId="0" applyNumberFormat="0" applyBorder="0" applyAlignment="0" applyProtection="0">
      <alignment vertical="center"/>
    </xf>
    <xf numFmtId="0" fontId="22" fillId="0" borderId="0"/>
    <xf numFmtId="0" fontId="70" fillId="0" borderId="0"/>
    <xf numFmtId="43" fontId="34" fillId="0" borderId="0" applyFont="0" applyFill="0" applyBorder="0" applyAlignment="0" applyProtection="0"/>
    <xf numFmtId="0" fontId="73" fillId="17" borderId="0" applyNumberFormat="0" applyBorder="0" applyAlignment="0" applyProtection="0">
      <alignment vertical="center"/>
    </xf>
    <xf numFmtId="0" fontId="72" fillId="3" borderId="0" applyNumberFormat="0" applyBorder="0" applyAlignment="0" applyProtection="0">
      <alignment vertical="center"/>
    </xf>
    <xf numFmtId="0" fontId="22" fillId="0" borderId="0"/>
    <xf numFmtId="0" fontId="22" fillId="0" borderId="0"/>
    <xf numFmtId="0" fontId="72" fillId="39" borderId="0" applyNumberFormat="0" applyBorder="0" applyAlignment="0" applyProtection="0">
      <alignment vertical="center"/>
    </xf>
    <xf numFmtId="43" fontId="0" fillId="0" borderId="0" applyFont="0" applyFill="0" applyBorder="0" applyAlignment="0" applyProtection="0"/>
    <xf numFmtId="0" fontId="73" fillId="35" borderId="0" applyNumberFormat="0" applyBorder="0" applyAlignment="0" applyProtection="0">
      <alignment vertical="center"/>
    </xf>
    <xf numFmtId="0" fontId="22" fillId="0" borderId="0"/>
    <xf numFmtId="0" fontId="22" fillId="0" borderId="0"/>
    <xf numFmtId="0" fontId="70" fillId="0" borderId="0"/>
    <xf numFmtId="43" fontId="0" fillId="0" borderId="0" applyFont="0" applyFill="0" applyBorder="0" applyAlignment="0" applyProtection="0"/>
    <xf numFmtId="41" fontId="22" fillId="0" borderId="0" applyFont="0" applyFill="0" applyBorder="0" applyAlignment="0" applyProtection="0"/>
    <xf numFmtId="42" fontId="22" fillId="0" borderId="0" applyFont="0" applyFill="0" applyBorder="0" applyAlignment="0" applyProtection="0">
      <alignment vertical="center"/>
    </xf>
    <xf numFmtId="0" fontId="72" fillId="32" borderId="0" applyNumberFormat="0" applyBorder="0" applyAlignment="0" applyProtection="0">
      <alignment vertical="center"/>
    </xf>
    <xf numFmtId="0" fontId="73" fillId="31" borderId="0" applyNumberFormat="0" applyBorder="0" applyAlignment="0" applyProtection="0">
      <alignment vertical="center"/>
    </xf>
    <xf numFmtId="0" fontId="70" fillId="0" borderId="0"/>
    <xf numFmtId="0" fontId="70" fillId="0" borderId="0"/>
    <xf numFmtId="0" fontId="70" fillId="0" borderId="0"/>
    <xf numFmtId="0" fontId="91" fillId="0" borderId="58" applyNumberFormat="0" applyFill="0" applyAlignment="0" applyProtection="0">
      <alignment vertical="center"/>
    </xf>
    <xf numFmtId="43" fontId="0" fillId="0" borderId="0" applyFont="0" applyFill="0" applyBorder="0" applyAlignment="0" applyProtection="0"/>
    <xf numFmtId="0" fontId="22" fillId="0" borderId="0"/>
    <xf numFmtId="0" fontId="73" fillId="34" borderId="0" applyNumberFormat="0" applyBorder="0" applyAlignment="0" applyProtection="0">
      <alignment vertical="center"/>
    </xf>
    <xf numFmtId="0" fontId="72" fillId="30" borderId="0" applyNumberFormat="0" applyBorder="0" applyAlignment="0" applyProtection="0">
      <alignment vertical="center"/>
    </xf>
    <xf numFmtId="43" fontId="22" fillId="0" borderId="0" applyFont="0" applyFill="0" applyBorder="0" applyAlignment="0" applyProtection="0"/>
    <xf numFmtId="0" fontId="82" fillId="0" borderId="0" applyNumberFormat="0" applyFill="0" applyBorder="0" applyAlignment="0" applyProtection="0">
      <alignment vertical="center"/>
    </xf>
    <xf numFmtId="0" fontId="73" fillId="29" borderId="0" applyNumberFormat="0" applyBorder="0" applyAlignment="0" applyProtection="0">
      <alignment vertical="center"/>
    </xf>
    <xf numFmtId="0" fontId="70" fillId="0" borderId="0"/>
    <xf numFmtId="0" fontId="22" fillId="0" borderId="0"/>
    <xf numFmtId="0" fontId="73" fillId="28" borderId="0" applyNumberFormat="0" applyBorder="0" applyAlignment="0" applyProtection="0">
      <alignment vertical="center"/>
    </xf>
    <xf numFmtId="0" fontId="72" fillId="8" borderId="0" applyNumberFormat="0" applyBorder="0" applyAlignment="0" applyProtection="0">
      <alignment vertical="center"/>
    </xf>
    <xf numFmtId="0" fontId="0" fillId="0" borderId="0"/>
    <xf numFmtId="0" fontId="22" fillId="0" borderId="0"/>
    <xf numFmtId="0" fontId="72" fillId="42" borderId="0" applyNumberFormat="0" applyBorder="0" applyAlignment="0" applyProtection="0">
      <alignment vertical="center"/>
    </xf>
    <xf numFmtId="0" fontId="22" fillId="0" borderId="0"/>
    <xf numFmtId="0" fontId="72" fillId="18" borderId="0" applyNumberFormat="0" applyBorder="0" applyAlignment="0" applyProtection="0">
      <alignment vertical="center"/>
    </xf>
    <xf numFmtId="0" fontId="73" fillId="27" borderId="0" applyNumberFormat="0" applyBorder="0" applyAlignment="0" applyProtection="0">
      <alignment vertical="center"/>
    </xf>
    <xf numFmtId="0" fontId="72" fillId="26" borderId="0" applyNumberFormat="0" applyBorder="0" applyAlignment="0" applyProtection="0">
      <alignment vertical="center"/>
    </xf>
    <xf numFmtId="0" fontId="0" fillId="0" borderId="0"/>
    <xf numFmtId="182" fontId="22" fillId="0" borderId="0" applyFont="0" applyFill="0" applyBorder="0" applyAlignment="0" applyProtection="0">
      <alignment vertical="center"/>
    </xf>
    <xf numFmtId="0" fontId="22" fillId="0" borderId="0"/>
    <xf numFmtId="0" fontId="92" fillId="43" borderId="0" applyNumberFormat="0" applyBorder="0" applyAlignment="0" applyProtection="0">
      <alignment vertical="center"/>
    </xf>
    <xf numFmtId="0" fontId="22" fillId="0" borderId="0"/>
    <xf numFmtId="0" fontId="81" fillId="25" borderId="0" applyNumberFormat="0" applyBorder="0" applyAlignment="0" applyProtection="0">
      <alignment vertical="center"/>
    </xf>
    <xf numFmtId="0" fontId="70" fillId="0" borderId="0"/>
    <xf numFmtId="0" fontId="72" fillId="36" borderId="0" applyNumberFormat="0" applyBorder="0" applyAlignment="0" applyProtection="0">
      <alignment vertical="center"/>
    </xf>
    <xf numFmtId="0" fontId="70" fillId="0" borderId="0"/>
    <xf numFmtId="0" fontId="93" fillId="0" borderId="59" applyNumberFormat="0" applyFill="0" applyAlignment="0" applyProtection="0">
      <alignment vertical="center"/>
    </xf>
    <xf numFmtId="0" fontId="22" fillId="0" borderId="0"/>
    <xf numFmtId="0" fontId="80" fillId="23" borderId="56" applyNumberFormat="0" applyAlignment="0" applyProtection="0">
      <alignment vertical="center"/>
    </xf>
    <xf numFmtId="0" fontId="79" fillId="0" borderId="0"/>
    <xf numFmtId="44" fontId="22" fillId="0" borderId="0" applyFont="0" applyFill="0" applyBorder="0" applyAlignment="0" applyProtection="0">
      <alignment vertical="center"/>
    </xf>
    <xf numFmtId="0" fontId="72" fillId="33" borderId="0" applyNumberFormat="0" applyBorder="0" applyAlignment="0" applyProtection="0">
      <alignment vertical="center"/>
    </xf>
    <xf numFmtId="0" fontId="22" fillId="24" borderId="54" applyNumberFormat="0" applyFont="0" applyAlignment="0" applyProtection="0">
      <alignment vertical="center"/>
    </xf>
    <xf numFmtId="43" fontId="0" fillId="0" borderId="0" applyFont="0" applyFill="0" applyBorder="0" applyAlignment="0" applyProtection="0"/>
    <xf numFmtId="0" fontId="87" fillId="40" borderId="53" applyNumberFormat="0" applyAlignment="0" applyProtection="0">
      <alignment vertical="center"/>
    </xf>
    <xf numFmtId="9" fontId="22" fillId="0" borderId="0" applyFont="0" applyFill="0" applyBorder="0" applyAlignment="0" applyProtection="0">
      <alignment vertical="center"/>
    </xf>
    <xf numFmtId="0" fontId="78" fillId="0" borderId="0" applyNumberFormat="0" applyFill="0" applyBorder="0" applyAlignment="0" applyProtection="0">
      <alignment vertical="center"/>
    </xf>
    <xf numFmtId="0" fontId="0" fillId="0" borderId="0"/>
    <xf numFmtId="0" fontId="22" fillId="0" borderId="0"/>
    <xf numFmtId="0" fontId="76" fillId="23" borderId="53" applyNumberFormat="0" applyAlignment="0" applyProtection="0">
      <alignment vertical="center"/>
    </xf>
    <xf numFmtId="0" fontId="75" fillId="22" borderId="0" applyNumberFormat="0" applyBorder="0" applyAlignment="0" applyProtection="0">
      <alignment vertical="center"/>
    </xf>
    <xf numFmtId="0" fontId="70" fillId="0" borderId="0"/>
    <xf numFmtId="0" fontId="78" fillId="0" borderId="55" applyNumberFormat="0" applyFill="0" applyAlignment="0" applyProtection="0">
      <alignment vertical="center"/>
    </xf>
    <xf numFmtId="0" fontId="74" fillId="0" borderId="0" applyNumberFormat="0" applyFill="0" applyBorder="0" applyAlignment="0" applyProtection="0">
      <alignment vertical="center"/>
    </xf>
    <xf numFmtId="43" fontId="22" fillId="0" borderId="0" applyFont="0" applyFill="0" applyBorder="0" applyAlignment="0" applyProtection="0"/>
    <xf numFmtId="0" fontId="73" fillId="21" borderId="0" applyNumberFormat="0" applyBorder="0" applyAlignment="0" applyProtection="0">
      <alignment vertical="center"/>
    </xf>
    <xf numFmtId="0" fontId="84" fillId="0" borderId="57" applyNumberFormat="0" applyFill="0" applyAlignment="0" applyProtection="0">
      <alignment vertical="center"/>
    </xf>
    <xf numFmtId="0" fontId="0" fillId="0" borderId="0"/>
    <xf numFmtId="0" fontId="72" fillId="20" borderId="0" applyNumberFormat="0" applyBorder="0" applyAlignment="0" applyProtection="0">
      <alignment vertical="center"/>
    </xf>
    <xf numFmtId="0" fontId="22" fillId="0" borderId="0"/>
    <xf numFmtId="0" fontId="22" fillId="0" borderId="0"/>
    <xf numFmtId="0" fontId="70" fillId="0" borderId="0"/>
    <xf numFmtId="0" fontId="71" fillId="0" borderId="0" applyNumberFormat="0" applyFill="0" applyBorder="0" applyAlignment="0" applyProtection="0">
      <alignment vertical="center"/>
    </xf>
    <xf numFmtId="0" fontId="70" fillId="0" borderId="0"/>
    <xf numFmtId="0" fontId="22" fillId="0" borderId="0"/>
    <xf numFmtId="0" fontId="22" fillId="0" borderId="0"/>
    <xf numFmtId="0" fontId="11" fillId="0" borderId="0" applyNumberFormat="0" applyFill="0" applyBorder="0" applyAlignment="0" applyProtection="0">
      <alignment vertical="top"/>
      <protection locked="0"/>
    </xf>
    <xf numFmtId="0" fontId="70" fillId="0" borderId="0"/>
    <xf numFmtId="0" fontId="77" fillId="0" borderId="0" applyNumberFormat="0" applyFill="0" applyBorder="0" applyAlignment="0" applyProtection="0">
      <alignment vertical="center"/>
    </xf>
    <xf numFmtId="0" fontId="95" fillId="0" borderId="57" applyNumberFormat="0" applyFill="0" applyAlignment="0" applyProtection="0">
      <alignment vertical="center"/>
    </xf>
    <xf numFmtId="0" fontId="34" fillId="0" borderId="0"/>
    <xf numFmtId="43" fontId="0" fillId="0" borderId="0" applyFont="0" applyFill="0" applyBorder="0" applyAlignment="0" applyProtection="0"/>
    <xf numFmtId="43" fontId="22" fillId="0" borderId="0" applyFont="0" applyFill="0" applyBorder="0" applyAlignment="0" applyProtection="0"/>
    <xf numFmtId="0" fontId="94" fillId="44" borderId="60" applyNumberFormat="0" applyAlignment="0" applyProtection="0">
      <alignment vertical="center"/>
    </xf>
    <xf numFmtId="0" fontId="22" fillId="0" borderId="0"/>
    <xf numFmtId="0" fontId="22" fillId="0" borderId="0"/>
    <xf numFmtId="0" fontId="22" fillId="0" borderId="0"/>
  </cellStyleXfs>
  <cellXfs count="1532">
    <xf numFmtId="0" fontId="0" fillId="0" borderId="0" xfId="0"/>
    <xf numFmtId="0" fontId="1" fillId="0" borderId="0" xfId="0" applyFont="1" applyFill="1" applyAlignment="1">
      <alignment horizontal="center" vertical="center"/>
    </xf>
    <xf numFmtId="0" fontId="1" fillId="0" borderId="0" xfId="0" applyFont="1" applyFill="1"/>
    <xf numFmtId="0" fontId="2" fillId="0" borderId="0" xfId="0" applyFont="1" applyFill="1"/>
    <xf numFmtId="0" fontId="2" fillId="0"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xf numFmtId="49" fontId="1" fillId="0" borderId="0" xfId="0" applyNumberFormat="1" applyFont="1"/>
    <xf numFmtId="0" fontId="1" fillId="0" borderId="0" xfId="0" applyFont="1" applyAlignment="1">
      <alignment vertical="center"/>
    </xf>
    <xf numFmtId="0" fontId="1" fillId="0" borderId="0" xfId="0" applyFont="1" applyFill="1" applyAlignment="1">
      <alignment horizontal="left" vertical="center"/>
    </xf>
    <xf numFmtId="0" fontId="3" fillId="0" borderId="0" xfId="0" applyFont="1" applyFill="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3" xfId="0" applyFont="1" applyFill="1" applyBorder="1" applyAlignment="1">
      <alignment horizontal="center" vertical="center"/>
    </xf>
    <xf numFmtId="0" fontId="4" fillId="0" borderId="4" xfId="56" applyFont="1" applyFill="1" applyBorder="1" applyAlignment="1" applyProtection="1">
      <alignment horizontal="center" vertical="center" wrapText="1"/>
      <protection locked="0"/>
    </xf>
    <xf numFmtId="0" fontId="1" fillId="0" borderId="3" xfId="0" applyFont="1" applyFill="1" applyBorder="1" applyAlignment="1" applyProtection="1">
      <alignment horizontal="left" vertical="center"/>
    </xf>
    <xf numFmtId="178" fontId="1" fillId="0" borderId="3" xfId="0" applyNumberFormat="1" applyFont="1" applyFill="1" applyBorder="1" applyAlignment="1">
      <alignment horizontal="center" vertical="center" wrapText="1"/>
    </xf>
    <xf numFmtId="0" fontId="5" fillId="0" borderId="5"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3" xfId="0" applyFont="1" applyFill="1" applyBorder="1" applyAlignment="1" applyProtection="1">
      <alignment vertical="center"/>
    </xf>
    <xf numFmtId="178" fontId="2" fillId="0" borderId="3" xfId="0" applyNumberFormat="1" applyFont="1" applyFill="1" applyBorder="1" applyAlignment="1">
      <alignment horizontal="center" vertical="center" wrapText="1"/>
    </xf>
    <xf numFmtId="0" fontId="6" fillId="0" borderId="3" xfId="0" applyFont="1" applyFill="1" applyBorder="1" applyAlignment="1">
      <alignment horizontal="center" vertical="center"/>
    </xf>
    <xf numFmtId="0" fontId="7" fillId="0" borderId="3" xfId="161" applyFont="1" applyFill="1" applyBorder="1" applyAlignment="1">
      <alignment vertical="center" wrapText="1"/>
    </xf>
    <xf numFmtId="0" fontId="7" fillId="0" borderId="3" xfId="161" applyFont="1" applyFill="1" applyBorder="1" applyAlignment="1">
      <alignment horizontal="center" vertical="center" wrapText="1"/>
    </xf>
    <xf numFmtId="0" fontId="6"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vertical="center"/>
    </xf>
    <xf numFmtId="0" fontId="2" fillId="0" borderId="3" xfId="0" applyFont="1" applyFill="1" applyBorder="1"/>
    <xf numFmtId="0" fontId="2" fillId="0" borderId="3" xfId="0" applyFont="1" applyFill="1" applyBorder="1" applyAlignment="1"/>
    <xf numFmtId="0" fontId="2" fillId="0" borderId="3" xfId="0" applyFont="1" applyFill="1" applyBorder="1" applyAlignment="1" applyProtection="1">
      <alignment horizontal="left" vertical="center"/>
    </xf>
    <xf numFmtId="0" fontId="8" fillId="0" borderId="4" xfId="56" applyFont="1" applyFill="1" applyBorder="1" applyAlignment="1" applyProtection="1">
      <alignment horizontal="center" vertical="center" wrapText="1"/>
      <protection locked="0"/>
    </xf>
    <xf numFmtId="0" fontId="3" fillId="2" borderId="6" xfId="0" applyFont="1" applyFill="1" applyBorder="1" applyAlignment="1">
      <alignment horizontal="center" vertical="center" wrapText="1"/>
    </xf>
    <xf numFmtId="0" fontId="1" fillId="0" borderId="3" xfId="0" applyFont="1" applyFill="1" applyBorder="1" applyAlignment="1" applyProtection="1">
      <alignment horizontal="center" vertical="center" wrapText="1"/>
    </xf>
    <xf numFmtId="178" fontId="1" fillId="0" borderId="3" xfId="0" applyNumberFormat="1" applyFont="1" applyFill="1" applyBorder="1" applyAlignment="1">
      <alignment horizontal="center" vertical="center"/>
    </xf>
    <xf numFmtId="0" fontId="2" fillId="0" borderId="3" xfId="0" applyFont="1" applyFill="1" applyBorder="1" applyAlignment="1" applyProtection="1">
      <alignment horizontal="center" vertical="center" wrapText="1"/>
    </xf>
    <xf numFmtId="178" fontId="2" fillId="0" borderId="3" xfId="0" applyNumberFormat="1" applyFont="1" applyFill="1" applyBorder="1" applyAlignment="1">
      <alignment horizontal="center" vertical="center"/>
    </xf>
    <xf numFmtId="0" fontId="7" fillId="0" borderId="3" xfId="161" applyFont="1" applyFill="1" applyBorder="1" applyAlignment="1">
      <alignment horizontal="center" vertical="center"/>
    </xf>
    <xf numFmtId="15" fontId="7" fillId="0" borderId="3" xfId="161" applyNumberFormat="1" applyFont="1" applyFill="1" applyBorder="1" applyAlignment="1">
      <alignment horizontal="center" vertical="center"/>
    </xf>
    <xf numFmtId="15" fontId="7" fillId="0" borderId="3" xfId="161" applyNumberFormat="1" applyFont="1" applyFill="1" applyBorder="1" applyAlignment="1">
      <alignment horizontal="center" vertical="center" wrapText="1"/>
    </xf>
    <xf numFmtId="15" fontId="2" fillId="0" borderId="3" xfId="0" applyNumberFormat="1" applyFont="1" applyFill="1" applyBorder="1" applyAlignment="1">
      <alignment horizontal="center" vertical="center"/>
    </xf>
    <xf numFmtId="15" fontId="2" fillId="0" borderId="3" xfId="0" applyNumberFormat="1"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 fillId="0" borderId="3" xfId="0" applyFont="1" applyFill="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 fontId="1" fillId="0" borderId="3" xfId="0" applyNumberFormat="1" applyFont="1" applyFill="1" applyBorder="1" applyAlignment="1">
      <alignment horizontal="center" vertical="center" wrapText="1"/>
    </xf>
    <xf numFmtId="15" fontId="1" fillId="0" borderId="3" xfId="0" applyNumberFormat="1" applyFont="1" applyFill="1" applyBorder="1" applyAlignment="1">
      <alignment horizontal="center" vertical="center" wrapText="1"/>
    </xf>
    <xf numFmtId="3" fontId="1" fillId="0" borderId="3" xfId="0" applyNumberFormat="1"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1" fontId="2" fillId="0" borderId="3" xfId="0" applyNumberFormat="1" applyFont="1" applyFill="1" applyBorder="1" applyAlignment="1">
      <alignment horizontal="center" vertical="center" wrapText="1"/>
    </xf>
    <xf numFmtId="3" fontId="2" fillId="0" borderId="3" xfId="0" applyNumberFormat="1" applyFont="1" applyFill="1" applyBorder="1" applyAlignment="1">
      <alignment horizontal="center" vertical="center"/>
    </xf>
    <xf numFmtId="0" fontId="2" fillId="0" borderId="3" xfId="0" applyFont="1" applyFill="1" applyBorder="1" applyAlignment="1">
      <alignment horizontal="left" vertical="center" wrapText="1"/>
    </xf>
    <xf numFmtId="1" fontId="2" fillId="0" borderId="3" xfId="0" applyNumberFormat="1" applyFont="1" applyFill="1" applyBorder="1" applyAlignment="1">
      <alignment horizontal="center" vertical="center"/>
    </xf>
    <xf numFmtId="3" fontId="7" fillId="0" borderId="3" xfId="161" applyNumberFormat="1" applyFont="1" applyFill="1" applyBorder="1" applyAlignment="1">
      <alignment horizontal="center" vertical="center" wrapText="1"/>
    </xf>
    <xf numFmtId="181" fontId="2" fillId="0" borderId="3" xfId="171" applyNumberFormat="1" applyFont="1" applyFill="1" applyBorder="1" applyAlignment="1">
      <alignment horizontal="center" vertical="center"/>
    </xf>
    <xf numFmtId="0" fontId="3" fillId="0" borderId="0" xfId="0" applyFont="1" applyAlignment="1">
      <alignment horizontal="right"/>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3" fontId="1"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3" fontId="2" fillId="0" borderId="3" xfId="0" applyNumberFormat="1" applyFont="1" applyFill="1" applyBorder="1" applyAlignment="1">
      <alignment horizontal="center" vertical="center" wrapText="1"/>
    </xf>
    <xf numFmtId="49" fontId="1" fillId="0" borderId="0" xfId="0" applyNumberFormat="1" applyFont="1" applyFill="1" applyAlignment="1">
      <alignment horizontal="center" vertical="center"/>
    </xf>
    <xf numFmtId="0" fontId="9" fillId="0" borderId="0" xfId="0" applyFont="1" applyAlignment="1">
      <alignment horizontal="right" vertical="center"/>
    </xf>
    <xf numFmtId="0" fontId="10" fillId="0" borderId="0" xfId="0" applyFont="1" applyAlignment="1">
      <alignment horizontal="right" vertical="center"/>
    </xf>
    <xf numFmtId="49" fontId="3" fillId="2" borderId="1" xfId="0" applyNumberFormat="1" applyFont="1" applyFill="1" applyBorder="1" applyAlignment="1">
      <alignment horizontal="center" vertical="center"/>
    </xf>
    <xf numFmtId="0" fontId="3" fillId="2" borderId="13" xfId="0" applyFont="1" applyFill="1" applyBorder="1" applyAlignment="1">
      <alignment horizontal="center" vertical="center"/>
    </xf>
    <xf numFmtId="0" fontId="3" fillId="2" borderId="1" xfId="0" applyFont="1" applyFill="1" applyBorder="1" applyAlignment="1">
      <alignment horizontal="center" vertical="center"/>
    </xf>
    <xf numFmtId="49" fontId="3" fillId="2" borderId="2" xfId="0" applyNumberFormat="1" applyFont="1" applyFill="1" applyBorder="1" applyAlignment="1">
      <alignment horizontal="center" vertical="center"/>
    </xf>
    <xf numFmtId="0" fontId="3" fillId="2" borderId="14" xfId="0" applyFont="1" applyFill="1" applyBorder="1" applyAlignment="1">
      <alignment horizontal="center" vertical="center"/>
    </xf>
    <xf numFmtId="0" fontId="3" fillId="2" borderId="2" xfId="0" applyFont="1" applyFill="1" applyBorder="1" applyAlignment="1">
      <alignment horizontal="center" vertical="center"/>
    </xf>
    <xf numFmtId="49" fontId="1" fillId="0" borderId="3" xfId="0" applyNumberFormat="1" applyFont="1" applyFill="1" applyBorder="1" applyAlignment="1">
      <alignment horizontal="center" vertical="center" wrapText="1"/>
    </xf>
    <xf numFmtId="0" fontId="11" fillId="0" borderId="3" xfId="166" applyFill="1" applyBorder="1" applyAlignment="1" applyProtection="1">
      <alignment vertical="center"/>
    </xf>
    <xf numFmtId="49" fontId="1" fillId="0" borderId="0" xfId="0" applyNumberFormat="1" applyFont="1" applyFill="1"/>
    <xf numFmtId="0" fontId="1" fillId="0" borderId="0" xfId="0" applyFont="1" applyFill="1" applyAlignment="1">
      <alignment vertical="center"/>
    </xf>
    <xf numFmtId="49" fontId="2" fillId="0" borderId="0" xfId="0" applyNumberFormat="1" applyFont="1" applyFill="1" applyAlignment="1">
      <alignment horizontal="center" vertical="center"/>
    </xf>
    <xf numFmtId="49" fontId="1" fillId="0" borderId="0" xfId="0" applyNumberFormat="1" applyFont="1" applyFill="1" applyAlignment="1">
      <alignment horizontal="center" vertical="center" wrapText="1"/>
    </xf>
    <xf numFmtId="49" fontId="3" fillId="0" borderId="0"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12" fillId="0" borderId="3" xfId="166" applyFont="1" applyFill="1" applyBorder="1" applyAlignment="1" applyProtection="1">
      <alignment vertical="center"/>
    </xf>
    <xf numFmtId="0" fontId="12" fillId="0" borderId="3" xfId="166" applyFont="1" applyFill="1" applyBorder="1" applyAlignment="1" applyProtection="1">
      <alignment horizontal="center" vertical="center"/>
    </xf>
    <xf numFmtId="0" fontId="12" fillId="0" borderId="3" xfId="166" applyFont="1" applyFill="1" applyBorder="1" applyAlignment="1" applyProtection="1">
      <alignment horizontal="center" vertical="center" wrapText="1"/>
    </xf>
    <xf numFmtId="49" fontId="2" fillId="0" borderId="3" xfId="0" applyNumberFormat="1" applyFont="1" applyFill="1" applyBorder="1" applyAlignment="1">
      <alignment horizontal="center" vertical="center"/>
    </xf>
    <xf numFmtId="49" fontId="2" fillId="0" borderId="3" xfId="0" applyNumberFormat="1" applyFont="1" applyFill="1" applyBorder="1"/>
    <xf numFmtId="0" fontId="1" fillId="0" borderId="3" xfId="0" applyFont="1" applyFill="1" applyBorder="1" applyAlignment="1">
      <alignment horizontal="left" vertical="center"/>
    </xf>
    <xf numFmtId="0" fontId="2" fillId="0" borderId="3" xfId="0" applyFont="1" applyFill="1" applyBorder="1" applyAlignment="1">
      <alignment horizontal="left" vertical="center"/>
    </xf>
    <xf numFmtId="0" fontId="4" fillId="0" borderId="0" xfId="0" applyFont="1" applyFill="1" applyAlignment="1">
      <alignment horizontal="center" vertical="center"/>
    </xf>
    <xf numFmtId="0" fontId="13" fillId="0" borderId="0" xfId="0" applyFont="1" applyFill="1"/>
    <xf numFmtId="0" fontId="4" fillId="0" borderId="0" xfId="0" applyFont="1" applyFill="1"/>
    <xf numFmtId="0" fontId="4" fillId="0" borderId="0" xfId="0" applyFont="1"/>
    <xf numFmtId="0" fontId="4" fillId="0" borderId="0" xfId="0" applyFont="1" applyAlignment="1">
      <alignment horizontal="right"/>
    </xf>
    <xf numFmtId="0" fontId="4" fillId="0" borderId="0" xfId="0" applyFont="1" applyFill="1" applyAlignment="1">
      <alignment horizontal="left" vertical="center"/>
    </xf>
    <xf numFmtId="0" fontId="14" fillId="0" borderId="0" xfId="0" applyFont="1" applyFill="1" applyAlignment="1">
      <alignment horizontal="center" vertical="center"/>
    </xf>
    <xf numFmtId="0" fontId="14" fillId="2" borderId="1"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0" borderId="3" xfId="0" applyFont="1" applyFill="1" applyBorder="1" applyAlignment="1">
      <alignment vertical="center"/>
    </xf>
    <xf numFmtId="178" fontId="4" fillId="0" borderId="3" xfId="0" applyNumberFormat="1"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13" xfId="0" applyFont="1" applyFill="1" applyBorder="1" applyAlignment="1">
      <alignment horizontal="center" vertical="center"/>
    </xf>
    <xf numFmtId="0" fontId="14" fillId="2" borderId="16" xfId="0" applyFont="1" applyFill="1" applyBorder="1" applyAlignment="1">
      <alignment horizontal="center" vertical="center"/>
    </xf>
    <xf numFmtId="15" fontId="4" fillId="0" borderId="3" xfId="0" applyNumberFormat="1" applyFont="1" applyFill="1" applyBorder="1" applyAlignment="1">
      <alignment horizontal="center" vertical="center"/>
    </xf>
    <xf numFmtId="15" fontId="4" fillId="3" borderId="3" xfId="0" applyNumberFormat="1" applyFont="1" applyFill="1" applyBorder="1" applyAlignment="1">
      <alignment horizontal="center" vertical="center"/>
    </xf>
    <xf numFmtId="0" fontId="4" fillId="0" borderId="0" xfId="0" applyFont="1" applyFill="1" applyAlignment="1">
      <alignment horizontal="right" vertical="center"/>
    </xf>
    <xf numFmtId="0" fontId="14" fillId="0" borderId="0" xfId="0" applyFont="1" applyFill="1" applyAlignment="1">
      <alignment horizontal="right" vertical="center"/>
    </xf>
    <xf numFmtId="0" fontId="14" fillId="2" borderId="1" xfId="0" applyFont="1" applyFill="1" applyBorder="1" applyAlignment="1">
      <alignment horizontal="right" vertical="center" wrapText="1"/>
    </xf>
    <xf numFmtId="0" fontId="4" fillId="2" borderId="6" xfId="0" applyFont="1" applyFill="1" applyBorder="1" applyAlignment="1">
      <alignment horizontal="center" vertical="center" wrapText="1"/>
    </xf>
    <xf numFmtId="0" fontId="14" fillId="2" borderId="15" xfId="0" applyFont="1" applyFill="1" applyBorder="1" applyAlignment="1">
      <alignment horizontal="right" vertical="center" wrapText="1"/>
    </xf>
    <xf numFmtId="3" fontId="4" fillId="0" borderId="4" xfId="0" applyNumberFormat="1" applyFont="1" applyFill="1" applyBorder="1" applyAlignment="1">
      <alignment horizontal="right" vertical="center"/>
    </xf>
    <xf numFmtId="3" fontId="4" fillId="0" borderId="3" xfId="0" applyNumberFormat="1" applyFont="1" applyFill="1" applyBorder="1" applyAlignment="1">
      <alignment horizontal="right" vertical="center" wrapText="1"/>
    </xf>
    <xf numFmtId="0" fontId="4" fillId="2" borderId="15" xfId="0" applyFont="1" applyFill="1" applyBorder="1" applyAlignment="1">
      <alignment horizontal="center" vertical="center" wrapText="1"/>
    </xf>
    <xf numFmtId="3" fontId="4" fillId="0" borderId="3" xfId="0" applyNumberFormat="1" applyFont="1" applyFill="1" applyBorder="1" applyAlignment="1">
      <alignment horizontal="center" vertical="center" wrapText="1"/>
    </xf>
    <xf numFmtId="0" fontId="14" fillId="2" borderId="9"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18" xfId="0" applyFont="1" applyFill="1" applyBorder="1" applyAlignment="1">
      <alignment horizontal="center" vertical="center"/>
    </xf>
    <xf numFmtId="15" fontId="4" fillId="0" borderId="3"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0" fontId="14" fillId="0" borderId="0" xfId="0" applyFont="1" applyAlignment="1">
      <alignment horizontal="right"/>
    </xf>
    <xf numFmtId="0" fontId="14" fillId="2" borderId="1"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15" xfId="0" applyFont="1" applyFill="1" applyBorder="1" applyAlignment="1">
      <alignment horizontal="center" vertical="center"/>
    </xf>
    <xf numFmtId="49" fontId="11" fillId="0" borderId="3" xfId="166" applyNumberFormat="1" applyFill="1" applyBorder="1" applyAlignment="1" applyProtection="1">
      <alignment horizontal="center" vertical="center" wrapText="1"/>
    </xf>
    <xf numFmtId="49" fontId="11" fillId="0" borderId="3" xfId="166" applyNumberFormat="1" applyFont="1" applyFill="1" applyBorder="1" applyAlignment="1" applyProtection="1">
      <alignment horizontal="center" vertical="center" wrapText="1"/>
    </xf>
    <xf numFmtId="49" fontId="1" fillId="4" borderId="3" xfId="0" applyNumberFormat="1" applyFont="1" applyFill="1" applyBorder="1" applyAlignment="1">
      <alignment horizontal="center" vertical="center" wrapText="1"/>
    </xf>
    <xf numFmtId="49" fontId="15" fillId="0" borderId="3" xfId="166" applyNumberFormat="1" applyFont="1" applyFill="1" applyBorder="1" applyAlignment="1" applyProtection="1">
      <alignment horizontal="center" vertical="center" wrapText="1"/>
    </xf>
    <xf numFmtId="0" fontId="3" fillId="2" borderId="3" xfId="0" applyFont="1" applyFill="1" applyBorder="1" applyAlignment="1">
      <alignment horizontal="center" vertical="center" wrapText="1"/>
    </xf>
    <xf numFmtId="1" fontId="1" fillId="0" borderId="3" xfId="0" applyNumberFormat="1" applyFont="1" applyFill="1" applyBorder="1" applyAlignment="1">
      <alignment vertical="center" wrapText="1"/>
    </xf>
    <xf numFmtId="0" fontId="16" fillId="0" borderId="3" xfId="107" applyFont="1" applyFill="1" applyBorder="1" applyAlignment="1">
      <alignment horizontal="center" vertical="center" wrapText="1"/>
    </xf>
    <xf numFmtId="0" fontId="5" fillId="2" borderId="5" xfId="0" applyFont="1" applyFill="1" applyBorder="1" applyAlignment="1">
      <alignment vertical="center"/>
    </xf>
    <xf numFmtId="0" fontId="17" fillId="2" borderId="20" xfId="0" applyFont="1" applyFill="1" applyBorder="1"/>
    <xf numFmtId="1" fontId="2" fillId="0" borderId="3" xfId="0" applyNumberFormat="1" applyFont="1" applyFill="1" applyBorder="1" applyAlignment="1">
      <alignment vertical="center" wrapText="1"/>
    </xf>
    <xf numFmtId="0" fontId="1" fillId="2" borderId="3" xfId="0" applyFont="1" applyFill="1" applyBorder="1" applyAlignment="1">
      <alignment horizontal="center" vertical="center" wrapText="1"/>
    </xf>
    <xf numFmtId="3" fontId="16" fillId="0" borderId="3" xfId="107" applyNumberFormat="1" applyFont="1" applyFill="1" applyBorder="1" applyAlignment="1">
      <alignment horizontal="center" vertical="center" wrapText="1"/>
    </xf>
    <xf numFmtId="3" fontId="16" fillId="0" borderId="21" xfId="107" applyNumberFormat="1" applyFont="1" applyFill="1" applyBorder="1" applyAlignment="1">
      <alignment horizontal="center" vertical="center" wrapText="1"/>
    </xf>
    <xf numFmtId="3" fontId="16" fillId="0" borderId="22" xfId="107" applyNumberFormat="1" applyFont="1" applyFill="1" applyBorder="1" applyAlignment="1">
      <alignment horizontal="center" vertical="center" wrapText="1"/>
    </xf>
    <xf numFmtId="3" fontId="7" fillId="0" borderId="3" xfId="107" applyNumberFormat="1" applyFont="1" applyFill="1" applyBorder="1" applyAlignment="1">
      <alignment horizontal="center" vertical="center" wrapText="1"/>
    </xf>
    <xf numFmtId="0" fontId="3" fillId="2" borderId="3" xfId="0" applyFont="1" applyFill="1" applyBorder="1" applyAlignment="1">
      <alignment horizontal="center" vertical="center"/>
    </xf>
    <xf numFmtId="49" fontId="16" fillId="0" borderId="3" xfId="107" applyNumberFormat="1" applyFont="1" applyFill="1" applyBorder="1" applyAlignment="1">
      <alignment horizontal="center" vertical="center" wrapText="1"/>
    </xf>
    <xf numFmtId="49" fontId="7" fillId="0" borderId="3" xfId="107" applyNumberFormat="1" applyFont="1" applyFill="1" applyBorder="1" applyAlignment="1">
      <alignment horizontal="center" vertical="center" wrapText="1"/>
    </xf>
    <xf numFmtId="0" fontId="9" fillId="0" borderId="0" xfId="0" applyFont="1" applyAlignment="1">
      <alignment horizontal="right"/>
    </xf>
    <xf numFmtId="0" fontId="10" fillId="0" borderId="0" xfId="0" applyFont="1" applyAlignment="1">
      <alignment horizontal="right"/>
    </xf>
    <xf numFmtId="0" fontId="3" fillId="2" borderId="23" xfId="0" applyFont="1" applyFill="1" applyBorder="1" applyAlignment="1">
      <alignment horizontal="center" vertical="center"/>
    </xf>
    <xf numFmtId="0" fontId="3" fillId="2" borderId="4" xfId="0" applyFont="1" applyFill="1" applyBorder="1" applyAlignment="1">
      <alignment horizontal="center" vertical="center"/>
    </xf>
    <xf numFmtId="0" fontId="11" fillId="0" borderId="3" xfId="166" applyFill="1" applyBorder="1" applyAlignment="1" applyProtection="1">
      <alignment horizontal="center" vertical="center" wrapText="1"/>
    </xf>
    <xf numFmtId="15" fontId="1" fillId="0" borderId="0" xfId="0" applyNumberFormat="1" applyFont="1" applyFill="1"/>
    <xf numFmtId="15" fontId="1" fillId="3" borderId="3" xfId="0" applyNumberFormat="1" applyFont="1" applyFill="1" applyBorder="1" applyAlignment="1">
      <alignment horizontal="center" vertical="center" wrapText="1"/>
    </xf>
    <xf numFmtId="3" fontId="16" fillId="3" borderId="3" xfId="107" applyNumberFormat="1" applyFont="1" applyFill="1" applyBorder="1" applyAlignment="1">
      <alignment horizontal="center" vertical="center" wrapText="1"/>
    </xf>
    <xf numFmtId="181" fontId="1" fillId="0" borderId="0" xfId="171" applyNumberFormat="1" applyFont="1" applyFill="1"/>
    <xf numFmtId="0" fontId="11" fillId="0" borderId="3" xfId="166" applyFont="1" applyFill="1" applyBorder="1" applyAlignment="1" applyProtection="1">
      <alignment horizontal="center" vertical="center" wrapText="1"/>
    </xf>
    <xf numFmtId="0" fontId="8"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vertical="center" wrapText="1"/>
    </xf>
    <xf numFmtId="49" fontId="4" fillId="0" borderId="0" xfId="0" applyNumberFormat="1" applyFont="1" applyFill="1" applyAlignment="1">
      <alignment vertical="center"/>
    </xf>
    <xf numFmtId="49" fontId="4" fillId="0" borderId="0" xfId="0" applyNumberFormat="1" applyFont="1" applyFill="1" applyAlignment="1">
      <alignment horizontal="left" vertical="center"/>
    </xf>
    <xf numFmtId="0" fontId="4" fillId="0" borderId="4"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3" xfId="0" applyFont="1" applyFill="1" applyBorder="1" applyAlignment="1">
      <alignment vertical="center"/>
    </xf>
    <xf numFmtId="0" fontId="4" fillId="0" borderId="3" xfId="56" applyFont="1" applyFill="1" applyBorder="1" applyAlignment="1">
      <alignment vertical="center"/>
    </xf>
    <xf numFmtId="0" fontId="17" fillId="0" borderId="20" xfId="0" applyFont="1" applyFill="1" applyBorder="1"/>
    <xf numFmtId="0" fontId="8" fillId="0" borderId="3" xfId="0" applyFont="1" applyFill="1" applyBorder="1" applyAlignment="1">
      <alignment horizontal="left" vertical="center"/>
    </xf>
    <xf numFmtId="0" fontId="8" fillId="0" borderId="4" xfId="0" applyFont="1" applyFill="1" applyBorder="1" applyAlignment="1">
      <alignment horizontal="left" vertical="center"/>
    </xf>
    <xf numFmtId="0" fontId="8" fillId="0" borderId="3" xfId="56" applyFont="1" applyFill="1" applyBorder="1" applyAlignment="1">
      <alignment vertical="center"/>
    </xf>
    <xf numFmtId="179" fontId="4" fillId="0" borderId="3" xfId="0" applyNumberFormat="1" applyFont="1" applyFill="1" applyBorder="1" applyAlignment="1">
      <alignment horizontal="center" vertical="center" wrapText="1"/>
    </xf>
    <xf numFmtId="179" fontId="4" fillId="0" borderId="3" xfId="0" applyNumberFormat="1" applyFont="1" applyFill="1" applyBorder="1" applyAlignment="1">
      <alignment horizontal="center" vertical="center"/>
    </xf>
    <xf numFmtId="179" fontId="8" fillId="0" borderId="3" xfId="0" applyNumberFormat="1" applyFont="1" applyFill="1" applyBorder="1" applyAlignment="1">
      <alignment horizontal="center" vertical="center" wrapText="1"/>
    </xf>
    <xf numFmtId="179" fontId="8" fillId="0" borderId="3" xfId="0" applyNumberFormat="1" applyFont="1" applyFill="1" applyBorder="1" applyAlignment="1">
      <alignment horizontal="center" vertical="center"/>
    </xf>
    <xf numFmtId="178" fontId="8" fillId="0" borderId="3" xfId="0" applyNumberFormat="1" applyFont="1" applyFill="1" applyBorder="1" applyAlignment="1">
      <alignment horizontal="center" vertical="center" wrapText="1"/>
    </xf>
    <xf numFmtId="0" fontId="14" fillId="2" borderId="7" xfId="0" applyFont="1" applyFill="1" applyBorder="1" applyAlignment="1">
      <alignment horizontal="center" vertical="center" wrapText="1"/>
    </xf>
    <xf numFmtId="15" fontId="8" fillId="0" borderId="3" xfId="0" applyNumberFormat="1" applyFont="1" applyFill="1" applyBorder="1" applyAlignment="1">
      <alignment horizontal="center" vertical="center"/>
    </xf>
    <xf numFmtId="15" fontId="4" fillId="5" borderId="3" xfId="0" applyNumberFormat="1" applyFont="1" applyFill="1" applyBorder="1" applyAlignment="1">
      <alignment horizontal="center" vertical="center"/>
    </xf>
    <xf numFmtId="0" fontId="4" fillId="3" borderId="3" xfId="0" applyFont="1" applyFill="1" applyBorder="1" applyAlignment="1">
      <alignment horizontal="center" vertical="center"/>
    </xf>
    <xf numFmtId="0" fontId="8" fillId="0" borderId="3" xfId="19" applyFont="1" applyFill="1" applyBorder="1" applyAlignment="1">
      <alignment horizontal="center" vertical="center" wrapText="1"/>
    </xf>
    <xf numFmtId="3" fontId="8" fillId="0" borderId="3"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3" fontId="8" fillId="0" borderId="4" xfId="0" applyNumberFormat="1" applyFont="1" applyFill="1" applyBorder="1" applyAlignment="1">
      <alignment horizontal="center" vertical="center" wrapText="1"/>
    </xf>
    <xf numFmtId="15" fontId="8" fillId="0" borderId="4" xfId="0" applyNumberFormat="1" applyFont="1" applyFill="1" applyBorder="1" applyAlignment="1">
      <alignment horizontal="center" vertical="center"/>
    </xf>
    <xf numFmtId="178" fontId="8" fillId="6" borderId="3" xfId="0" applyNumberFormat="1" applyFont="1" applyFill="1" applyBorder="1" applyAlignment="1">
      <alignment horizontal="center" vertical="center" wrapText="1"/>
    </xf>
    <xf numFmtId="0" fontId="8" fillId="6" borderId="3" xfId="0" applyFont="1" applyFill="1" applyBorder="1" applyAlignment="1">
      <alignment horizontal="center" vertical="center"/>
    </xf>
    <xf numFmtId="0" fontId="18" fillId="0" borderId="0" xfId="166" applyFont="1" applyFill="1" applyAlignment="1" applyProtection="1">
      <alignment horizontal="left" vertical="center"/>
    </xf>
    <xf numFmtId="0" fontId="14" fillId="2" borderId="8" xfId="0" applyFont="1" applyFill="1" applyBorder="1" applyAlignment="1">
      <alignment horizontal="center" vertical="center" wrapText="1"/>
    </xf>
    <xf numFmtId="15" fontId="8" fillId="0" borderId="3" xfId="0" applyNumberFormat="1" applyFont="1" applyFill="1" applyBorder="1" applyAlignment="1">
      <alignment horizontal="center" vertical="center" wrapText="1"/>
    </xf>
    <xf numFmtId="15" fontId="8" fillId="4" borderId="3" xfId="0" applyNumberFormat="1" applyFont="1" applyFill="1" applyBorder="1" applyAlignment="1">
      <alignment horizontal="center" vertical="center"/>
    </xf>
    <xf numFmtId="0" fontId="14" fillId="7" borderId="1" xfId="0" applyFont="1" applyFill="1" applyBorder="1" applyAlignment="1">
      <alignment horizontal="center" vertical="center" wrapText="1"/>
    </xf>
    <xf numFmtId="0" fontId="14" fillId="7" borderId="15" xfId="0" applyFont="1" applyFill="1" applyBorder="1" applyAlignment="1">
      <alignment horizontal="center" vertical="center" wrapText="1"/>
    </xf>
    <xf numFmtId="3" fontId="19" fillId="0" borderId="3" xfId="19" applyNumberFormat="1" applyFont="1" applyFill="1" applyBorder="1" applyAlignment="1">
      <alignment horizontal="center" vertical="center" wrapText="1"/>
    </xf>
    <xf numFmtId="3" fontId="8" fillId="0" borderId="3" xfId="19" applyNumberFormat="1" applyFont="1" applyFill="1" applyBorder="1" applyAlignment="1">
      <alignment horizontal="center" vertical="center" wrapText="1"/>
    </xf>
    <xf numFmtId="3" fontId="19" fillId="3" borderId="3" xfId="19" applyNumberFormat="1" applyFont="1" applyFill="1" applyBorder="1" applyAlignment="1">
      <alignment horizontal="center" vertical="center" wrapText="1"/>
    </xf>
    <xf numFmtId="3" fontId="4" fillId="0" borderId="3" xfId="19" applyNumberFormat="1" applyFont="1" applyFill="1" applyBorder="1" applyAlignment="1">
      <alignment horizontal="center" vertical="center" wrapText="1"/>
    </xf>
    <xf numFmtId="3" fontId="8" fillId="6" borderId="3" xfId="19" applyNumberFormat="1" applyFont="1" applyFill="1" applyBorder="1" applyAlignment="1">
      <alignment horizontal="center" vertical="center" wrapText="1"/>
    </xf>
    <xf numFmtId="3" fontId="4" fillId="0" borderId="3" xfId="0" applyNumberFormat="1" applyFont="1" applyFill="1" applyBorder="1" applyAlignment="1">
      <alignment vertical="center"/>
    </xf>
    <xf numFmtId="3" fontId="4" fillId="0" borderId="4" xfId="0" applyNumberFormat="1" applyFont="1" applyFill="1" applyBorder="1" applyAlignment="1">
      <alignment vertical="center"/>
    </xf>
    <xf numFmtId="3" fontId="8" fillId="0" borderId="3" xfId="0" applyNumberFormat="1" applyFont="1" applyFill="1" applyBorder="1" applyAlignment="1">
      <alignment vertical="center"/>
    </xf>
    <xf numFmtId="3" fontId="8" fillId="0" borderId="4" xfId="0" applyNumberFormat="1" applyFont="1" applyFill="1" applyBorder="1" applyAlignment="1">
      <alignment vertical="center"/>
    </xf>
    <xf numFmtId="41" fontId="4" fillId="3" borderId="3" xfId="0" applyNumberFormat="1" applyFont="1" applyFill="1" applyBorder="1" applyAlignment="1">
      <alignment vertical="center"/>
    </xf>
    <xf numFmtId="3" fontId="8" fillId="0" borderId="3" xfId="0" applyNumberFormat="1" applyFont="1" applyFill="1" applyBorder="1" applyAlignment="1">
      <alignment horizontal="left" vertical="center"/>
    </xf>
    <xf numFmtId="3" fontId="8" fillId="0" borderId="4" xfId="0" applyNumberFormat="1" applyFont="1" applyFill="1" applyBorder="1" applyAlignment="1">
      <alignment horizontal="left" vertical="center"/>
    </xf>
    <xf numFmtId="3" fontId="8" fillId="6" borderId="3" xfId="0" applyNumberFormat="1" applyFont="1" applyFill="1" applyBorder="1" applyAlignment="1">
      <alignment vertical="center"/>
    </xf>
    <xf numFmtId="0" fontId="4" fillId="0" borderId="0" xfId="0" applyFont="1" applyFill="1" applyAlignment="1">
      <alignment horizontal="center" vertical="center" wrapText="1"/>
    </xf>
    <xf numFmtId="0" fontId="14" fillId="2" borderId="9" xfId="0" applyFont="1" applyFill="1" applyBorder="1" applyAlignment="1">
      <alignment horizontal="center" vertical="center" wrapText="1"/>
    </xf>
    <xf numFmtId="0" fontId="14" fillId="2" borderId="17" xfId="0" applyFont="1" applyFill="1" applyBorder="1" applyAlignment="1">
      <alignment horizontal="center" vertical="center" wrapText="1"/>
    </xf>
    <xf numFmtId="3" fontId="4" fillId="0" borderId="4" xfId="0" applyNumberFormat="1" applyFont="1" applyFill="1" applyBorder="1" applyAlignment="1">
      <alignment horizontal="center" vertical="center" wrapText="1"/>
    </xf>
    <xf numFmtId="0" fontId="4" fillId="0" borderId="3" xfId="0" applyFont="1" applyFill="1" applyBorder="1" applyAlignment="1">
      <alignment vertical="center" wrapText="1"/>
    </xf>
    <xf numFmtId="0" fontId="8" fillId="0" borderId="3" xfId="0" applyFont="1" applyFill="1" applyBorder="1" applyAlignment="1">
      <alignment vertical="center" wrapText="1"/>
    </xf>
    <xf numFmtId="0" fontId="4" fillId="3" borderId="3" xfId="0" applyFont="1" applyFill="1" applyBorder="1" applyAlignment="1">
      <alignment vertical="center"/>
    </xf>
    <xf numFmtId="0" fontId="8" fillId="0" borderId="3" xfId="19" applyFont="1" applyFill="1" applyBorder="1" applyAlignment="1">
      <alignment horizontal="left" vertical="center" wrapText="1"/>
    </xf>
    <xf numFmtId="0" fontId="8" fillId="0" borderId="3" xfId="0" applyFont="1" applyFill="1" applyBorder="1" applyAlignment="1">
      <alignment horizontal="left" vertical="center" wrapText="1"/>
    </xf>
    <xf numFmtId="49" fontId="4" fillId="0" borderId="0" xfId="0" applyNumberFormat="1" applyFont="1" applyFill="1" applyAlignment="1">
      <alignment horizontal="center" vertical="center"/>
    </xf>
    <xf numFmtId="49" fontId="14" fillId="0" borderId="0" xfId="0" applyNumberFormat="1" applyFont="1" applyAlignment="1">
      <alignment horizontal="right" vertical="center"/>
    </xf>
    <xf numFmtId="0" fontId="14" fillId="2" borderId="10" xfId="0" applyFont="1" applyFill="1" applyBorder="1" applyAlignment="1">
      <alignment horizontal="center" vertical="center" wrapText="1"/>
    </xf>
    <xf numFmtId="49" fontId="14" fillId="2" borderId="13" xfId="0" applyNumberFormat="1" applyFont="1" applyFill="1" applyBorder="1" applyAlignment="1">
      <alignment horizontal="center" vertical="center"/>
    </xf>
    <xf numFmtId="49" fontId="14" fillId="2" borderId="24" xfId="0" applyNumberFormat="1" applyFont="1" applyFill="1" applyBorder="1" applyAlignment="1">
      <alignment horizontal="center" vertical="center"/>
    </xf>
    <xf numFmtId="0" fontId="14" fillId="2" borderId="18" xfId="0" applyFont="1" applyFill="1" applyBorder="1" applyAlignment="1">
      <alignment horizontal="center" vertical="center" wrapText="1"/>
    </xf>
    <xf numFmtId="49" fontId="14" fillId="2" borderId="19" xfId="0" applyNumberFormat="1" applyFont="1" applyFill="1" applyBorder="1" applyAlignment="1">
      <alignment horizontal="center" vertical="center"/>
    </xf>
    <xf numFmtId="49" fontId="14" fillId="2" borderId="25" xfId="0" applyNumberFormat="1" applyFont="1" applyFill="1" applyBorder="1" applyAlignment="1">
      <alignment horizontal="center" vertical="center"/>
    </xf>
    <xf numFmtId="49" fontId="4" fillId="0" borderId="3" xfId="0" applyNumberFormat="1" applyFont="1" applyFill="1" applyBorder="1" applyAlignment="1">
      <alignment vertical="center"/>
    </xf>
    <xf numFmtId="49" fontId="8" fillId="0" borderId="3" xfId="0" applyNumberFormat="1" applyFont="1" applyFill="1" applyBorder="1" applyAlignment="1">
      <alignment vertical="center"/>
    </xf>
    <xf numFmtId="0" fontId="4" fillId="0" borderId="21" xfId="0" applyFont="1" applyFill="1" applyBorder="1" applyAlignment="1">
      <alignment horizontal="center" vertical="center" wrapText="1"/>
    </xf>
    <xf numFmtId="49" fontId="8" fillId="0" borderId="3" xfId="0" applyNumberFormat="1" applyFont="1" applyFill="1" applyBorder="1" applyAlignment="1">
      <alignment horizontal="center" vertical="center" wrapText="1"/>
    </xf>
    <xf numFmtId="49" fontId="8" fillId="0" borderId="3" xfId="0" applyNumberFormat="1" applyFont="1" applyFill="1" applyBorder="1" applyAlignment="1">
      <alignment horizontal="center" vertical="center"/>
    </xf>
    <xf numFmtId="49" fontId="14" fillId="2" borderId="1"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4" fillId="0" borderId="3" xfId="0" applyNumberFormat="1" applyFont="1" applyFill="1" applyBorder="1" applyAlignment="1">
      <alignment horizontal="left" vertical="center"/>
    </xf>
    <xf numFmtId="49" fontId="12" fillId="0" borderId="3" xfId="166" applyNumberFormat="1" applyFont="1" applyFill="1" applyBorder="1" applyAlignment="1" applyProtection="1">
      <alignment horizontal="center" vertical="center" wrapText="1"/>
    </xf>
    <xf numFmtId="49" fontId="8" fillId="0" borderId="3" xfId="0" applyNumberFormat="1" applyFont="1" applyFill="1" applyBorder="1" applyAlignment="1">
      <alignment horizontal="left" vertical="center"/>
    </xf>
    <xf numFmtId="49" fontId="8" fillId="0" borderId="3" xfId="0" applyNumberFormat="1" applyFont="1" applyFill="1" applyBorder="1" applyAlignment="1">
      <alignment horizontal="left" vertical="center" wrapText="1"/>
    </xf>
    <xf numFmtId="49" fontId="20" fillId="0" borderId="3" xfId="166" applyNumberFormat="1" applyFont="1" applyFill="1" applyBorder="1" applyAlignment="1" applyProtection="1">
      <alignment horizontal="center" vertical="center" wrapText="1"/>
    </xf>
    <xf numFmtId="0" fontId="8" fillId="4" borderId="3" xfId="0" applyFont="1" applyFill="1" applyBorder="1" applyAlignment="1">
      <alignment horizontal="center" vertical="center"/>
    </xf>
    <xf numFmtId="3" fontId="8" fillId="4" borderId="3" xfId="19" applyNumberFormat="1" applyFont="1" applyFill="1" applyBorder="1" applyAlignment="1">
      <alignment horizontal="center" vertical="center" wrapText="1"/>
    </xf>
    <xf numFmtId="0" fontId="8" fillId="0" borderId="2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1" fillId="0" borderId="3" xfId="0" applyFont="1" applyFill="1" applyBorder="1" applyAlignment="1">
      <alignment vertical="center" wrapText="1"/>
    </xf>
    <xf numFmtId="0" fontId="2" fillId="0" borderId="3" xfId="0" applyFont="1" applyFill="1" applyBorder="1" applyAlignment="1">
      <alignment vertical="center" wrapText="1"/>
    </xf>
    <xf numFmtId="15" fontId="21" fillId="0" borderId="3" xfId="0" applyNumberFormat="1" applyFont="1" applyFill="1" applyBorder="1" applyAlignment="1">
      <alignment horizontal="center" vertical="center" wrapText="1"/>
    </xf>
    <xf numFmtId="0" fontId="3" fillId="2" borderId="26" xfId="0" applyFont="1" applyFill="1" applyBorder="1" applyAlignment="1">
      <alignment horizontal="center" vertical="center" wrapText="1"/>
    </xf>
    <xf numFmtId="0" fontId="11" fillId="0" borderId="0" xfId="166" applyFill="1" applyAlignment="1" applyProtection="1">
      <alignment horizontal="left" vertical="center"/>
    </xf>
    <xf numFmtId="0" fontId="3" fillId="2" borderId="1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5" xfId="0" applyFont="1" applyFill="1" applyBorder="1" applyAlignment="1">
      <alignment horizontal="center" vertical="center" wrapText="1"/>
    </xf>
    <xf numFmtId="181" fontId="1" fillId="0" borderId="3" xfId="171" applyNumberFormat="1" applyFont="1" applyFill="1" applyBorder="1" applyAlignment="1">
      <alignment horizontal="center" vertical="center" wrapText="1"/>
    </xf>
    <xf numFmtId="181" fontId="2" fillId="0" borderId="3" xfId="171" applyNumberFormat="1" applyFont="1" applyFill="1" applyBorder="1" applyAlignment="1">
      <alignment horizontal="center" vertical="center"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49" fontId="1" fillId="0" borderId="3" xfId="0" applyNumberFormat="1"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49" fontId="1"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wrapText="1"/>
    </xf>
    <xf numFmtId="0" fontId="3" fillId="2" borderId="15" xfId="0" applyFont="1" applyFill="1" applyBorder="1" applyAlignment="1">
      <alignment horizontal="center" vertical="center"/>
    </xf>
    <xf numFmtId="49" fontId="15" fillId="0" borderId="3" xfId="166" applyNumberFormat="1" applyFont="1" applyFill="1" applyBorder="1" applyAlignment="1" applyProtection="1">
      <alignment horizontal="center" vertical="center"/>
    </xf>
    <xf numFmtId="49" fontId="12" fillId="0" borderId="3" xfId="166" applyNumberFormat="1" applyFont="1" applyFill="1" applyBorder="1" applyAlignment="1" applyProtection="1">
      <alignment horizontal="center" vertical="center"/>
    </xf>
    <xf numFmtId="0" fontId="12" fillId="0" borderId="3" xfId="166" applyFont="1" applyFill="1" applyBorder="1" applyAlignment="1" applyProtection="1">
      <alignment horizontal="left" vertical="center" wrapText="1"/>
    </xf>
    <xf numFmtId="0" fontId="22" fillId="0" borderId="0" xfId="69" applyFill="1"/>
    <xf numFmtId="0" fontId="23" fillId="0" borderId="0" xfId="69" applyFont="1" applyFill="1"/>
    <xf numFmtId="0" fontId="24" fillId="0" borderId="0" xfId="69" applyFont="1" applyFill="1"/>
    <xf numFmtId="0" fontId="22" fillId="0" borderId="0" xfId="69" applyFont="1" applyFill="1"/>
    <xf numFmtId="0" fontId="22" fillId="0" borderId="0" xfId="69"/>
    <xf numFmtId="0" fontId="24" fillId="0" borderId="0" xfId="69" applyFont="1"/>
    <xf numFmtId="177" fontId="24" fillId="0" borderId="0" xfId="69" applyNumberFormat="1" applyFont="1"/>
    <xf numFmtId="0" fontId="22" fillId="0" borderId="0" xfId="69" applyAlignment="1">
      <alignment horizontal="right"/>
    </xf>
    <xf numFmtId="49" fontId="22" fillId="0" borderId="0" xfId="69" applyNumberFormat="1"/>
    <xf numFmtId="0" fontId="22" fillId="0" borderId="0" xfId="69" applyAlignment="1"/>
    <xf numFmtId="181" fontId="22" fillId="0" borderId="0" xfId="171" applyNumberFormat="1" applyFont="1" applyFill="1"/>
    <xf numFmtId="181" fontId="22" fillId="0" borderId="0" xfId="171" applyNumberFormat="1" applyFont="1"/>
    <xf numFmtId="0" fontId="14" fillId="2" borderId="1" xfId="69" applyFont="1" applyFill="1" applyBorder="1" applyAlignment="1">
      <alignment horizontal="center" vertical="center" wrapText="1"/>
    </xf>
    <xf numFmtId="0" fontId="14" fillId="2" borderId="15" xfId="69" applyFont="1" applyFill="1" applyBorder="1" applyAlignment="1">
      <alignment horizontal="center" vertical="center" wrapText="1"/>
    </xf>
    <xf numFmtId="0" fontId="4" fillId="0" borderId="3" xfId="69" applyFont="1" applyFill="1" applyBorder="1" applyAlignment="1">
      <alignment horizontal="center" vertical="center"/>
    </xf>
    <xf numFmtId="0" fontId="4" fillId="0" borderId="4" xfId="69" applyFont="1" applyFill="1" applyBorder="1" applyAlignment="1">
      <alignment horizontal="left" vertical="center"/>
    </xf>
    <xf numFmtId="179" fontId="4" fillId="0" borderId="3" xfId="69" applyNumberFormat="1" applyFont="1" applyFill="1" applyBorder="1" applyAlignment="1">
      <alignment horizontal="center" vertical="center" wrapText="1"/>
    </xf>
    <xf numFmtId="0" fontId="8" fillId="0" borderId="3" xfId="69" applyFont="1" applyFill="1" applyBorder="1" applyAlignment="1">
      <alignment horizontal="center" vertical="center"/>
    </xf>
    <xf numFmtId="0" fontId="8" fillId="0" borderId="4" xfId="69" applyFont="1" applyFill="1" applyBorder="1" applyAlignment="1">
      <alignment horizontal="left" vertical="center"/>
    </xf>
    <xf numFmtId="179" fontId="8" fillId="0" borderId="3" xfId="69" applyNumberFormat="1" applyFont="1" applyFill="1" applyBorder="1" applyAlignment="1">
      <alignment horizontal="center" vertical="center" wrapText="1"/>
    </xf>
    <xf numFmtId="0" fontId="25" fillId="0" borderId="4" xfId="56" applyFont="1" applyFill="1" applyBorder="1" applyAlignment="1" applyProtection="1">
      <alignment horizontal="center" vertical="center" wrapText="1"/>
      <protection locked="0"/>
    </xf>
    <xf numFmtId="0" fontId="25" fillId="0" borderId="4" xfId="69" applyFont="1" applyFill="1" applyBorder="1" applyAlignment="1">
      <alignment horizontal="left" vertical="center"/>
    </xf>
    <xf numFmtId="179" fontId="25" fillId="0" borderId="3" xfId="69" applyNumberFormat="1" applyFont="1" applyFill="1" applyBorder="1" applyAlignment="1">
      <alignment horizontal="center" vertical="center" wrapText="1"/>
    </xf>
    <xf numFmtId="0" fontId="14" fillId="2" borderId="1" xfId="56" applyFont="1" applyFill="1" applyBorder="1" applyAlignment="1">
      <alignment horizontal="center" vertical="center" wrapText="1"/>
    </xf>
    <xf numFmtId="0" fontId="14" fillId="2" borderId="15" xfId="56" applyFont="1" applyFill="1" applyBorder="1" applyAlignment="1">
      <alignment horizontal="center" vertical="center" wrapText="1"/>
    </xf>
    <xf numFmtId="0" fontId="4" fillId="0" borderId="3" xfId="56" applyNumberFormat="1" applyFont="1" applyFill="1" applyBorder="1" applyAlignment="1">
      <alignment horizontal="center" vertical="center" wrapText="1"/>
    </xf>
    <xf numFmtId="179" fontId="4" fillId="0" borderId="3" xfId="56" applyNumberFormat="1" applyFont="1" applyFill="1" applyBorder="1" applyAlignment="1">
      <alignment horizontal="center" vertical="center" wrapText="1"/>
    </xf>
    <xf numFmtId="179" fontId="4" fillId="0" borderId="3" xfId="69" applyNumberFormat="1" applyFont="1" applyFill="1" applyBorder="1" applyAlignment="1">
      <alignment horizontal="center" vertical="center"/>
    </xf>
    <xf numFmtId="178" fontId="4" fillId="0" borderId="3" xfId="69" applyNumberFormat="1" applyFont="1" applyFill="1" applyBorder="1" applyAlignment="1">
      <alignment horizontal="center" vertical="center" wrapText="1"/>
    </xf>
    <xf numFmtId="178" fontId="4" fillId="4" borderId="3" xfId="69" applyNumberFormat="1" applyFont="1" applyFill="1" applyBorder="1" applyAlignment="1">
      <alignment horizontal="center" vertical="center" wrapText="1"/>
    </xf>
    <xf numFmtId="0" fontId="8" fillId="0" borderId="3" xfId="56" applyNumberFormat="1" applyFont="1" applyFill="1" applyBorder="1" applyAlignment="1">
      <alignment horizontal="center" vertical="center" wrapText="1"/>
    </xf>
    <xf numFmtId="179" fontId="8" fillId="0" borderId="3" xfId="56" applyNumberFormat="1" applyFont="1" applyFill="1" applyBorder="1" applyAlignment="1">
      <alignment horizontal="center" vertical="center" wrapText="1"/>
    </xf>
    <xf numFmtId="179" fontId="8" fillId="0" borderId="3" xfId="69" applyNumberFormat="1" applyFont="1" applyFill="1" applyBorder="1" applyAlignment="1">
      <alignment horizontal="center" vertical="center"/>
    </xf>
    <xf numFmtId="178" fontId="8" fillId="0" borderId="3" xfId="69" applyNumberFormat="1" applyFont="1" applyFill="1" applyBorder="1" applyAlignment="1">
      <alignment horizontal="center" vertical="center" wrapText="1"/>
    </xf>
    <xf numFmtId="0" fontId="25" fillId="0" borderId="3" xfId="56" applyNumberFormat="1" applyFont="1" applyFill="1" applyBorder="1" applyAlignment="1">
      <alignment horizontal="center" vertical="center" wrapText="1"/>
    </xf>
    <xf numFmtId="179" fontId="25" fillId="0" borderId="3" xfId="56" applyNumberFormat="1" applyFont="1" applyFill="1" applyBorder="1" applyAlignment="1">
      <alignment horizontal="center" vertical="center" wrapText="1"/>
    </xf>
    <xf numFmtId="179" fontId="25" fillId="0" borderId="3" xfId="69" applyNumberFormat="1" applyFont="1" applyFill="1" applyBorder="1" applyAlignment="1">
      <alignment horizontal="center" vertical="center"/>
    </xf>
    <xf numFmtId="178" fontId="25" fillId="0" borderId="3" xfId="69" applyNumberFormat="1" applyFont="1" applyFill="1" applyBorder="1" applyAlignment="1">
      <alignment horizontal="center" vertical="center" wrapText="1"/>
    </xf>
    <xf numFmtId="178" fontId="8" fillId="4" borderId="3" xfId="69" applyNumberFormat="1" applyFont="1" applyFill="1" applyBorder="1" applyAlignment="1">
      <alignment horizontal="center" vertical="center" wrapText="1"/>
    </xf>
    <xf numFmtId="177" fontId="14" fillId="2" borderId="1" xfId="69" applyNumberFormat="1" applyFont="1" applyFill="1" applyBorder="1" applyAlignment="1">
      <alignment horizontal="center" vertical="center" wrapText="1"/>
    </xf>
    <xf numFmtId="177" fontId="14" fillId="2" borderId="15" xfId="69" applyNumberFormat="1" applyFont="1" applyFill="1" applyBorder="1" applyAlignment="1">
      <alignment horizontal="center" vertical="center" wrapText="1"/>
    </xf>
    <xf numFmtId="0" fontId="4" fillId="0" borderId="3" xfId="69" applyFont="1" applyFill="1" applyBorder="1" applyAlignment="1">
      <alignment horizontal="center" vertical="center" wrapText="1"/>
    </xf>
    <xf numFmtId="0" fontId="26" fillId="0" borderId="3" xfId="166" applyFont="1" applyFill="1" applyBorder="1" applyAlignment="1" applyProtection="1">
      <alignment horizontal="center" vertical="center"/>
    </xf>
    <xf numFmtId="177" fontId="4" fillId="0" borderId="4" xfId="69" applyNumberFormat="1" applyFont="1" applyFill="1" applyBorder="1" applyAlignment="1">
      <alignment horizontal="center" vertical="center" wrapText="1"/>
    </xf>
    <xf numFmtId="3" fontId="15" fillId="0" borderId="3" xfId="166" applyNumberFormat="1" applyFont="1" applyFill="1" applyBorder="1" applyAlignment="1" applyProtection="1">
      <alignment horizontal="center" vertical="center" wrapText="1"/>
    </xf>
    <xf numFmtId="3" fontId="4" fillId="0" borderId="3" xfId="69" applyNumberFormat="1" applyFont="1" applyFill="1" applyBorder="1" applyAlignment="1">
      <alignment horizontal="center" vertical="center" wrapText="1"/>
    </xf>
    <xf numFmtId="0" fontId="8" fillId="0" borderId="3" xfId="69" applyFont="1" applyFill="1" applyBorder="1" applyAlignment="1">
      <alignment horizontal="center" vertical="center" wrapText="1"/>
    </xf>
    <xf numFmtId="0" fontId="25" fillId="0" borderId="3" xfId="69" applyFont="1" applyFill="1" applyBorder="1" applyAlignment="1">
      <alignment horizontal="center" vertical="center" wrapText="1"/>
    </xf>
    <xf numFmtId="0" fontId="15" fillId="0" borderId="3" xfId="166" applyFont="1" applyFill="1" applyBorder="1" applyAlignment="1" applyProtection="1">
      <alignment horizontal="center" vertical="center" wrapText="1"/>
    </xf>
    <xf numFmtId="0" fontId="14" fillId="2" borderId="7" xfId="69" applyFont="1" applyFill="1" applyBorder="1" applyAlignment="1">
      <alignment horizontal="center" vertical="center" wrapText="1"/>
    </xf>
    <xf numFmtId="0" fontId="14" fillId="2" borderId="8" xfId="69" applyFont="1" applyFill="1" applyBorder="1" applyAlignment="1">
      <alignment horizontal="center" vertical="center" wrapText="1"/>
    </xf>
    <xf numFmtId="0" fontId="14" fillId="2" borderId="26" xfId="69" applyFont="1" applyFill="1" applyBorder="1" applyAlignment="1">
      <alignment horizontal="center" vertical="center" wrapText="1"/>
    </xf>
    <xf numFmtId="0" fontId="14" fillId="2" borderId="6" xfId="69" applyFont="1" applyFill="1" applyBorder="1" applyAlignment="1">
      <alignment horizontal="center" vertical="center" wrapText="1"/>
    </xf>
    <xf numFmtId="15" fontId="4" fillId="0" borderId="4" xfId="69" applyNumberFormat="1" applyFont="1" applyFill="1" applyBorder="1" applyAlignment="1">
      <alignment horizontal="center" vertical="center"/>
    </xf>
    <xf numFmtId="15" fontId="4" fillId="3" borderId="4" xfId="69" applyNumberFormat="1" applyFont="1" applyFill="1" applyBorder="1" applyAlignment="1">
      <alignment horizontal="center" vertical="center"/>
    </xf>
    <xf numFmtId="15" fontId="8" fillId="0" borderId="4" xfId="69" applyNumberFormat="1" applyFont="1" applyFill="1" applyBorder="1" applyAlignment="1">
      <alignment horizontal="center" vertical="center"/>
    </xf>
    <xf numFmtId="15" fontId="8" fillId="3" borderId="4" xfId="69" applyNumberFormat="1" applyFont="1" applyFill="1" applyBorder="1" applyAlignment="1">
      <alignment horizontal="center" vertical="center"/>
    </xf>
    <xf numFmtId="15" fontId="25" fillId="0" borderId="4" xfId="69" applyNumberFormat="1" applyFont="1" applyFill="1" applyBorder="1" applyAlignment="1">
      <alignment horizontal="center" vertical="center"/>
    </xf>
    <xf numFmtId="15" fontId="25" fillId="3" borderId="4" xfId="69" applyNumberFormat="1" applyFont="1" applyFill="1" applyBorder="1" applyAlignment="1">
      <alignment horizontal="center" vertical="center"/>
    </xf>
    <xf numFmtId="15" fontId="8" fillId="5" borderId="4" xfId="69" applyNumberFormat="1" applyFont="1" applyFill="1" applyBorder="1" applyAlignment="1">
      <alignment horizontal="center" vertical="center"/>
    </xf>
    <xf numFmtId="15" fontId="4" fillId="5" borderId="4" xfId="69" applyNumberFormat="1" applyFont="1" applyFill="1" applyBorder="1" applyAlignment="1">
      <alignment horizontal="center" vertical="center"/>
    </xf>
    <xf numFmtId="0" fontId="14" fillId="2" borderId="16" xfId="69" applyFont="1" applyFill="1" applyBorder="1" applyAlignment="1">
      <alignment horizontal="center" vertical="center" wrapText="1"/>
    </xf>
    <xf numFmtId="0" fontId="4" fillId="2" borderId="6" xfId="69" applyFont="1" applyFill="1" applyBorder="1" applyAlignment="1">
      <alignment horizontal="center" vertical="center" wrapText="1"/>
    </xf>
    <xf numFmtId="1" fontId="27" fillId="0" borderId="3" xfId="0" applyNumberFormat="1" applyFont="1" applyFill="1" applyBorder="1" applyAlignment="1">
      <alignment horizontal="center" vertical="center" wrapText="1"/>
    </xf>
    <xf numFmtId="0" fontId="27" fillId="0" borderId="3" xfId="0" applyFont="1" applyFill="1" applyBorder="1" applyAlignment="1">
      <alignment horizontal="center" vertical="center" wrapText="1"/>
    </xf>
    <xf numFmtId="1" fontId="28" fillId="0" borderId="3" xfId="0" applyNumberFormat="1" applyFont="1" applyFill="1" applyBorder="1" applyAlignment="1">
      <alignment horizontal="center" vertical="center" wrapText="1"/>
    </xf>
    <xf numFmtId="0" fontId="28" fillId="0" borderId="3" xfId="0" applyFont="1" applyFill="1" applyBorder="1" applyAlignment="1">
      <alignment horizontal="center" vertical="center" wrapText="1"/>
    </xf>
    <xf numFmtId="0" fontId="29" fillId="0" borderId="3" xfId="0" applyFont="1" applyFill="1" applyBorder="1" applyAlignment="1">
      <alignment horizontal="center" vertical="center" wrapText="1"/>
    </xf>
    <xf numFmtId="0" fontId="14" fillId="2" borderId="1" xfId="69" applyFont="1" applyFill="1" applyBorder="1" applyAlignment="1">
      <alignment horizontal="right" vertical="center" wrapText="1"/>
    </xf>
    <xf numFmtId="0" fontId="14" fillId="7" borderId="1" xfId="69" applyFont="1" applyFill="1" applyBorder="1" applyAlignment="1">
      <alignment horizontal="right" vertical="center" wrapText="1"/>
    </xf>
    <xf numFmtId="0" fontId="14" fillId="2" borderId="15" xfId="69" applyFont="1" applyFill="1" applyBorder="1" applyAlignment="1">
      <alignment horizontal="right" vertical="center" wrapText="1"/>
    </xf>
    <xf numFmtId="0" fontId="14" fillId="7" borderId="15" xfId="69" applyFont="1" applyFill="1" applyBorder="1" applyAlignment="1">
      <alignment horizontal="right" vertical="center" wrapText="1"/>
    </xf>
    <xf numFmtId="3" fontId="4" fillId="3" borderId="4" xfId="69" applyNumberFormat="1" applyFont="1" applyFill="1" applyBorder="1" applyAlignment="1">
      <alignment horizontal="right" vertical="center" wrapText="1"/>
    </xf>
    <xf numFmtId="3" fontId="4" fillId="0" borderId="4" xfId="69" applyNumberFormat="1" applyFont="1" applyFill="1" applyBorder="1" applyAlignment="1">
      <alignment horizontal="right" vertical="center" wrapText="1"/>
    </xf>
    <xf numFmtId="3" fontId="8" fillId="3" borderId="4" xfId="69" applyNumberFormat="1" applyFont="1" applyFill="1" applyBorder="1" applyAlignment="1">
      <alignment horizontal="right" vertical="center" wrapText="1"/>
    </xf>
    <xf numFmtId="3" fontId="8" fillId="0" borderId="4" xfId="69" applyNumberFormat="1" applyFont="1" applyFill="1" applyBorder="1" applyAlignment="1">
      <alignment horizontal="right" vertical="center" wrapText="1"/>
    </xf>
    <xf numFmtId="3" fontId="4" fillId="5" borderId="4" xfId="69" applyNumberFormat="1" applyFont="1" applyFill="1" applyBorder="1" applyAlignment="1">
      <alignment horizontal="right" vertical="center" wrapText="1"/>
    </xf>
    <xf numFmtId="3" fontId="4" fillId="0" borderId="4" xfId="69" applyNumberFormat="1" applyFont="1" applyFill="1" applyBorder="1" applyAlignment="1">
      <alignment horizontal="right" vertical="center"/>
    </xf>
    <xf numFmtId="3" fontId="4" fillId="3" borderId="4" xfId="69" applyNumberFormat="1" applyFont="1" applyFill="1" applyBorder="1" applyAlignment="1">
      <alignment horizontal="right" vertical="center"/>
    </xf>
    <xf numFmtId="3" fontId="4" fillId="5" borderId="4" xfId="69" applyNumberFormat="1" applyFont="1" applyFill="1" applyBorder="1" applyAlignment="1">
      <alignment horizontal="right" vertical="center"/>
    </xf>
    <xf numFmtId="3" fontId="25" fillId="0" borderId="4" xfId="69" applyNumberFormat="1" applyFont="1" applyFill="1" applyBorder="1" applyAlignment="1">
      <alignment horizontal="right" vertical="center"/>
    </xf>
    <xf numFmtId="3" fontId="25" fillId="0" borderId="4" xfId="69" applyNumberFormat="1" applyFont="1" applyFill="1" applyBorder="1" applyAlignment="1">
      <alignment horizontal="right" vertical="center" wrapText="1"/>
    </xf>
    <xf numFmtId="3" fontId="8" fillId="0" borderId="4" xfId="69" applyNumberFormat="1" applyFont="1" applyFill="1" applyBorder="1" applyAlignment="1">
      <alignment horizontal="right" vertical="center"/>
    </xf>
    <xf numFmtId="0" fontId="22" fillId="0" borderId="3" xfId="69" applyFill="1" applyBorder="1" applyAlignment="1">
      <alignment horizontal="right"/>
    </xf>
    <xf numFmtId="0" fontId="14" fillId="2" borderId="9" xfId="69" applyFont="1" applyFill="1" applyBorder="1" applyAlignment="1">
      <alignment horizontal="center" vertical="center"/>
    </xf>
    <xf numFmtId="0" fontId="4" fillId="2" borderId="15" xfId="69" applyFont="1" applyFill="1" applyBorder="1" applyAlignment="1">
      <alignment horizontal="center" vertical="center" wrapText="1"/>
    </xf>
    <xf numFmtId="0" fontId="14" fillId="2" borderId="17" xfId="69" applyFont="1" applyFill="1" applyBorder="1" applyAlignment="1">
      <alignment horizontal="center" vertical="center"/>
    </xf>
    <xf numFmtId="3" fontId="4" fillId="0" borderId="4" xfId="69" applyNumberFormat="1" applyFont="1" applyFill="1" applyBorder="1" applyAlignment="1">
      <alignment horizontal="center" vertical="center" wrapText="1"/>
    </xf>
    <xf numFmtId="3" fontId="4" fillId="3" borderId="4" xfId="69" applyNumberFormat="1" applyFont="1" applyFill="1" applyBorder="1" applyAlignment="1">
      <alignment horizontal="center" vertical="center" wrapText="1"/>
    </xf>
    <xf numFmtId="3" fontId="8" fillId="0" borderId="4" xfId="69" applyNumberFormat="1" applyFont="1" applyFill="1" applyBorder="1" applyAlignment="1">
      <alignment horizontal="center" vertical="center" wrapText="1"/>
    </xf>
    <xf numFmtId="3" fontId="8" fillId="3" borderId="4" xfId="69" applyNumberFormat="1" applyFont="1" applyFill="1" applyBorder="1" applyAlignment="1">
      <alignment horizontal="center" vertical="center" wrapText="1"/>
    </xf>
    <xf numFmtId="3" fontId="25" fillId="0" borderId="4" xfId="69" applyNumberFormat="1" applyFont="1" applyFill="1" applyBorder="1" applyAlignment="1">
      <alignment horizontal="center" vertical="center" wrapText="1"/>
    </xf>
    <xf numFmtId="49" fontId="14" fillId="2" borderId="10" xfId="69" applyNumberFormat="1" applyFont="1" applyFill="1" applyBorder="1" applyAlignment="1">
      <alignment horizontal="center" vertical="center"/>
    </xf>
    <xf numFmtId="49" fontId="14" fillId="2" borderId="13" xfId="69" applyNumberFormat="1" applyFont="1" applyFill="1" applyBorder="1" applyAlignment="1">
      <alignment horizontal="center" vertical="center"/>
    </xf>
    <xf numFmtId="49" fontId="14" fillId="2" borderId="24" xfId="69" applyNumberFormat="1" applyFont="1" applyFill="1" applyBorder="1" applyAlignment="1">
      <alignment horizontal="center" vertical="center"/>
    </xf>
    <xf numFmtId="49" fontId="14" fillId="2" borderId="18" xfId="69" applyNumberFormat="1" applyFont="1" applyFill="1" applyBorder="1" applyAlignment="1">
      <alignment horizontal="center" vertical="center"/>
    </xf>
    <xf numFmtId="49" fontId="14" fillId="2" borderId="19" xfId="69" applyNumberFormat="1" applyFont="1" applyFill="1" applyBorder="1" applyAlignment="1">
      <alignment horizontal="center" vertical="center"/>
    </xf>
    <xf numFmtId="49" fontId="14" fillId="2" borderId="25" xfId="69" applyNumberFormat="1" applyFont="1" applyFill="1" applyBorder="1" applyAlignment="1">
      <alignment horizontal="center" vertical="center"/>
    </xf>
    <xf numFmtId="49" fontId="4" fillId="0" borderId="3" xfId="69" applyNumberFormat="1" applyFont="1" applyFill="1" applyBorder="1" applyAlignment="1">
      <alignment horizontal="center" vertical="center" wrapText="1"/>
    </xf>
    <xf numFmtId="49" fontId="8" fillId="0" borderId="3" xfId="69" applyNumberFormat="1" applyFont="1" applyFill="1" applyBorder="1" applyAlignment="1">
      <alignment horizontal="center" vertical="center" wrapText="1"/>
    </xf>
    <xf numFmtId="49" fontId="25" fillId="0" borderId="3" xfId="69" applyNumberFormat="1" applyFont="1" applyFill="1" applyBorder="1" applyAlignment="1">
      <alignment horizontal="center" vertical="center" wrapText="1"/>
    </xf>
    <xf numFmtId="0" fontId="14" fillId="2" borderId="24" xfId="69" applyFont="1" applyFill="1" applyBorder="1" applyAlignment="1">
      <alignment horizontal="center" vertical="center"/>
    </xf>
    <xf numFmtId="0" fontId="14" fillId="2" borderId="1" xfId="69" applyFont="1" applyFill="1" applyBorder="1" applyAlignment="1">
      <alignment horizontal="center" vertical="center"/>
    </xf>
    <xf numFmtId="0" fontId="14" fillId="2" borderId="25" xfId="69" applyFont="1" applyFill="1" applyBorder="1" applyAlignment="1">
      <alignment horizontal="center" vertical="center"/>
    </xf>
    <xf numFmtId="0" fontId="14" fillId="2" borderId="15" xfId="69" applyFont="1" applyFill="1" applyBorder="1" applyAlignment="1">
      <alignment horizontal="center" vertical="center"/>
    </xf>
    <xf numFmtId="0" fontId="18" fillId="0" borderId="3" xfId="166" applyFont="1" applyFill="1" applyBorder="1" applyAlignment="1" applyProtection="1">
      <alignment horizontal="center" vertical="center" wrapText="1"/>
    </xf>
    <xf numFmtId="0" fontId="4" fillId="0" borderId="3" xfId="69" applyFont="1" applyFill="1" applyBorder="1" applyAlignment="1">
      <alignment horizontal="left" vertical="center" wrapText="1"/>
    </xf>
    <xf numFmtId="0" fontId="30" fillId="0" borderId="3" xfId="166" applyFont="1" applyFill="1" applyBorder="1" applyAlignment="1" applyProtection="1">
      <alignment horizontal="center" vertical="center" wrapText="1"/>
    </xf>
    <xf numFmtId="0" fontId="20" fillId="0" borderId="3" xfId="166" applyFont="1" applyFill="1" applyBorder="1" applyAlignment="1" applyProtection="1">
      <alignment horizontal="center" vertical="center" wrapText="1"/>
    </xf>
    <xf numFmtId="0" fontId="8" fillId="0" borderId="3" xfId="69" applyFont="1" applyFill="1" applyBorder="1" applyAlignment="1">
      <alignment horizontal="left" vertical="center" wrapText="1"/>
    </xf>
    <xf numFmtId="0" fontId="31" fillId="0" borderId="3" xfId="166" applyFont="1" applyFill="1" applyBorder="1" applyAlignment="1" applyProtection="1">
      <alignment horizontal="center" vertical="center" wrapText="1"/>
    </xf>
    <xf numFmtId="0" fontId="4" fillId="4" borderId="3" xfId="69" applyFont="1" applyFill="1" applyBorder="1" applyAlignment="1">
      <alignment horizontal="left" vertical="center" wrapText="1"/>
    </xf>
    <xf numFmtId="0" fontId="32" fillId="0" borderId="3" xfId="166" applyFont="1" applyFill="1" applyBorder="1" applyAlignment="1" applyProtection="1">
      <alignment horizontal="center" vertical="center" wrapText="1"/>
    </xf>
    <xf numFmtId="0" fontId="25" fillId="0" borderId="3" xfId="69" applyFont="1" applyFill="1" applyBorder="1" applyAlignment="1">
      <alignment horizontal="left" vertical="center"/>
    </xf>
    <xf numFmtId="0" fontId="33" fillId="0" borderId="3" xfId="166" applyFont="1" applyFill="1" applyBorder="1" applyAlignment="1" applyProtection="1">
      <alignment horizontal="center" vertical="center" wrapText="1"/>
    </xf>
    <xf numFmtId="0" fontId="8" fillId="0" borderId="3" xfId="69" applyFont="1" applyFill="1" applyBorder="1" applyAlignment="1">
      <alignment horizontal="left" vertical="center"/>
    </xf>
    <xf numFmtId="0" fontId="4" fillId="0" borderId="0" xfId="69" applyFont="1" applyFill="1" applyAlignment="1">
      <alignment horizontal="center" vertical="center"/>
    </xf>
    <xf numFmtId="0" fontId="22" fillId="8" borderId="0" xfId="69" applyFill="1"/>
    <xf numFmtId="181" fontId="22" fillId="8" borderId="0" xfId="171" applyNumberFormat="1" applyFont="1" applyFill="1"/>
    <xf numFmtId="0" fontId="4" fillId="0" borderId="0" xfId="69" applyFont="1" applyFill="1" applyAlignment="1">
      <alignment horizontal="left" vertical="center"/>
    </xf>
    <xf numFmtId="0" fontId="8" fillId="0" borderId="0" xfId="69" applyFont="1" applyFill="1" applyAlignment="1">
      <alignment horizontal="center" vertical="center"/>
    </xf>
    <xf numFmtId="0" fontId="24" fillId="8" borderId="0" xfId="69" applyFont="1" applyFill="1"/>
    <xf numFmtId="181" fontId="24" fillId="8" borderId="0" xfId="171" applyNumberFormat="1" applyFont="1" applyFill="1"/>
    <xf numFmtId="0" fontId="4" fillId="0" borderId="0" xfId="69" applyFont="1" applyFill="1" applyAlignment="1">
      <alignment vertical="center"/>
    </xf>
    <xf numFmtId="0" fontId="25" fillId="0" borderId="0" xfId="69" applyFont="1" applyFill="1" applyAlignment="1">
      <alignment horizontal="center" vertical="center"/>
    </xf>
    <xf numFmtId="0" fontId="23" fillId="8" borderId="0" xfId="69" applyFont="1" applyFill="1"/>
    <xf numFmtId="181" fontId="23" fillId="8" borderId="0" xfId="171" applyNumberFormat="1" applyFont="1" applyFill="1"/>
    <xf numFmtId="181" fontId="22" fillId="0" borderId="0" xfId="69" applyNumberFormat="1" applyFill="1"/>
    <xf numFmtId="181" fontId="22" fillId="0" borderId="0" xfId="69" applyNumberFormat="1" applyFont="1" applyFill="1"/>
    <xf numFmtId="181" fontId="24" fillId="0" borderId="0" xfId="69" applyNumberFormat="1" applyFont="1" applyFill="1"/>
    <xf numFmtId="181" fontId="23" fillId="0" borderId="0" xfId="69" applyNumberFormat="1" applyFont="1" applyFill="1"/>
    <xf numFmtId="0" fontId="25" fillId="0" borderId="3" xfId="69" applyFont="1" applyFill="1" applyBorder="1" applyAlignment="1">
      <alignment horizontal="center" vertical="center"/>
    </xf>
    <xf numFmtId="0" fontId="34" fillId="0" borderId="0" xfId="105" applyFont="1" applyFill="1" applyBorder="1" applyAlignment="1">
      <alignment wrapText="1"/>
    </xf>
    <xf numFmtId="0" fontId="13" fillId="0" borderId="5" xfId="69" applyFont="1" applyFill="1" applyBorder="1" applyAlignment="1">
      <alignment vertical="center"/>
    </xf>
    <xf numFmtId="0" fontId="13" fillId="0" borderId="3" xfId="69" applyFont="1" applyFill="1" applyBorder="1" applyAlignment="1">
      <alignment horizontal="center" vertical="center"/>
    </xf>
    <xf numFmtId="177" fontId="8" fillId="0" borderId="4" xfId="69" applyNumberFormat="1" applyFont="1" applyFill="1" applyBorder="1" applyAlignment="1">
      <alignment horizontal="center" vertical="center" wrapText="1"/>
    </xf>
    <xf numFmtId="0" fontId="8" fillId="3" borderId="3" xfId="69" applyFont="1" applyFill="1" applyBorder="1" applyAlignment="1">
      <alignment horizontal="center" vertical="center" wrapText="1"/>
    </xf>
    <xf numFmtId="3" fontId="12" fillId="0" borderId="3" xfId="166" applyNumberFormat="1" applyFont="1" applyFill="1" applyBorder="1" applyAlignment="1" applyProtection="1">
      <alignment horizontal="center" vertical="center" wrapText="1"/>
    </xf>
    <xf numFmtId="177" fontId="24" fillId="0" borderId="0" xfId="69" applyNumberFormat="1" applyFont="1" applyFill="1"/>
    <xf numFmtId="177" fontId="4" fillId="0" borderId="0" xfId="69" applyNumberFormat="1" applyFont="1" applyFill="1" applyAlignment="1">
      <alignment vertical="center"/>
    </xf>
    <xf numFmtId="177" fontId="15" fillId="0" borderId="4" xfId="166" applyNumberFormat="1" applyFont="1" applyFill="1" applyBorder="1" applyAlignment="1" applyProtection="1">
      <alignment horizontal="center" vertical="center" wrapText="1"/>
    </xf>
    <xf numFmtId="1" fontId="29" fillId="0" borderId="3" xfId="0" applyNumberFormat="1" applyFont="1" applyFill="1" applyBorder="1" applyAlignment="1">
      <alignment horizontal="center" vertical="center" wrapText="1"/>
    </xf>
    <xf numFmtId="1" fontId="8" fillId="0" borderId="3" xfId="69" applyNumberFormat="1" applyFont="1" applyFill="1" applyBorder="1" applyAlignment="1">
      <alignment horizontal="center" vertical="center" wrapText="1"/>
    </xf>
    <xf numFmtId="3" fontId="4" fillId="0" borderId="4" xfId="69" applyNumberFormat="1" applyFont="1" applyFill="1" applyBorder="1" applyAlignment="1">
      <alignment vertical="center"/>
    </xf>
    <xf numFmtId="3" fontId="4" fillId="0" borderId="4" xfId="69" applyNumberFormat="1" applyFont="1" applyFill="1" applyBorder="1" applyAlignment="1">
      <alignment vertical="center" wrapText="1"/>
    </xf>
    <xf numFmtId="0" fontId="22" fillId="0" borderId="0" xfId="69" applyFill="1" applyAlignment="1">
      <alignment horizontal="right"/>
    </xf>
    <xf numFmtId="0" fontId="4" fillId="0" borderId="0" xfId="69" applyFont="1" applyFill="1" applyAlignment="1">
      <alignment horizontal="right" vertical="center"/>
    </xf>
    <xf numFmtId="49" fontId="22" fillId="0" borderId="0" xfId="69" applyNumberFormat="1" applyFill="1"/>
    <xf numFmtId="49" fontId="4" fillId="0" borderId="0" xfId="69" applyNumberFormat="1" applyFont="1" applyFill="1" applyAlignment="1">
      <alignment vertical="center"/>
    </xf>
    <xf numFmtId="0" fontId="35" fillId="0" borderId="3" xfId="166" applyFont="1" applyFill="1" applyBorder="1" applyAlignment="1" applyProtection="1">
      <alignment horizontal="center" vertical="center" wrapText="1"/>
    </xf>
    <xf numFmtId="0" fontId="25" fillId="0" borderId="3" xfId="69" applyFont="1" applyFill="1" applyBorder="1" applyAlignment="1">
      <alignment horizontal="left" vertical="center" wrapText="1"/>
    </xf>
    <xf numFmtId="0" fontId="22" fillId="0" borderId="0" xfId="69" applyFill="1" applyAlignment="1"/>
    <xf numFmtId="0" fontId="8" fillId="0" borderId="3" xfId="69" applyFont="1" applyFill="1" applyBorder="1" applyAlignment="1">
      <alignment horizontal="left" vertical="top"/>
    </xf>
    <xf numFmtId="0" fontId="8" fillId="0" borderId="0" xfId="69" applyFont="1" applyFill="1" applyAlignment="1">
      <alignment vertical="center"/>
    </xf>
    <xf numFmtId="3" fontId="8" fillId="0" borderId="3" xfId="69" applyNumberFormat="1" applyFont="1" applyFill="1" applyBorder="1" applyAlignment="1">
      <alignment horizontal="right" vertical="center" wrapText="1"/>
    </xf>
    <xf numFmtId="3" fontId="36" fillId="0" borderId="4" xfId="69" applyNumberFormat="1" applyFont="1" applyFill="1" applyBorder="1" applyAlignment="1">
      <alignment horizontal="center" vertical="center" wrapText="1"/>
    </xf>
    <xf numFmtId="0" fontId="36" fillId="0" borderId="3" xfId="69" applyFont="1" applyFill="1" applyBorder="1" applyAlignment="1">
      <alignment horizontal="left" vertical="center"/>
    </xf>
    <xf numFmtId="177" fontId="26" fillId="0" borderId="4" xfId="166" applyNumberFormat="1" applyFont="1" applyFill="1" applyBorder="1" applyAlignment="1" applyProtection="1">
      <alignment horizontal="center" vertical="center"/>
    </xf>
    <xf numFmtId="15" fontId="8" fillId="6" borderId="4" xfId="69" applyNumberFormat="1" applyFont="1" applyFill="1" applyBorder="1" applyAlignment="1">
      <alignment horizontal="center" vertical="center"/>
    </xf>
    <xf numFmtId="15" fontId="4" fillId="4" borderId="4" xfId="69" applyNumberFormat="1" applyFont="1" applyFill="1" applyBorder="1" applyAlignment="1">
      <alignment horizontal="center" vertical="center"/>
    </xf>
    <xf numFmtId="15" fontId="8" fillId="4" borderId="4" xfId="69" applyNumberFormat="1" applyFont="1" applyFill="1" applyBorder="1" applyAlignment="1">
      <alignment horizontal="center" vertical="center"/>
    </xf>
    <xf numFmtId="3" fontId="8" fillId="4" borderId="4" xfId="69" applyNumberFormat="1" applyFont="1" applyFill="1" applyBorder="1" applyAlignment="1">
      <alignment horizontal="right" vertical="center" wrapText="1"/>
    </xf>
    <xf numFmtId="3" fontId="8" fillId="4" borderId="4" xfId="69" applyNumberFormat="1" applyFont="1" applyFill="1" applyBorder="1" applyAlignment="1">
      <alignment horizontal="right" vertical="center"/>
    </xf>
    <xf numFmtId="0" fontId="23" fillId="0" borderId="3" xfId="69" applyFont="1" applyFill="1" applyBorder="1" applyAlignment="1">
      <alignment horizontal="right"/>
    </xf>
    <xf numFmtId="3" fontId="8" fillId="4" borderId="4" xfId="69" applyNumberFormat="1" applyFont="1" applyFill="1" applyBorder="1" applyAlignment="1">
      <alignment horizontal="center" vertical="center" wrapText="1"/>
    </xf>
    <xf numFmtId="3" fontId="4" fillId="4" borderId="4" xfId="69" applyNumberFormat="1" applyFont="1" applyFill="1" applyBorder="1" applyAlignment="1">
      <alignment horizontal="center" vertical="center" wrapText="1"/>
    </xf>
    <xf numFmtId="0" fontId="1" fillId="0" borderId="0" xfId="0" applyFont="1" applyAlignment="1">
      <alignment wrapText="1"/>
    </xf>
    <xf numFmtId="0" fontId="34" fillId="0" borderId="0" xfId="35" applyFont="1" applyFill="1" applyBorder="1" applyAlignment="1">
      <alignment wrapText="1"/>
    </xf>
    <xf numFmtId="0" fontId="34" fillId="0" borderId="0" xfId="67" applyFont="1" applyFill="1" applyBorder="1" applyAlignment="1">
      <alignment wrapText="1"/>
    </xf>
    <xf numFmtId="0" fontId="5" fillId="0" borderId="27"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3" xfId="59" applyFont="1" applyFill="1" applyBorder="1" applyAlignment="1">
      <alignment horizontal="center" vertical="center" wrapText="1"/>
    </xf>
    <xf numFmtId="0" fontId="4" fillId="0" borderId="3"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14" fillId="9" borderId="8" xfId="0" applyFont="1" applyFill="1" applyBorder="1" applyAlignment="1">
      <alignment horizontal="center" vertical="center" wrapText="1"/>
    </xf>
    <xf numFmtId="15" fontId="1" fillId="0" borderId="4" xfId="0" applyNumberFormat="1" applyFont="1" applyFill="1" applyBorder="1" applyAlignment="1">
      <alignment horizontal="center" vertical="center"/>
    </xf>
    <xf numFmtId="3" fontId="1" fillId="0" borderId="4" xfId="0" applyNumberFormat="1" applyFont="1" applyFill="1" applyBorder="1" applyAlignment="1">
      <alignment horizontal="center" vertical="center"/>
    </xf>
    <xf numFmtId="181" fontId="1" fillId="0" borderId="4" xfId="171" applyNumberFormat="1" applyFont="1" applyFill="1" applyBorder="1" applyAlignment="1">
      <alignment horizontal="center" vertical="center" wrapText="1"/>
    </xf>
    <xf numFmtId="15" fontId="2" fillId="0" borderId="4" xfId="0" applyNumberFormat="1" applyFont="1" applyFill="1" applyBorder="1" applyAlignment="1">
      <alignment horizontal="center" vertical="center"/>
    </xf>
    <xf numFmtId="3" fontId="2" fillId="0" borderId="4" xfId="0" applyNumberFormat="1" applyFont="1" applyFill="1" applyBorder="1" applyAlignment="1">
      <alignment horizontal="center" vertical="center"/>
    </xf>
    <xf numFmtId="181" fontId="2" fillId="0" borderId="4" xfId="171"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5" xfId="0" applyFont="1" applyFill="1" applyBorder="1" applyAlignment="1">
      <alignment horizontal="center" vertical="center" wrapText="1"/>
    </xf>
    <xf numFmtId="3" fontId="1" fillId="0" borderId="4" xfId="0" applyNumberFormat="1" applyFont="1" applyFill="1" applyBorder="1" applyAlignment="1">
      <alignment horizontal="center" vertical="center" wrapText="1"/>
    </xf>
    <xf numFmtId="3" fontId="2" fillId="0" borderId="4" xfId="0" applyNumberFormat="1" applyFont="1" applyFill="1" applyBorder="1" applyAlignment="1">
      <alignment horizontal="center" vertical="center" wrapText="1"/>
    </xf>
    <xf numFmtId="49" fontId="8" fillId="0" borderId="3" xfId="23" applyNumberFormat="1" applyFont="1" applyFill="1" applyBorder="1" applyAlignment="1">
      <alignment horizontal="center" vertical="center" wrapText="1"/>
    </xf>
    <xf numFmtId="49" fontId="9" fillId="0" borderId="0" xfId="0" applyNumberFormat="1" applyFont="1" applyAlignment="1">
      <alignment horizontal="right"/>
    </xf>
    <xf numFmtId="0" fontId="9" fillId="0" borderId="0" xfId="0" applyFont="1" applyAlignment="1">
      <alignment horizontal="right" wrapText="1"/>
    </xf>
    <xf numFmtId="49" fontId="10" fillId="0" borderId="0" xfId="0" applyNumberFormat="1" applyFont="1" applyAlignment="1">
      <alignment horizontal="right"/>
    </xf>
    <xf numFmtId="0" fontId="10" fillId="0" borderId="0" xfId="0" applyFont="1" applyAlignment="1">
      <alignment horizontal="right" wrapText="1"/>
    </xf>
    <xf numFmtId="49" fontId="3" fillId="2" borderId="15"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5" fillId="0" borderId="3" xfId="166" applyFont="1" applyFill="1" applyBorder="1" applyAlignment="1" applyProtection="1">
      <alignment horizontal="left" vertical="center" wrapText="1"/>
    </xf>
    <xf numFmtId="0" fontId="11" fillId="0" borderId="3" xfId="166" applyFont="1" applyFill="1" applyBorder="1" applyAlignment="1" applyProtection="1">
      <alignment horizontal="left" vertical="center" wrapText="1"/>
    </xf>
    <xf numFmtId="0" fontId="11" fillId="0" borderId="3" xfId="166" applyFill="1" applyBorder="1" applyAlignment="1" applyProtection="1">
      <alignment horizontal="left" vertical="center" wrapText="1"/>
    </xf>
    <xf numFmtId="49" fontId="1" fillId="0" borderId="3" xfId="0" applyNumberFormat="1" applyFont="1" applyFill="1" applyBorder="1" applyAlignment="1">
      <alignment horizontal="left" vertical="center" wrapText="1"/>
    </xf>
    <xf numFmtId="0" fontId="1" fillId="0" borderId="0" xfId="0" applyFont="1" applyFill="1" applyAlignment="1">
      <alignment wrapText="1"/>
    </xf>
    <xf numFmtId="0" fontId="2" fillId="0" borderId="3" xfId="0" applyNumberFormat="1" applyFont="1" applyFill="1" applyBorder="1" applyAlignment="1">
      <alignment horizontal="left" vertical="center"/>
    </xf>
    <xf numFmtId="0" fontId="8" fillId="0" borderId="0" xfId="0" applyFont="1" applyFill="1"/>
    <xf numFmtId="181" fontId="4" fillId="0" borderId="0" xfId="171" applyNumberFormat="1" applyFont="1"/>
    <xf numFmtId="0" fontId="4" fillId="0" borderId="4" xfId="0" applyFont="1" applyFill="1" applyBorder="1" applyAlignment="1">
      <alignment horizontal="left" vertical="center"/>
    </xf>
    <xf numFmtId="178" fontId="4" fillId="0" borderId="4" xfId="0" applyNumberFormat="1" applyFont="1" applyFill="1" applyBorder="1" applyAlignment="1">
      <alignment horizontal="center" vertical="center" wrapText="1"/>
    </xf>
    <xf numFmtId="0" fontId="4" fillId="0" borderId="3" xfId="0" applyFont="1" applyFill="1" applyBorder="1" applyAlignment="1">
      <alignment horizontal="left" vertical="center"/>
    </xf>
    <xf numFmtId="0" fontId="13" fillId="0" borderId="5" xfId="0" applyFont="1" applyFill="1" applyBorder="1" applyAlignment="1">
      <alignment vertical="center"/>
    </xf>
    <xf numFmtId="0" fontId="13" fillId="0" borderId="20" xfId="0" applyFont="1" applyFill="1" applyBorder="1"/>
    <xf numFmtId="0" fontId="4"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15" fontId="4" fillId="0" borderId="4" xfId="0" applyNumberFormat="1" applyFont="1" applyFill="1" applyBorder="1" applyAlignment="1">
      <alignment horizontal="center" vertical="center"/>
    </xf>
    <xf numFmtId="15" fontId="4" fillId="3" borderId="4" xfId="0" applyNumberFormat="1" applyFont="1" applyFill="1" applyBorder="1" applyAlignment="1">
      <alignment horizontal="center" vertical="center"/>
    </xf>
    <xf numFmtId="15" fontId="4" fillId="5" borderId="4" xfId="0" applyNumberFormat="1" applyFont="1" applyFill="1" applyBorder="1" applyAlignment="1">
      <alignment horizontal="center" vertical="center"/>
    </xf>
    <xf numFmtId="15" fontId="8" fillId="4" borderId="4" xfId="0" applyNumberFormat="1" applyFont="1" applyFill="1" applyBorder="1" applyAlignment="1">
      <alignment horizontal="center" vertical="center"/>
    </xf>
    <xf numFmtId="0" fontId="8" fillId="0" borderId="3" xfId="0" applyFont="1" applyFill="1" applyBorder="1"/>
    <xf numFmtId="0" fontId="8" fillId="0" borderId="4" xfId="0" applyFont="1" applyFill="1" applyBorder="1"/>
    <xf numFmtId="0" fontId="4" fillId="0" borderId="3" xfId="0" applyFont="1" applyFill="1" applyBorder="1"/>
    <xf numFmtId="0" fontId="4" fillId="0" borderId="4" xfId="0" applyFont="1" applyFill="1" applyBorder="1"/>
    <xf numFmtId="1" fontId="4" fillId="0" borderId="4" xfId="0" applyNumberFormat="1" applyFont="1" applyFill="1" applyBorder="1" applyAlignment="1">
      <alignment horizontal="center" vertical="center"/>
    </xf>
    <xf numFmtId="1" fontId="8" fillId="0" borderId="4" xfId="0" applyNumberFormat="1" applyFont="1" applyFill="1" applyBorder="1" applyAlignment="1">
      <alignment horizontal="center" vertical="center"/>
    </xf>
    <xf numFmtId="0" fontId="14" fillId="7" borderId="6" xfId="0" applyFont="1" applyFill="1" applyBorder="1" applyAlignment="1">
      <alignment horizontal="center" vertical="center" wrapText="1"/>
    </xf>
    <xf numFmtId="41" fontId="4" fillId="0" borderId="4" xfId="0" applyNumberFormat="1" applyFont="1" applyFill="1" applyBorder="1" applyAlignment="1">
      <alignment horizontal="center" vertical="center"/>
    </xf>
    <xf numFmtId="181" fontId="4" fillId="0" borderId="4" xfId="171" applyNumberFormat="1" applyFont="1" applyFill="1" applyBorder="1" applyAlignment="1">
      <alignment horizontal="center" vertical="center"/>
    </xf>
    <xf numFmtId="181" fontId="8" fillId="0" borderId="4" xfId="171" applyNumberFormat="1" applyFont="1" applyFill="1" applyBorder="1" applyAlignment="1">
      <alignment horizontal="center" vertical="center"/>
    </xf>
    <xf numFmtId="181" fontId="4" fillId="3" borderId="4" xfId="171" applyNumberFormat="1" applyFont="1" applyFill="1" applyBorder="1" applyAlignment="1">
      <alignment horizontal="center" vertical="center"/>
    </xf>
    <xf numFmtId="41" fontId="8" fillId="0" borderId="4" xfId="0" applyNumberFormat="1" applyFont="1" applyFill="1" applyBorder="1" applyAlignment="1">
      <alignment horizontal="center" vertical="center"/>
    </xf>
    <xf numFmtId="181" fontId="8" fillId="4" borderId="4" xfId="171" applyNumberFormat="1" applyFont="1" applyFill="1" applyBorder="1" applyAlignment="1">
      <alignment horizontal="center" vertical="center"/>
    </xf>
    <xf numFmtId="0" fontId="14" fillId="2" borderId="6" xfId="0" applyFont="1" applyFill="1" applyBorder="1" applyAlignment="1">
      <alignment horizontal="center" vertical="center"/>
    </xf>
    <xf numFmtId="179" fontId="4" fillId="0"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4" xfId="0" applyFont="1" applyFill="1" applyBorder="1" applyAlignment="1">
      <alignment vertical="center"/>
    </xf>
    <xf numFmtId="0" fontId="8" fillId="4" borderId="3" xfId="0" applyFont="1" applyFill="1" applyBorder="1" applyAlignment="1">
      <alignment vertical="center"/>
    </xf>
    <xf numFmtId="0" fontId="4" fillId="0" borderId="0" xfId="0" applyFont="1" applyFill="1" applyAlignment="1" applyProtection="1">
      <alignment vertical="center" wrapText="1"/>
      <protection hidden="1"/>
    </xf>
    <xf numFmtId="15" fontId="4" fillId="0" borderId="0" xfId="0" applyNumberFormat="1" applyFont="1" applyFill="1" applyAlignment="1">
      <alignment vertical="center"/>
    </xf>
    <xf numFmtId="181" fontId="4" fillId="0" borderId="0" xfId="171" applyNumberFormat="1" applyFont="1" applyFill="1"/>
    <xf numFmtId="181" fontId="4" fillId="0" borderId="0" xfId="171" applyNumberFormat="1" applyFont="1" applyFill="1" applyAlignment="1">
      <alignment horizontal="center" vertical="center"/>
    </xf>
    <xf numFmtId="181" fontId="8" fillId="0" borderId="0" xfId="171" applyNumberFormat="1" applyFont="1" applyFill="1"/>
    <xf numFmtId="181" fontId="13" fillId="0" borderId="0" xfId="171" applyNumberFormat="1" applyFont="1" applyFill="1"/>
    <xf numFmtId="181" fontId="4" fillId="0" borderId="0" xfId="0" applyNumberFormat="1" applyFont="1" applyFill="1"/>
    <xf numFmtId="0" fontId="1" fillId="0" borderId="4" xfId="0" applyFont="1" applyFill="1" applyBorder="1" applyAlignment="1">
      <alignment horizontal="left" vertical="center"/>
    </xf>
    <xf numFmtId="0" fontId="2" fillId="0" borderId="4" xfId="0" applyFont="1" applyFill="1" applyBorder="1" applyAlignment="1">
      <alignment horizontal="left" vertical="center"/>
    </xf>
    <xf numFmtId="15" fontId="1" fillId="3" borderId="4" xfId="0" applyNumberFormat="1" applyFont="1" applyFill="1" applyBorder="1" applyAlignment="1">
      <alignment horizontal="center" vertical="center"/>
    </xf>
    <xf numFmtId="0" fontId="3" fillId="9" borderId="7"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6" xfId="0" applyFont="1" applyFill="1" applyBorder="1" applyAlignment="1">
      <alignment horizontal="center" vertical="center" wrapText="1"/>
    </xf>
    <xf numFmtId="1" fontId="1" fillId="0" borderId="3" xfId="0" applyNumberFormat="1" applyFont="1" applyFill="1" applyBorder="1" applyAlignment="1">
      <alignment horizontal="center" vertical="center"/>
    </xf>
    <xf numFmtId="15" fontId="1" fillId="0" borderId="3" xfId="0" applyNumberFormat="1" applyFont="1" applyFill="1" applyBorder="1" applyAlignment="1">
      <alignment horizontal="center" vertical="center"/>
    </xf>
    <xf numFmtId="181" fontId="1" fillId="3" borderId="3" xfId="171" applyNumberFormat="1" applyFont="1" applyFill="1" applyBorder="1" applyAlignment="1">
      <alignment horizontal="center" vertical="center" wrapText="1"/>
    </xf>
    <xf numFmtId="181" fontId="1" fillId="0" borderId="3" xfId="171" applyNumberFormat="1" applyFont="1" applyFill="1" applyBorder="1" applyAlignment="1">
      <alignment horizontal="center" vertical="center"/>
    </xf>
    <xf numFmtId="0" fontId="0" fillId="0" borderId="15" xfId="0" applyBorder="1"/>
    <xf numFmtId="179" fontId="1" fillId="0" borderId="3" xfId="0" applyNumberFormat="1" applyFont="1" applyFill="1" applyBorder="1" applyAlignment="1">
      <alignment horizontal="center" vertical="center"/>
    </xf>
    <xf numFmtId="0" fontId="34" fillId="0" borderId="0" xfId="72" applyFont="1" applyFill="1" applyBorder="1" applyAlignment="1">
      <alignment wrapText="1"/>
    </xf>
    <xf numFmtId="179" fontId="2" fillId="0" borderId="3" xfId="0" applyNumberFormat="1" applyFont="1" applyFill="1" applyBorder="1" applyAlignment="1">
      <alignment horizontal="center" vertical="center"/>
    </xf>
    <xf numFmtId="0" fontId="3" fillId="2" borderId="7" xfId="0" applyFont="1" applyFill="1" applyBorder="1" applyAlignment="1">
      <alignment vertical="center" wrapText="1"/>
    </xf>
    <xf numFmtId="3" fontId="1" fillId="3" borderId="4"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0" fontId="1" fillId="4" borderId="3" xfId="0" applyFont="1" applyFill="1" applyBorder="1" applyAlignment="1">
      <alignment horizontal="center" vertical="center" wrapText="1"/>
    </xf>
    <xf numFmtId="0" fontId="8"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49" fontId="4" fillId="0" borderId="0" xfId="0" applyNumberFormat="1" applyFont="1"/>
    <xf numFmtId="0" fontId="4" fillId="0" borderId="0" xfId="0" applyFont="1" applyAlignment="1">
      <alignment vertical="center"/>
    </xf>
    <xf numFmtId="0" fontId="16" fillId="0" borderId="0" xfId="133" applyFont="1" applyFill="1" applyBorder="1" applyAlignment="1">
      <alignment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14" fillId="0" borderId="0" xfId="0" applyFont="1" applyFill="1" applyAlignment="1">
      <alignment vertical="center"/>
    </xf>
    <xf numFmtId="0" fontId="37" fillId="0" borderId="0" xfId="0" applyFont="1" applyFill="1" applyAlignment="1">
      <alignment horizontal="center" vertical="center"/>
    </xf>
    <xf numFmtId="178" fontId="4" fillId="4" borderId="3" xfId="0" applyNumberFormat="1" applyFont="1" applyFill="1" applyBorder="1" applyAlignment="1">
      <alignment horizontal="center" vertical="center" wrapText="1"/>
    </xf>
    <xf numFmtId="179" fontId="4"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wrapText="1"/>
    </xf>
    <xf numFmtId="15" fontId="4" fillId="4" borderId="4" xfId="0" applyNumberFormat="1" applyFont="1" applyFill="1" applyBorder="1" applyAlignment="1">
      <alignment horizontal="center" vertical="center"/>
    </xf>
    <xf numFmtId="0" fontId="4" fillId="0" borderId="0" xfId="0" applyFont="1" applyFill="1" applyBorder="1"/>
    <xf numFmtId="15" fontId="4" fillId="0" borderId="0" xfId="0" applyNumberFormat="1" applyFont="1" applyFill="1" applyBorder="1" applyAlignment="1">
      <alignment horizontal="center" vertical="center" wrapText="1"/>
    </xf>
    <xf numFmtId="15" fontId="4" fillId="0" borderId="4" xfId="0" applyNumberFormat="1" applyFont="1" applyFill="1" applyBorder="1" applyAlignment="1">
      <alignment horizontal="center" vertical="center" wrapText="1"/>
    </xf>
    <xf numFmtId="0" fontId="14" fillId="2" borderId="26" xfId="0" applyFont="1" applyFill="1" applyBorder="1" applyAlignment="1">
      <alignment horizontal="center" vertical="center" wrapText="1"/>
    </xf>
    <xf numFmtId="15" fontId="4" fillId="0" borderId="0" xfId="0" applyNumberFormat="1" applyFont="1" applyFill="1" applyBorder="1" applyAlignment="1">
      <alignment horizontal="center" vertical="center"/>
    </xf>
    <xf numFmtId="15" fontId="4" fillId="8" borderId="4" xfId="0" applyNumberFormat="1" applyFont="1" applyFill="1" applyBorder="1" applyAlignment="1">
      <alignment horizontal="center" vertical="center"/>
    </xf>
    <xf numFmtId="0" fontId="14" fillId="2" borderId="16"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4" fillId="10" borderId="15" xfId="0" applyFont="1" applyFill="1" applyBorder="1" applyAlignment="1">
      <alignment horizontal="center" vertical="center" wrapText="1"/>
    </xf>
    <xf numFmtId="1" fontId="4" fillId="0" borderId="3" xfId="0" applyNumberFormat="1" applyFont="1" applyFill="1" applyBorder="1" applyAlignment="1">
      <alignment horizontal="center" vertical="center"/>
    </xf>
    <xf numFmtId="3" fontId="4" fillId="3" borderId="4" xfId="0" applyNumberFormat="1" applyFont="1" applyFill="1" applyBorder="1" applyAlignment="1">
      <alignment horizontal="center" vertical="center" wrapText="1"/>
    </xf>
    <xf numFmtId="1" fontId="8" fillId="0" borderId="3" xfId="0" applyNumberFormat="1" applyFont="1" applyFill="1" applyBorder="1" applyAlignment="1">
      <alignment horizontal="center" vertical="center"/>
    </xf>
    <xf numFmtId="1" fontId="4" fillId="0" borderId="0" xfId="0" applyNumberFormat="1" applyFont="1" applyFill="1" applyBorder="1" applyAlignment="1">
      <alignment horizontal="center" vertical="center" wrapText="1"/>
    </xf>
    <xf numFmtId="0" fontId="4" fillId="0" borderId="0" xfId="5"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wrapText="1"/>
    </xf>
    <xf numFmtId="0" fontId="14" fillId="2" borderId="24" xfId="0" applyFont="1" applyFill="1" applyBorder="1" applyAlignment="1">
      <alignment horizontal="center" vertical="center"/>
    </xf>
    <xf numFmtId="0" fontId="14" fillId="2" borderId="25" xfId="0" applyFont="1" applyFill="1" applyBorder="1" applyAlignment="1">
      <alignment horizontal="center" vertical="center"/>
    </xf>
    <xf numFmtId="0" fontId="25" fillId="0" borderId="3" xfId="0" applyFont="1" applyFill="1" applyBorder="1" applyAlignment="1">
      <alignment horizontal="center" vertical="center"/>
    </xf>
    <xf numFmtId="0" fontId="25" fillId="0" borderId="3" xfId="0" applyFont="1" applyFill="1" applyBorder="1" applyAlignment="1">
      <alignment horizontal="center" vertical="center" wrapText="1"/>
    </xf>
    <xf numFmtId="0" fontId="31" fillId="0" borderId="0" xfId="166" applyFont="1" applyFill="1" applyBorder="1" applyAlignment="1" applyProtection="1">
      <alignment horizontal="center" vertical="center" wrapText="1"/>
    </xf>
    <xf numFmtId="0" fontId="18" fillId="0" borderId="0" xfId="166" applyFont="1" applyFill="1" applyBorder="1" applyAlignment="1" applyProtection="1">
      <alignment horizontal="center" vertical="center" wrapText="1"/>
    </xf>
    <xf numFmtId="0" fontId="4" fillId="0" borderId="29" xfId="0" applyFont="1" applyFill="1" applyBorder="1" applyAlignment="1">
      <alignment horizontal="center" vertical="center" wrapText="1"/>
    </xf>
    <xf numFmtId="0" fontId="18" fillId="0" borderId="29" xfId="166" applyFont="1" applyFill="1" applyBorder="1" applyAlignment="1" applyProtection="1">
      <alignment horizontal="center" vertical="center" wrapText="1"/>
    </xf>
    <xf numFmtId="3" fontId="4" fillId="0" borderId="0" xfId="0" applyNumberFormat="1" applyFont="1" applyFill="1"/>
    <xf numFmtId="0" fontId="18" fillId="0" borderId="0" xfId="166" applyFont="1" applyFill="1" applyAlignment="1" applyProtection="1"/>
    <xf numFmtId="0" fontId="14" fillId="0" borderId="0" xfId="0" applyFont="1" applyFill="1" applyBorder="1" applyAlignment="1">
      <alignment horizontal="center" vertical="center" wrapText="1"/>
    </xf>
    <xf numFmtId="0" fontId="14" fillId="0" borderId="0" xfId="0" applyFont="1" applyFill="1" applyBorder="1" applyAlignment="1">
      <alignment vertical="center"/>
    </xf>
    <xf numFmtId="0" fontId="14" fillId="2" borderId="30" xfId="0" applyFont="1" applyFill="1" applyBorder="1" applyAlignment="1">
      <alignment horizontal="center" vertical="center"/>
    </xf>
    <xf numFmtId="0" fontId="31" fillId="0" borderId="0" xfId="166" applyFont="1" applyFill="1" applyAlignment="1" applyProtection="1"/>
    <xf numFmtId="0" fontId="4" fillId="0" borderId="0" xfId="0" applyFont="1" applyFill="1" applyAlignment="1" applyProtection="1">
      <alignment horizontal="center" vertical="center" wrapText="1"/>
      <protection hidden="1"/>
    </xf>
    <xf numFmtId="0" fontId="8" fillId="0" borderId="0" xfId="0" applyFont="1" applyFill="1" applyAlignment="1" applyProtection="1">
      <alignment horizontal="center" vertical="center" wrapText="1"/>
      <protection hidden="1"/>
    </xf>
    <xf numFmtId="15" fontId="4" fillId="0" borderId="0" xfId="0" applyNumberFormat="1" applyFont="1" applyFill="1" applyBorder="1" applyAlignment="1">
      <alignment vertical="center"/>
    </xf>
    <xf numFmtId="0" fontId="4" fillId="0" borderId="0" xfId="0" applyFont="1" applyFill="1" applyBorder="1" applyAlignment="1">
      <alignment vertical="center"/>
    </xf>
    <xf numFmtId="0" fontId="38" fillId="0" borderId="20" xfId="0" applyFont="1" applyFill="1" applyBorder="1"/>
    <xf numFmtId="0" fontId="38" fillId="0" borderId="0" xfId="0" applyFont="1" applyFill="1" applyBorder="1"/>
    <xf numFmtId="0" fontId="8" fillId="0" borderId="0" xfId="0" applyFont="1" applyFill="1" applyBorder="1" applyAlignment="1">
      <alignment horizontal="center" vertical="center"/>
    </xf>
    <xf numFmtId="3" fontId="4" fillId="3" borderId="3" xfId="0" applyNumberFormat="1" applyFont="1" applyFill="1" applyBorder="1" applyAlignment="1">
      <alignment horizontal="center" vertical="center" wrapText="1"/>
    </xf>
    <xf numFmtId="49" fontId="4" fillId="0" borderId="0" xfId="0" applyNumberFormat="1" applyFont="1" applyFill="1"/>
    <xf numFmtId="0" fontId="39" fillId="0" borderId="0" xfId="0" applyFont="1"/>
    <xf numFmtId="0" fontId="19" fillId="11" borderId="0" xfId="0" applyFont="1" applyFill="1" applyAlignment="1">
      <alignment horizontal="center"/>
    </xf>
    <xf numFmtId="0" fontId="19" fillId="12" borderId="31" xfId="0" applyFont="1" applyFill="1" applyBorder="1"/>
    <xf numFmtId="0" fontId="19" fillId="12" borderId="32" xfId="0" applyFont="1" applyFill="1" applyBorder="1"/>
    <xf numFmtId="0" fontId="19" fillId="12" borderId="33" xfId="0" applyFont="1" applyFill="1" applyBorder="1"/>
    <xf numFmtId="0" fontId="19" fillId="12" borderId="34" xfId="0" applyFont="1" applyFill="1" applyBorder="1"/>
    <xf numFmtId="0" fontId="18" fillId="0" borderId="0" xfId="166" applyFont="1" applyAlignment="1" applyProtection="1"/>
    <xf numFmtId="179" fontId="1" fillId="0" borderId="3" xfId="0" applyNumberFormat="1" applyFont="1" applyFill="1" applyBorder="1" applyAlignment="1">
      <alignment horizontal="center" vertical="center" wrapText="1"/>
    </xf>
    <xf numFmtId="179" fontId="2" fillId="0" borderId="3" xfId="0" applyNumberFormat="1" applyFont="1" applyFill="1" applyBorder="1" applyAlignment="1">
      <alignment horizontal="center" vertical="center" wrapText="1"/>
    </xf>
    <xf numFmtId="0" fontId="1" fillId="0" borderId="35"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1" fillId="0" borderId="3" xfId="0" applyFont="1" applyFill="1" applyBorder="1" applyAlignment="1">
      <alignment vertical="center"/>
    </xf>
    <xf numFmtId="0" fontId="4" fillId="0" borderId="0" xfId="0" applyFont="1" applyAlignment="1">
      <alignment wrapText="1"/>
    </xf>
    <xf numFmtId="0" fontId="14" fillId="2" borderId="3" xfId="0" applyFont="1" applyFill="1" applyBorder="1" applyAlignment="1">
      <alignment horizontal="center" vertical="center" wrapText="1"/>
    </xf>
    <xf numFmtId="0" fontId="14" fillId="2" borderId="36" xfId="0" applyFont="1" applyFill="1" applyBorder="1" applyAlignment="1">
      <alignment horizontal="center" vertical="center" wrapText="1"/>
    </xf>
    <xf numFmtId="0" fontId="4" fillId="0" borderId="20" xfId="0" applyFont="1" applyFill="1" applyBorder="1"/>
    <xf numFmtId="0" fontId="4" fillId="7" borderId="15" xfId="0" applyFont="1" applyFill="1" applyBorder="1" applyAlignment="1">
      <alignment horizontal="center" vertical="center" wrapText="1"/>
    </xf>
    <xf numFmtId="0" fontId="4" fillId="7" borderId="15" xfId="0" applyFont="1" applyFill="1" applyBorder="1"/>
    <xf numFmtId="3" fontId="4" fillId="0" borderId="3" xfId="0" applyNumberFormat="1" applyFont="1" applyFill="1" applyBorder="1" applyAlignment="1">
      <alignment horizontal="center" vertical="center"/>
    </xf>
    <xf numFmtId="15" fontId="8" fillId="0" borderId="4" xfId="0" applyNumberFormat="1" applyFont="1" applyFill="1" applyBorder="1" applyAlignment="1">
      <alignment horizontal="center" vertical="center" wrapText="1"/>
    </xf>
    <xf numFmtId="3" fontId="8" fillId="0" borderId="3" xfId="0" applyNumberFormat="1" applyFont="1" applyFill="1" applyBorder="1" applyAlignment="1">
      <alignment horizontal="center" vertical="center"/>
    </xf>
    <xf numFmtId="0" fontId="14" fillId="0" borderId="0" xfId="0" applyFont="1" applyFill="1" applyAlignment="1">
      <alignment horizontal="center" vertical="center" wrapText="1"/>
    </xf>
    <xf numFmtId="0" fontId="4" fillId="0" borderId="15" xfId="0" applyFont="1" applyBorder="1"/>
    <xf numFmtId="0" fontId="4" fillId="0" borderId="0" xfId="0" applyFont="1" applyFill="1" applyAlignment="1">
      <alignment wrapText="1"/>
    </xf>
    <xf numFmtId="3" fontId="20" fillId="0" borderId="3" xfId="166" applyNumberFormat="1" applyFont="1" applyFill="1" applyBorder="1" applyAlignment="1" applyProtection="1">
      <alignment horizontal="center" vertical="center" wrapText="1"/>
    </xf>
    <xf numFmtId="0" fontId="36" fillId="0" borderId="3" xfId="0" applyFont="1" applyFill="1" applyBorder="1" applyAlignment="1">
      <alignment horizontal="center" vertical="center" wrapText="1"/>
    </xf>
    <xf numFmtId="49" fontId="14" fillId="2" borderId="1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4" fillId="0" borderId="21" xfId="0" applyNumberFormat="1" applyFont="1" applyFill="1" applyBorder="1" applyAlignment="1">
      <alignment horizontal="center" vertical="center" wrapText="1"/>
    </xf>
    <xf numFmtId="49" fontId="8" fillId="0" borderId="21" xfId="0" applyNumberFormat="1" applyFont="1" applyFill="1" applyBorder="1" applyAlignment="1">
      <alignment horizontal="center" vertical="center" wrapText="1"/>
    </xf>
    <xf numFmtId="49" fontId="14" fillId="2" borderId="1" xfId="0" applyNumberFormat="1" applyFont="1" applyFill="1" applyBorder="1" applyAlignment="1">
      <alignment horizontal="center" vertical="center" wrapText="1"/>
    </xf>
    <xf numFmtId="49" fontId="14" fillId="2" borderId="15" xfId="0" applyNumberFormat="1" applyFont="1" applyFill="1" applyBorder="1" applyAlignment="1">
      <alignment horizontal="center" vertical="center" wrapText="1"/>
    </xf>
    <xf numFmtId="0" fontId="4" fillId="0" borderId="21" xfId="0" applyNumberFormat="1" applyFont="1" applyFill="1" applyBorder="1" applyAlignment="1">
      <alignment horizontal="center" vertical="center" wrapText="1"/>
    </xf>
    <xf numFmtId="49" fontId="31" fillId="0" borderId="3" xfId="166" applyNumberFormat="1" applyFont="1" applyFill="1" applyBorder="1" applyAlignment="1" applyProtection="1">
      <alignment horizontal="center" vertical="center" wrapText="1"/>
    </xf>
    <xf numFmtId="49" fontId="31" fillId="0" borderId="21" xfId="166" applyNumberFormat="1" applyFont="1" applyFill="1" applyBorder="1" applyAlignment="1" applyProtection="1">
      <alignment horizontal="center" vertical="center" wrapText="1"/>
    </xf>
    <xf numFmtId="0" fontId="8" fillId="0" borderId="21" xfId="0" applyNumberFormat="1" applyFont="1" applyFill="1" applyBorder="1" applyAlignment="1">
      <alignment horizontal="center" vertical="center" wrapText="1"/>
    </xf>
    <xf numFmtId="0" fontId="4" fillId="0" borderId="3" xfId="43" applyFont="1" applyFill="1" applyBorder="1" applyAlignment="1">
      <alignment horizontal="center" vertical="center"/>
    </xf>
    <xf numFmtId="0" fontId="4" fillId="0" borderId="3" xfId="43" applyFont="1" applyFill="1" applyBorder="1" applyAlignment="1">
      <alignment horizontal="justify" vertical="center"/>
    </xf>
    <xf numFmtId="0" fontId="38" fillId="0" borderId="0" xfId="0" applyFont="1" applyFill="1" applyBorder="1" applyAlignment="1">
      <alignment horizontal="center" vertical="center"/>
    </xf>
    <xf numFmtId="0" fontId="19" fillId="0" borderId="0" xfId="74" applyFont="1" applyFill="1" applyBorder="1" applyAlignment="1">
      <alignment wrapText="1"/>
    </xf>
    <xf numFmtId="0" fontId="19" fillId="0" borderId="0" xfId="135" applyFont="1" applyFill="1" applyBorder="1" applyAlignment="1">
      <alignment wrapText="1"/>
    </xf>
    <xf numFmtId="0" fontId="4" fillId="0" borderId="3" xfId="43" applyFont="1" applyFill="1" applyBorder="1" applyAlignment="1">
      <alignment horizontal="center" vertical="center" wrapText="1"/>
    </xf>
    <xf numFmtId="15" fontId="4" fillId="0" borderId="3" xfId="43" applyNumberFormat="1" applyFont="1" applyFill="1" applyBorder="1" applyAlignment="1">
      <alignment vertical="center"/>
    </xf>
    <xf numFmtId="15" fontId="4" fillId="6" borderId="3" xfId="43" applyNumberFormat="1" applyFont="1" applyFill="1" applyBorder="1" applyAlignment="1">
      <alignment vertical="center"/>
    </xf>
    <xf numFmtId="3" fontId="4" fillId="3" borderId="3" xfId="43" applyNumberFormat="1" applyFont="1" applyFill="1" applyBorder="1" applyAlignment="1">
      <alignment horizontal="center" vertical="center"/>
    </xf>
    <xf numFmtId="3" fontId="4" fillId="0" borderId="0" xfId="0" applyNumberFormat="1" applyFont="1" applyFill="1" applyBorder="1" applyAlignment="1">
      <alignment horizontal="center" vertical="center"/>
    </xf>
    <xf numFmtId="58" fontId="8" fillId="0" borderId="3" xfId="0" applyNumberFormat="1" applyFont="1" applyFill="1" applyBorder="1" applyAlignment="1">
      <alignment vertical="center"/>
    </xf>
    <xf numFmtId="0" fontId="4" fillId="0" borderId="3" xfId="106" applyFont="1" applyFill="1" applyBorder="1" applyAlignment="1">
      <alignment horizontal="center" vertical="center" wrapText="1"/>
    </xf>
    <xf numFmtId="0" fontId="8" fillId="0" borderId="3" xfId="106" applyFont="1" applyFill="1" applyBorder="1" applyAlignment="1">
      <alignment horizontal="center" vertical="center" wrapText="1"/>
    </xf>
    <xf numFmtId="0" fontId="8" fillId="13" borderId="3" xfId="106" applyFont="1" applyFill="1" applyBorder="1" applyAlignment="1">
      <alignment horizontal="center" vertical="center" wrapText="1"/>
    </xf>
    <xf numFmtId="0" fontId="4" fillId="13" borderId="3" xfId="106" applyFont="1" applyFill="1" applyBorder="1" applyAlignment="1">
      <alignment horizontal="center" vertical="center" wrapText="1"/>
    </xf>
    <xf numFmtId="0" fontId="34" fillId="0" borderId="0" xfId="88" applyFont="1" applyFill="1" applyBorder="1" applyAlignment="1">
      <alignment wrapText="1"/>
    </xf>
    <xf numFmtId="0" fontId="4" fillId="0" borderId="37" xfId="0" applyFont="1" applyFill="1" applyBorder="1"/>
    <xf numFmtId="0" fontId="40" fillId="0" borderId="0" xfId="0" applyFont="1" applyFill="1"/>
    <xf numFmtId="178" fontId="4" fillId="0" borderId="4" xfId="0" applyNumberFormat="1" applyFont="1" applyFill="1" applyBorder="1" applyAlignment="1">
      <alignment horizontal="center" vertical="center"/>
    </xf>
    <xf numFmtId="178" fontId="4" fillId="0" borderId="3" xfId="0" applyNumberFormat="1" applyFont="1" applyFill="1" applyBorder="1" applyAlignment="1">
      <alignment horizontal="center" vertical="center"/>
    </xf>
    <xf numFmtId="15" fontId="4" fillId="0" borderId="3" xfId="99" applyNumberFormat="1" applyFont="1" applyFill="1" applyBorder="1" applyAlignment="1">
      <alignment horizontal="center" vertical="center" wrapText="1"/>
    </xf>
    <xf numFmtId="15" fontId="8" fillId="0" borderId="3" xfId="99" applyNumberFormat="1" applyFont="1" applyFill="1" applyBorder="1" applyAlignment="1">
      <alignment horizontal="center" vertical="center" wrapText="1"/>
    </xf>
    <xf numFmtId="178" fontId="8" fillId="0" borderId="4" xfId="0" applyNumberFormat="1" applyFont="1" applyFill="1" applyBorder="1" applyAlignment="1">
      <alignment horizontal="center" vertical="center"/>
    </xf>
    <xf numFmtId="15" fontId="4" fillId="5" borderId="4" xfId="0" applyNumberFormat="1" applyFont="1" applyFill="1" applyBorder="1" applyAlignment="1">
      <alignment horizontal="center" vertical="center" wrapText="1"/>
    </xf>
    <xf numFmtId="15" fontId="4" fillId="3" borderId="4" xfId="0" applyNumberFormat="1" applyFont="1" applyFill="1" applyBorder="1" applyAlignment="1">
      <alignment horizontal="center" vertical="center" wrapText="1"/>
    </xf>
    <xf numFmtId="15" fontId="4" fillId="0" borderId="3" xfId="106" applyNumberFormat="1" applyFont="1" applyFill="1" applyBorder="1" applyAlignment="1">
      <alignment horizontal="center" vertical="center" wrapText="1"/>
    </xf>
    <xf numFmtId="15" fontId="8" fillId="0" borderId="3" xfId="106" applyNumberFormat="1" applyFont="1" applyFill="1" applyBorder="1" applyAlignment="1">
      <alignment horizontal="center" vertical="center" wrapText="1"/>
    </xf>
    <xf numFmtId="0" fontId="14" fillId="5" borderId="7"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4" fillId="0" borderId="3" xfId="116" applyFont="1" applyFill="1" applyBorder="1" applyAlignment="1">
      <alignment horizontal="center" vertical="center" wrapText="1"/>
    </xf>
    <xf numFmtId="0" fontId="8" fillId="0" borderId="3" xfId="116" applyFont="1" applyFill="1" applyBorder="1" applyAlignment="1">
      <alignment horizontal="center" vertical="center" wrapText="1"/>
    </xf>
    <xf numFmtId="0" fontId="34" fillId="0" borderId="0" xfId="75" applyFont="1" applyFill="1" applyBorder="1" applyAlignment="1">
      <alignment wrapText="1"/>
    </xf>
    <xf numFmtId="1" fontId="4" fillId="0" borderId="3" xfId="0" applyNumberFormat="1" applyFont="1" applyFill="1" applyBorder="1" applyAlignment="1">
      <alignment horizontal="center" vertical="center" wrapText="1"/>
    </xf>
    <xf numFmtId="1" fontId="8" fillId="0" borderId="3" xfId="0" applyNumberFormat="1" applyFont="1" applyFill="1" applyBorder="1" applyAlignment="1">
      <alignment horizontal="center" vertical="center" wrapText="1"/>
    </xf>
    <xf numFmtId="37" fontId="8" fillId="0" borderId="3" xfId="171" applyNumberFormat="1" applyFont="1" applyFill="1" applyBorder="1" applyAlignment="1">
      <alignment horizontal="center" vertical="center" wrapText="1"/>
    </xf>
    <xf numFmtId="37" fontId="4" fillId="0" borderId="3" xfId="171" applyNumberFormat="1" applyFont="1" applyFill="1" applyBorder="1" applyAlignment="1">
      <alignment horizontal="center" vertical="center" wrapText="1"/>
    </xf>
    <xf numFmtId="3" fontId="14" fillId="0" borderId="0" xfId="0" applyNumberFormat="1" applyFont="1" applyFill="1" applyAlignment="1">
      <alignment horizontal="right"/>
    </xf>
    <xf numFmtId="3" fontId="4" fillId="0" borderId="0" xfId="0" applyNumberFormat="1" applyFont="1" applyFill="1" applyAlignment="1">
      <alignment horizontal="right"/>
    </xf>
    <xf numFmtId="49" fontId="14" fillId="0" borderId="0" xfId="0" applyNumberFormat="1" applyFont="1" applyFill="1" applyAlignment="1">
      <alignment vertical="center"/>
    </xf>
    <xf numFmtId="49" fontId="14" fillId="2" borderId="9"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wrapText="1"/>
    </xf>
    <xf numFmtId="49" fontId="14" fillId="0" borderId="0" xfId="0" applyNumberFormat="1" applyFont="1" applyFill="1" applyAlignment="1">
      <alignment horizontal="right"/>
    </xf>
    <xf numFmtId="49" fontId="4" fillId="4" borderId="21" xfId="0" applyNumberFormat="1" applyFont="1" applyFill="1" applyBorder="1" applyAlignment="1">
      <alignment horizontal="center" vertical="center" wrapText="1"/>
    </xf>
    <xf numFmtId="15" fontId="4" fillId="0" borderId="0" xfId="0" applyNumberFormat="1" applyFont="1" applyFill="1"/>
    <xf numFmtId="15" fontId="4" fillId="0" borderId="0" xfId="0" applyNumberFormat="1" applyFont="1" applyFill="1" applyAlignment="1">
      <alignment horizontal="center" vertical="center" wrapText="1"/>
    </xf>
    <xf numFmtId="0" fontId="8" fillId="0" borderId="0" xfId="0" applyFont="1" applyFill="1" applyAlignment="1" applyProtection="1">
      <alignment vertical="center" wrapText="1"/>
      <protection hidden="1"/>
    </xf>
    <xf numFmtId="15" fontId="8" fillId="0" borderId="0" xfId="0" applyNumberFormat="1" applyFont="1" applyFill="1" applyAlignment="1">
      <alignment vertical="center"/>
    </xf>
    <xf numFmtId="1" fontId="4" fillId="0" borderId="0" xfId="0" applyNumberFormat="1" applyFont="1" applyFill="1" applyAlignment="1">
      <alignment horizontal="center" vertical="center"/>
    </xf>
    <xf numFmtId="1" fontId="4" fillId="0" borderId="0" xfId="0" applyNumberFormat="1" applyFont="1" applyFill="1" applyAlignment="1">
      <alignment horizontal="center" vertical="center" wrapText="1"/>
    </xf>
    <xf numFmtId="15" fontId="8" fillId="0" borderId="0" xfId="0" applyNumberFormat="1" applyFont="1" applyFill="1" applyBorder="1" applyAlignment="1">
      <alignment horizontal="center" vertical="center" wrapText="1"/>
    </xf>
    <xf numFmtId="1" fontId="8" fillId="0" borderId="0" xfId="0" applyNumberFormat="1" applyFont="1" applyFill="1" applyAlignment="1">
      <alignment horizontal="center" vertical="center"/>
    </xf>
    <xf numFmtId="15" fontId="8" fillId="4" borderId="3" xfId="106" applyNumberFormat="1" applyFont="1" applyFill="1" applyBorder="1" applyAlignment="1">
      <alignment horizontal="center" vertical="center" wrapText="1"/>
    </xf>
    <xf numFmtId="15" fontId="8" fillId="0" borderId="0" xfId="0" applyNumberFormat="1" applyFont="1" applyFill="1" applyAlignment="1">
      <alignment horizontal="center" vertical="center" wrapText="1"/>
    </xf>
    <xf numFmtId="1" fontId="8" fillId="0" borderId="0" xfId="0" applyNumberFormat="1" applyFont="1" applyFill="1" applyAlignment="1">
      <alignment horizontal="center" vertical="center" wrapText="1"/>
    </xf>
    <xf numFmtId="0" fontId="0" fillId="0" borderId="0" xfId="0" applyFont="1" applyFill="1" applyAlignment="1"/>
    <xf numFmtId="3" fontId="4" fillId="0" borderId="4" xfId="0" applyNumberFormat="1" applyFont="1" applyFill="1" applyBorder="1" applyAlignment="1">
      <alignment horizontal="center" vertical="center"/>
    </xf>
    <xf numFmtId="49" fontId="4" fillId="0" borderId="21" xfId="0" applyNumberFormat="1" applyFont="1" applyFill="1" applyBorder="1" applyAlignment="1">
      <alignment horizontal="center" vertical="center"/>
    </xf>
    <xf numFmtId="0" fontId="11" fillId="0" borderId="3" xfId="166" applyFont="1" applyFill="1" applyBorder="1" applyAlignment="1" applyProtection="1">
      <alignment horizontal="center" vertical="center"/>
    </xf>
    <xf numFmtId="0" fontId="13" fillId="0" borderId="0" xfId="0" applyFont="1"/>
    <xf numFmtId="0" fontId="13" fillId="2" borderId="5" xfId="0" applyFont="1" applyFill="1" applyBorder="1" applyAlignment="1">
      <alignment vertical="center"/>
    </xf>
    <xf numFmtId="0" fontId="13" fillId="2" borderId="20" xfId="0" applyFont="1" applyFill="1" applyBorder="1"/>
    <xf numFmtId="0" fontId="14" fillId="2" borderId="7" xfId="0" applyFont="1" applyFill="1" applyBorder="1" applyAlignment="1">
      <alignment horizontal="center" vertical="center"/>
    </xf>
    <xf numFmtId="0" fontId="14" fillId="2" borderId="2" xfId="0" applyFont="1" applyFill="1" applyBorder="1" applyAlignment="1">
      <alignment horizontal="center" vertical="center" wrapText="1"/>
    </xf>
    <xf numFmtId="178" fontId="4" fillId="0" borderId="21" xfId="0" applyNumberFormat="1" applyFont="1" applyFill="1" applyBorder="1" applyAlignment="1">
      <alignment horizontal="center" vertical="center" wrapText="1"/>
    </xf>
    <xf numFmtId="0" fontId="14" fillId="2" borderId="8" xfId="0" applyFont="1" applyFill="1" applyBorder="1" applyAlignment="1">
      <alignment horizontal="center" vertical="center"/>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14" fillId="9" borderId="15" xfId="0" applyFont="1" applyFill="1" applyBorder="1" applyAlignment="1">
      <alignment horizontal="center" vertical="center" wrapText="1"/>
    </xf>
    <xf numFmtId="3" fontId="8" fillId="0" borderId="4"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wrapText="1"/>
    </xf>
    <xf numFmtId="178" fontId="8" fillId="0" borderId="21" xfId="0" applyNumberFormat="1" applyFont="1" applyFill="1" applyBorder="1" applyAlignment="1">
      <alignment horizontal="center" vertical="center" wrapText="1"/>
    </xf>
    <xf numFmtId="0" fontId="4" fillId="0" borderId="0" xfId="56" applyFont="1" applyFill="1" applyBorder="1" applyAlignment="1">
      <alignment vertical="center"/>
    </xf>
    <xf numFmtId="0" fontId="8" fillId="0" borderId="3" xfId="0" applyFont="1" applyFill="1" applyBorder="1" applyAlignment="1">
      <alignment horizontal="justify" vertical="center"/>
    </xf>
    <xf numFmtId="0" fontId="8" fillId="0" borderId="3" xfId="70" applyFont="1" applyFill="1" applyBorder="1" applyAlignment="1">
      <alignment horizontal="center" vertical="center" wrapText="1"/>
    </xf>
    <xf numFmtId="15" fontId="8" fillId="0" borderId="3" xfId="0" applyNumberFormat="1" applyFont="1" applyFill="1" applyBorder="1" applyAlignment="1">
      <alignment vertical="center"/>
    </xf>
    <xf numFmtId="15" fontId="8" fillId="0" borderId="3" xfId="70" applyNumberFormat="1" applyFont="1" applyFill="1" applyBorder="1" applyAlignment="1">
      <alignment horizontal="center" vertical="center" wrapText="1"/>
    </xf>
    <xf numFmtId="37" fontId="8" fillId="0" borderId="3" xfId="171" applyNumberFormat="1" applyFont="1" applyFill="1" applyBorder="1" applyAlignment="1">
      <alignment vertical="center"/>
    </xf>
    <xf numFmtId="3" fontId="8" fillId="0" borderId="3" xfId="7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49" fontId="18" fillId="0" borderId="3" xfId="166" applyNumberFormat="1" applyFont="1" applyFill="1" applyBorder="1" applyAlignment="1" applyProtection="1">
      <alignment horizontal="center" vertical="center" wrapText="1"/>
    </xf>
    <xf numFmtId="49" fontId="11" fillId="0" borderId="0" xfId="166" applyNumberFormat="1" applyFill="1" applyBorder="1" applyAlignment="1" applyProtection="1">
      <alignment horizontal="center" vertical="center" wrapText="1"/>
    </xf>
    <xf numFmtId="0" fontId="41" fillId="0" borderId="0" xfId="0" applyFont="1" applyFill="1" applyAlignment="1">
      <alignment vertical="center"/>
    </xf>
    <xf numFmtId="181" fontId="4" fillId="0" borderId="0" xfId="171" applyNumberFormat="1" applyFont="1" applyFill="1" applyAlignment="1">
      <alignment vertical="center"/>
    </xf>
    <xf numFmtId="181" fontId="42" fillId="0" borderId="0" xfId="171" applyNumberFormat="1" applyFont="1" applyFill="1" applyAlignment="1">
      <alignment vertical="center"/>
    </xf>
    <xf numFmtId="49" fontId="4" fillId="0" borderId="0" xfId="0" applyNumberFormat="1" applyFont="1" applyFill="1" applyAlignment="1">
      <alignment vertical="center" wrapText="1"/>
    </xf>
    <xf numFmtId="0" fontId="19" fillId="0" borderId="3" xfId="59" applyFont="1" applyFill="1" applyBorder="1" applyAlignment="1">
      <alignment vertical="center" wrapText="1"/>
    </xf>
    <xf numFmtId="0" fontId="19" fillId="0" borderId="3" xfId="167" applyFont="1" applyFill="1" applyBorder="1" applyAlignment="1">
      <alignment horizontal="center" vertical="center" wrapText="1"/>
    </xf>
    <xf numFmtId="0" fontId="4" fillId="0" borderId="38" xfId="0" applyFont="1" applyBorder="1" applyAlignment="1">
      <alignment horizontal="center" vertical="center"/>
    </xf>
    <xf numFmtId="0" fontId="19" fillId="0" borderId="3" xfId="59" applyFont="1" applyFill="1" applyBorder="1" applyAlignment="1">
      <alignment horizontal="center" vertical="center" wrapText="1"/>
    </xf>
    <xf numFmtId="0" fontId="4" fillId="4" borderId="3" xfId="0" applyFont="1" applyFill="1" applyBorder="1" applyAlignment="1">
      <alignment horizontal="center" vertical="center"/>
    </xf>
    <xf numFmtId="0" fontId="19" fillId="0" borderId="3" xfId="167" applyFont="1" applyFill="1" applyBorder="1" applyAlignment="1">
      <alignment vertical="center" wrapText="1"/>
    </xf>
    <xf numFmtId="15" fontId="19" fillId="0" borderId="3" xfId="59" applyNumberFormat="1" applyFont="1" applyFill="1" applyBorder="1" applyAlignment="1">
      <alignment vertical="center" wrapText="1"/>
    </xf>
    <xf numFmtId="15" fontId="19" fillId="0" borderId="3" xfId="59" applyNumberFormat="1" applyFont="1" applyFill="1" applyBorder="1" applyAlignment="1">
      <alignment horizontal="center" vertical="center" wrapText="1"/>
    </xf>
    <xf numFmtId="15" fontId="19" fillId="0" borderId="3" xfId="167"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181" fontId="14" fillId="0" borderId="0" xfId="171" applyNumberFormat="1" applyFont="1" applyFill="1" applyAlignment="1">
      <alignment horizontal="center" vertical="center"/>
    </xf>
    <xf numFmtId="181" fontId="14" fillId="2" borderId="1" xfId="171"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181" fontId="4" fillId="0" borderId="38" xfId="171" applyNumberFormat="1" applyFont="1" applyBorder="1" applyAlignment="1">
      <alignment horizontal="center" vertical="center" wrapText="1"/>
    </xf>
    <xf numFmtId="181" fontId="19" fillId="0" borderId="3" xfId="171" applyNumberFormat="1" applyFont="1" applyFill="1" applyBorder="1" applyAlignment="1">
      <alignment vertical="center" wrapText="1"/>
    </xf>
    <xf numFmtId="181" fontId="43" fillId="0" borderId="0" xfId="171" applyNumberFormat="1" applyFont="1" applyFill="1" applyAlignment="1">
      <alignment horizontal="center" vertical="center"/>
    </xf>
    <xf numFmtId="181" fontId="43" fillId="2" borderId="1" xfId="171" applyNumberFormat="1" applyFont="1" applyFill="1" applyBorder="1" applyAlignment="1">
      <alignment horizontal="center" vertical="center" wrapText="1"/>
    </xf>
    <xf numFmtId="181" fontId="42" fillId="0" borderId="38" xfId="171" applyNumberFormat="1" applyFont="1" applyBorder="1" applyAlignment="1">
      <alignment horizontal="center" vertical="center" wrapText="1"/>
    </xf>
    <xf numFmtId="0" fontId="4" fillId="0" borderId="38" xfId="0" applyFont="1" applyBorder="1" applyAlignment="1">
      <alignment horizontal="center" vertical="center" wrapText="1"/>
    </xf>
    <xf numFmtId="0" fontId="14" fillId="2" borderId="11" xfId="0" applyFont="1" applyFill="1" applyBorder="1" applyAlignment="1">
      <alignment horizontal="center" vertical="center"/>
    </xf>
    <xf numFmtId="181" fontId="42" fillId="14" borderId="3" xfId="171" applyNumberFormat="1" applyFont="1" applyFill="1" applyBorder="1" applyAlignment="1">
      <alignment vertical="center" wrapText="1"/>
    </xf>
    <xf numFmtId="0" fontId="19" fillId="0" borderId="3" xfId="167" applyFont="1" applyFill="1" applyBorder="1" applyAlignment="1">
      <alignment horizontal="left" vertical="center" wrapText="1"/>
    </xf>
    <xf numFmtId="49" fontId="14" fillId="0" borderId="0" xfId="0" applyNumberFormat="1" applyFont="1" applyFill="1" applyAlignment="1">
      <alignment horizontal="center" vertical="center"/>
    </xf>
    <xf numFmtId="49" fontId="14" fillId="2" borderId="12" xfId="0" applyNumberFormat="1" applyFont="1" applyFill="1" applyBorder="1" applyAlignment="1">
      <alignment horizontal="center" vertical="center"/>
    </xf>
    <xf numFmtId="49" fontId="14" fillId="2" borderId="14" xfId="0" applyNumberFormat="1" applyFont="1" applyFill="1" applyBorder="1" applyAlignment="1">
      <alignment horizontal="center" vertical="center"/>
    </xf>
    <xf numFmtId="49" fontId="4" fillId="0" borderId="3" xfId="0" applyNumberFormat="1" applyFont="1" applyFill="1" applyBorder="1" applyAlignment="1">
      <alignment vertical="center" wrapText="1"/>
    </xf>
    <xf numFmtId="49" fontId="4" fillId="0" borderId="0" xfId="0" applyNumberFormat="1" applyFont="1" applyFill="1" applyAlignment="1">
      <alignment horizontal="center" vertical="center" wrapText="1"/>
    </xf>
    <xf numFmtId="49" fontId="14" fillId="2" borderId="13" xfId="0" applyNumberFormat="1" applyFont="1" applyFill="1" applyBorder="1" applyAlignment="1">
      <alignment horizontal="center" vertical="center" wrapText="1"/>
    </xf>
    <xf numFmtId="0" fontId="14" fillId="2" borderId="24" xfId="0" applyFont="1" applyFill="1" applyBorder="1" applyAlignment="1">
      <alignment horizontal="center" vertical="center" wrapText="1"/>
    </xf>
    <xf numFmtId="49" fontId="14" fillId="2" borderId="38" xfId="0" applyNumberFormat="1" applyFont="1" applyFill="1" applyBorder="1" applyAlignment="1">
      <alignment horizontal="center" vertical="center"/>
    </xf>
    <xf numFmtId="49" fontId="14" fillId="2" borderId="14" xfId="0" applyNumberFormat="1" applyFont="1" applyFill="1" applyBorder="1" applyAlignment="1">
      <alignment horizontal="center" vertical="center" wrapText="1"/>
    </xf>
    <xf numFmtId="0" fontId="14" fillId="2" borderId="30" xfId="0" applyFont="1" applyFill="1" applyBorder="1" applyAlignment="1">
      <alignment horizontal="center" vertical="center" wrapText="1"/>
    </xf>
    <xf numFmtId="0" fontId="14" fillId="2" borderId="2" xfId="0" applyFont="1" applyFill="1" applyBorder="1" applyAlignment="1">
      <alignment horizontal="center" vertical="center"/>
    </xf>
    <xf numFmtId="49" fontId="4" fillId="4" borderId="3" xfId="0" applyNumberFormat="1" applyFont="1" applyFill="1" applyBorder="1" applyAlignment="1">
      <alignment vertical="center" wrapText="1"/>
    </xf>
    <xf numFmtId="0" fontId="44" fillId="0" borderId="39" xfId="4" applyFont="1" applyFill="1" applyBorder="1" applyAlignment="1">
      <alignment horizontal="center" vertical="center"/>
    </xf>
    <xf numFmtId="0" fontId="4" fillId="0" borderId="3" xfId="59" applyFont="1" applyFill="1" applyBorder="1" applyAlignment="1">
      <alignment vertical="center" wrapText="1"/>
    </xf>
    <xf numFmtId="176" fontId="4" fillId="0" borderId="3" xfId="167" applyNumberFormat="1" applyFont="1" applyFill="1" applyBorder="1" applyAlignment="1">
      <alignment horizontal="center" vertical="center" wrapText="1"/>
    </xf>
    <xf numFmtId="0" fontId="41" fillId="0" borderId="3" xfId="0" applyFont="1" applyFill="1" applyBorder="1" applyAlignment="1">
      <alignment horizontal="center" vertical="center"/>
    </xf>
    <xf numFmtId="0" fontId="41" fillId="0" borderId="3" xfId="59" applyFont="1" applyFill="1" applyBorder="1" applyAlignment="1">
      <alignment vertical="center" wrapText="1"/>
    </xf>
    <xf numFmtId="176" fontId="41" fillId="0" borderId="3" xfId="167" applyNumberFormat="1" applyFont="1" applyFill="1" applyBorder="1" applyAlignment="1">
      <alignment horizontal="center" vertical="center" wrapText="1"/>
    </xf>
    <xf numFmtId="176" fontId="19" fillId="0" borderId="3" xfId="167" applyNumberFormat="1" applyFont="1" applyFill="1" applyBorder="1" applyAlignment="1">
      <alignment horizontal="center" vertical="center" wrapText="1"/>
    </xf>
    <xf numFmtId="0" fontId="4" fillId="0" borderId="3" xfId="167" applyFont="1" applyFill="1" applyBorder="1" applyAlignment="1">
      <alignment vertical="center" wrapText="1"/>
    </xf>
    <xf numFmtId="0" fontId="41" fillId="0" borderId="3" xfId="59" applyFont="1" applyFill="1" applyBorder="1" applyAlignment="1">
      <alignment horizontal="center" vertical="center" wrapText="1"/>
    </xf>
    <xf numFmtId="0" fontId="41" fillId="0" borderId="3" xfId="0" applyFont="1" applyFill="1" applyBorder="1" applyAlignment="1">
      <alignment horizontal="center" vertical="center" wrapText="1"/>
    </xf>
    <xf numFmtId="0" fontId="41" fillId="0" borderId="3" xfId="167" applyFont="1" applyFill="1" applyBorder="1" applyAlignment="1">
      <alignment vertical="center" wrapText="1"/>
    </xf>
    <xf numFmtId="15" fontId="4" fillId="0" borderId="3" xfId="167" applyNumberFormat="1" applyFont="1" applyFill="1" applyBorder="1" applyAlignment="1">
      <alignment horizontal="center" vertical="center" wrapText="1"/>
    </xf>
    <xf numFmtId="15" fontId="4" fillId="0" borderId="3" xfId="59" applyNumberFormat="1" applyFont="1" applyFill="1" applyBorder="1" applyAlignment="1">
      <alignment horizontal="center" vertical="center" wrapText="1"/>
    </xf>
    <xf numFmtId="15" fontId="41" fillId="0" borderId="3" xfId="167" applyNumberFormat="1" applyFont="1" applyFill="1" applyBorder="1" applyAlignment="1">
      <alignment horizontal="center" vertical="center" wrapText="1"/>
    </xf>
    <xf numFmtId="15" fontId="41" fillId="0" borderId="3" xfId="59" applyNumberFormat="1" applyFont="1" applyFill="1" applyBorder="1" applyAlignment="1">
      <alignment horizontal="center" vertical="center" wrapText="1"/>
    </xf>
    <xf numFmtId="181" fontId="4" fillId="0" borderId="3" xfId="171" applyNumberFormat="1" applyFont="1" applyFill="1" applyBorder="1" applyAlignment="1">
      <alignment horizontal="center" vertical="center" wrapText="1"/>
    </xf>
    <xf numFmtId="15" fontId="41" fillId="0" borderId="3" xfId="0" applyNumberFormat="1" applyFont="1" applyFill="1" applyBorder="1" applyAlignment="1">
      <alignment horizontal="center" vertical="center"/>
    </xf>
    <xf numFmtId="181" fontId="41" fillId="0" borderId="3" xfId="171" applyNumberFormat="1" applyFont="1" applyFill="1" applyBorder="1" applyAlignment="1">
      <alignment vertical="center"/>
    </xf>
    <xf numFmtId="181" fontId="19" fillId="0" borderId="3" xfId="171" applyNumberFormat="1" applyFont="1" applyFill="1" applyBorder="1" applyAlignment="1">
      <alignment horizontal="center" vertical="center" wrapText="1"/>
    </xf>
    <xf numFmtId="1" fontId="41" fillId="0" borderId="3" xfId="0" applyNumberFormat="1" applyFont="1" applyFill="1" applyBorder="1" applyAlignment="1">
      <alignment horizontal="center" vertical="center"/>
    </xf>
    <xf numFmtId="181" fontId="4" fillId="0" borderId="3" xfId="171" applyNumberFormat="1" applyFont="1" applyFill="1" applyBorder="1" applyAlignment="1">
      <alignment vertical="center" wrapText="1"/>
    </xf>
    <xf numFmtId="181" fontId="41" fillId="0" borderId="3" xfId="171" applyNumberFormat="1" applyFont="1" applyFill="1" applyBorder="1" applyAlignment="1">
      <alignment vertical="center" wrapText="1"/>
    </xf>
    <xf numFmtId="0" fontId="4" fillId="0" borderId="3" xfId="167" applyFont="1" applyFill="1" applyBorder="1" applyAlignment="1">
      <alignment horizontal="left" vertical="center" wrapText="1"/>
    </xf>
    <xf numFmtId="0" fontId="41" fillId="0" borderId="3" xfId="167" applyFont="1" applyFill="1" applyBorder="1" applyAlignment="1">
      <alignment horizontal="left" vertical="center" wrapText="1"/>
    </xf>
    <xf numFmtId="49" fontId="41" fillId="0" borderId="3" xfId="0" applyNumberFormat="1" applyFont="1" applyFill="1" applyBorder="1" applyAlignment="1">
      <alignment horizontal="center" vertical="center" wrapText="1"/>
    </xf>
    <xf numFmtId="49" fontId="41" fillId="0" borderId="3" xfId="0" applyNumberFormat="1" applyFont="1" applyFill="1" applyBorder="1" applyAlignment="1">
      <alignment vertical="center" wrapText="1"/>
    </xf>
    <xf numFmtId="49" fontId="45" fillId="0" borderId="3" xfId="166" applyNumberFormat="1" applyFont="1" applyFill="1" applyBorder="1" applyAlignment="1" applyProtection="1">
      <alignment horizontal="center" vertical="center" wrapText="1"/>
    </xf>
    <xf numFmtId="49" fontId="41" fillId="0" borderId="3" xfId="0" applyNumberFormat="1" applyFont="1" applyFill="1" applyBorder="1" applyAlignment="1">
      <alignment vertical="center"/>
    </xf>
    <xf numFmtId="0" fontId="41" fillId="0" borderId="4" xfId="56" applyFont="1" applyFill="1" applyBorder="1" applyAlignment="1" applyProtection="1">
      <alignment horizontal="center" vertical="center" wrapText="1"/>
      <protection locked="0"/>
    </xf>
    <xf numFmtId="0" fontId="8" fillId="0" borderId="3" xfId="59" applyFont="1" applyFill="1" applyBorder="1" applyAlignment="1">
      <alignment vertical="center" wrapText="1"/>
    </xf>
    <xf numFmtId="176" fontId="8" fillId="0" borderId="3" xfId="167" applyNumberFormat="1" applyFont="1" applyFill="1" applyBorder="1" applyAlignment="1">
      <alignment horizontal="center" vertical="center" wrapText="1"/>
    </xf>
    <xf numFmtId="0" fontId="41" fillId="3" borderId="3" xfId="167" applyFont="1" applyFill="1" applyBorder="1" applyAlignment="1">
      <alignment vertical="center" wrapText="1"/>
    </xf>
    <xf numFmtId="0" fontId="8" fillId="0" borderId="3" xfId="59" applyFont="1" applyFill="1" applyBorder="1" applyAlignment="1">
      <alignment horizontal="center" vertical="center" wrapText="1"/>
    </xf>
    <xf numFmtId="0" fontId="8" fillId="0" borderId="3" xfId="167" applyFont="1" applyFill="1" applyBorder="1" applyAlignment="1">
      <alignment vertical="center" wrapText="1"/>
    </xf>
    <xf numFmtId="0" fontId="4" fillId="3" borderId="3" xfId="167" applyFont="1" applyFill="1" applyBorder="1" applyAlignment="1">
      <alignment vertical="center" wrapText="1"/>
    </xf>
    <xf numFmtId="15" fontId="8" fillId="0" borderId="3" xfId="167" applyNumberFormat="1" applyFont="1" applyFill="1" applyBorder="1" applyAlignment="1">
      <alignment horizontal="center" vertical="center" wrapText="1"/>
    </xf>
    <xf numFmtId="15" fontId="8" fillId="0" borderId="3" xfId="59" applyNumberFormat="1" applyFont="1" applyFill="1" applyBorder="1" applyAlignment="1">
      <alignment horizontal="center" vertical="center" wrapText="1"/>
    </xf>
    <xf numFmtId="15" fontId="41" fillId="3" borderId="3" xfId="59" applyNumberFormat="1" applyFont="1" applyFill="1" applyBorder="1" applyAlignment="1">
      <alignment horizontal="center" vertical="center" wrapText="1"/>
    </xf>
    <xf numFmtId="181" fontId="4" fillId="0" borderId="3" xfId="171" applyNumberFormat="1" applyFont="1" applyFill="1" applyBorder="1" applyAlignment="1">
      <alignment horizontal="left" vertical="center"/>
    </xf>
    <xf numFmtId="181" fontId="41" fillId="0" borderId="3" xfId="171" applyNumberFormat="1" applyFont="1" applyFill="1" applyBorder="1" applyAlignment="1">
      <alignment horizontal="left" vertical="center"/>
    </xf>
    <xf numFmtId="181" fontId="41" fillId="0" borderId="3" xfId="171" applyNumberFormat="1" applyFont="1" applyFill="1" applyBorder="1" applyAlignment="1">
      <alignment horizontal="center" vertical="center" wrapText="1"/>
    </xf>
    <xf numFmtId="181" fontId="8" fillId="0" borderId="3" xfId="171" applyNumberFormat="1" applyFont="1" applyFill="1" applyBorder="1" applyAlignment="1">
      <alignment horizontal="left" vertical="center"/>
    </xf>
    <xf numFmtId="181" fontId="8" fillId="0" borderId="3" xfId="171" applyNumberFormat="1" applyFont="1" applyFill="1" applyBorder="1" applyAlignment="1">
      <alignment horizontal="center" vertical="center" wrapText="1"/>
    </xf>
    <xf numFmtId="181" fontId="41" fillId="3" borderId="3" xfId="171" applyNumberFormat="1" applyFont="1" applyFill="1" applyBorder="1" applyAlignment="1">
      <alignment vertical="center"/>
    </xf>
    <xf numFmtId="181" fontId="41" fillId="3" borderId="3" xfId="171" applyNumberFormat="1" applyFont="1" applyFill="1" applyBorder="1" applyAlignment="1">
      <alignment horizontal="center" vertical="center"/>
    </xf>
    <xf numFmtId="0" fontId="41" fillId="3" borderId="3" xfId="0" applyFont="1" applyFill="1" applyBorder="1" applyAlignment="1">
      <alignment horizontal="center" vertical="center" wrapText="1"/>
    </xf>
    <xf numFmtId="181" fontId="42" fillId="0" borderId="3" xfId="171" applyNumberFormat="1" applyFont="1" applyFill="1" applyBorder="1" applyAlignment="1">
      <alignment vertical="center" wrapText="1"/>
    </xf>
    <xf numFmtId="181" fontId="8" fillId="0" borderId="3" xfId="171" applyNumberFormat="1" applyFont="1" applyFill="1" applyBorder="1" applyAlignment="1">
      <alignment vertical="center" wrapText="1"/>
    </xf>
    <xf numFmtId="0" fontId="8" fillId="0" borderId="3" xfId="167" applyFont="1" applyFill="1" applyBorder="1" applyAlignment="1">
      <alignment horizontal="left" vertical="center" wrapText="1"/>
    </xf>
    <xf numFmtId="49" fontId="8"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13" fillId="0" borderId="5" xfId="0" applyFont="1" applyFill="1" applyBorder="1" applyAlignment="1">
      <alignment horizontal="left" vertical="center"/>
    </xf>
    <xf numFmtId="0" fontId="8" fillId="0" borderId="3" xfId="167" applyFont="1" applyFill="1" applyBorder="1" applyAlignment="1">
      <alignment horizontal="center" vertical="center" wrapText="1"/>
    </xf>
    <xf numFmtId="15" fontId="8" fillId="0" borderId="3" xfId="59" applyNumberFormat="1" applyFont="1" applyFill="1" applyBorder="1" applyAlignment="1">
      <alignment vertical="center" wrapText="1"/>
    </xf>
    <xf numFmtId="3" fontId="8" fillId="0" borderId="3" xfId="167" applyNumberFormat="1" applyFont="1" applyFill="1" applyBorder="1" applyAlignment="1">
      <alignment horizontal="center" vertical="center" wrapText="1"/>
    </xf>
    <xf numFmtId="181" fontId="8" fillId="5" borderId="3" xfId="171" applyNumberFormat="1" applyFont="1" applyFill="1" applyBorder="1" applyAlignment="1">
      <alignment horizontal="center" vertical="center" wrapText="1"/>
    </xf>
    <xf numFmtId="0" fontId="42" fillId="0" borderId="0" xfId="0" applyFont="1" applyFill="1" applyAlignment="1">
      <alignment vertical="center"/>
    </xf>
    <xf numFmtId="181" fontId="8" fillId="14" borderId="3" xfId="171" applyNumberFormat="1" applyFont="1" applyFill="1" applyBorder="1" applyAlignment="1">
      <alignment vertical="center" wrapText="1"/>
    </xf>
    <xf numFmtId="0" fontId="8" fillId="5" borderId="3" xfId="0" applyFont="1" applyFill="1" applyBorder="1" applyAlignment="1">
      <alignment horizontal="center" vertical="center" wrapText="1"/>
    </xf>
    <xf numFmtId="0" fontId="14" fillId="2" borderId="38" xfId="0" applyFont="1" applyFill="1" applyBorder="1" applyAlignment="1">
      <alignment horizontal="center" vertical="center" wrapText="1"/>
    </xf>
    <xf numFmtId="0" fontId="19" fillId="0" borderId="3" xfId="23" applyFont="1" applyFill="1" applyBorder="1" applyAlignment="1">
      <alignment vertical="center" wrapText="1"/>
    </xf>
    <xf numFmtId="0" fontId="19" fillId="0" borderId="3" xfId="23" applyFont="1" applyFill="1" applyBorder="1" applyAlignment="1">
      <alignment horizontal="center" vertical="center" wrapText="1"/>
    </xf>
    <xf numFmtId="0" fontId="8" fillId="0" borderId="3" xfId="23" applyFont="1" applyFill="1" applyBorder="1" applyAlignment="1">
      <alignment vertical="center" wrapText="1"/>
    </xf>
    <xf numFmtId="0" fontId="8" fillId="0" borderId="3" xfId="23" applyFont="1" applyFill="1" applyBorder="1" applyAlignment="1">
      <alignment horizontal="center" vertical="center" wrapText="1"/>
    </xf>
    <xf numFmtId="0" fontId="34" fillId="0" borderId="0" xfId="73" applyFont="1" applyFill="1" applyBorder="1" applyAlignment="1">
      <alignment wrapText="1"/>
    </xf>
    <xf numFmtId="0" fontId="13" fillId="2" borderId="5" xfId="0" applyFont="1" applyFill="1" applyBorder="1" applyAlignment="1">
      <alignment horizontal="left" vertical="center"/>
    </xf>
    <xf numFmtId="15" fontId="8" fillId="6" borderId="3" xfId="59" applyNumberFormat="1" applyFont="1" applyFill="1" applyBorder="1" applyAlignment="1">
      <alignment horizontal="center" vertical="center" wrapText="1"/>
    </xf>
    <xf numFmtId="15" fontId="8" fillId="4" borderId="3" xfId="59" applyNumberFormat="1" applyFont="1" applyFill="1" applyBorder="1" applyAlignment="1">
      <alignment horizontal="center" vertical="center" wrapText="1"/>
    </xf>
    <xf numFmtId="41" fontId="4" fillId="0" borderId="3" xfId="171" applyNumberFormat="1" applyFont="1" applyFill="1" applyBorder="1" applyAlignment="1">
      <alignment horizontal="center" vertical="center" wrapText="1"/>
    </xf>
    <xf numFmtId="41" fontId="8" fillId="0" borderId="3" xfId="171" applyNumberFormat="1" applyFont="1" applyFill="1" applyBorder="1" applyAlignment="1">
      <alignment horizontal="center" vertical="center" wrapText="1"/>
    </xf>
    <xf numFmtId="3" fontId="19" fillId="0" borderId="3" xfId="59" applyNumberFormat="1" applyFont="1" applyFill="1" applyBorder="1" applyAlignment="1">
      <alignment horizontal="center" vertical="center" wrapText="1"/>
    </xf>
    <xf numFmtId="3" fontId="4" fillId="0" borderId="3" xfId="59" applyNumberFormat="1" applyFont="1" applyFill="1" applyBorder="1" applyAlignment="1">
      <alignment horizontal="center" vertical="center" wrapText="1"/>
    </xf>
    <xf numFmtId="181" fontId="4" fillId="3" borderId="3" xfId="171" applyNumberFormat="1" applyFont="1" applyFill="1" applyBorder="1" applyAlignment="1">
      <alignment horizontal="center" vertical="center" wrapText="1"/>
    </xf>
    <xf numFmtId="3" fontId="8" fillId="0" borderId="3" xfId="59" applyNumberFormat="1" applyFont="1" applyFill="1" applyBorder="1" applyAlignment="1">
      <alignment horizontal="center" vertical="center" wrapText="1"/>
    </xf>
    <xf numFmtId="49" fontId="19" fillId="0" borderId="3" xfId="23" applyNumberFormat="1" applyFont="1" applyFill="1" applyBorder="1" applyAlignment="1">
      <alignment horizontal="center" vertical="center" wrapText="1"/>
    </xf>
    <xf numFmtId="0" fontId="4" fillId="3" borderId="3" xfId="0" applyFont="1" applyFill="1" applyBorder="1" applyAlignment="1">
      <alignment horizontal="center" vertical="center" wrapText="1"/>
    </xf>
    <xf numFmtId="49" fontId="14" fillId="2" borderId="24" xfId="0" applyNumberFormat="1" applyFont="1" applyFill="1" applyBorder="1" applyAlignment="1">
      <alignment horizontal="center" vertical="center" wrapText="1"/>
    </xf>
    <xf numFmtId="49" fontId="14" fillId="2" borderId="30"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4" fillId="0" borderId="0" xfId="0" applyFont="1" applyFill="1" applyAlignment="1">
      <alignment horizontal="center"/>
    </xf>
    <xf numFmtId="0" fontId="4" fillId="0" borderId="0" xfId="0" applyFont="1" applyAlignment="1">
      <alignment horizontal="center" vertical="center"/>
    </xf>
    <xf numFmtId="0" fontId="19" fillId="0" borderId="0" xfId="23" applyFont="1" applyFill="1" applyBorder="1" applyAlignment="1">
      <alignment wrapText="1"/>
    </xf>
    <xf numFmtId="0" fontId="4" fillId="0" borderId="0" xfId="0" applyFont="1" applyFill="1" applyBorder="1" applyAlignment="1">
      <alignment horizontal="center"/>
    </xf>
    <xf numFmtId="0" fontId="19" fillId="0" borderId="0" xfId="59" applyFont="1" applyFill="1" applyBorder="1" applyAlignment="1">
      <alignment wrapText="1"/>
    </xf>
    <xf numFmtId="0" fontId="4" fillId="0" borderId="2" xfId="0" applyFont="1" applyBorder="1" applyAlignment="1">
      <alignment horizontal="center" vertical="center"/>
    </xf>
    <xf numFmtId="0" fontId="19" fillId="0" borderId="0" xfId="59" applyFont="1" applyFill="1" applyBorder="1" applyAlignment="1">
      <alignment horizontal="center" vertical="center" wrapText="1"/>
    </xf>
    <xf numFmtId="15" fontId="19" fillId="0" borderId="0" xfId="59" applyNumberFormat="1" applyFont="1" applyFill="1" applyBorder="1" applyAlignment="1">
      <alignment wrapText="1"/>
    </xf>
    <xf numFmtId="0" fontId="4" fillId="10"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19" fillId="0" borderId="0" xfId="59" applyFont="1" applyFill="1" applyBorder="1" applyAlignment="1">
      <alignment horizontal="center" wrapText="1"/>
    </xf>
    <xf numFmtId="37" fontId="19" fillId="0" borderId="0" xfId="171" applyNumberFormat="1" applyFont="1" applyFill="1" applyBorder="1" applyAlignment="1">
      <alignment horizontal="center" wrapText="1"/>
    </xf>
    <xf numFmtId="0" fontId="19" fillId="0" borderId="0" xfId="59" applyFont="1" applyFill="1" applyBorder="1" applyAlignment="1">
      <alignment horizontal="center" vertical="justify" wrapText="1"/>
    </xf>
    <xf numFmtId="0" fontId="14" fillId="2" borderId="12" xfId="0" applyFont="1" applyFill="1" applyBorder="1" applyAlignment="1">
      <alignment horizontal="center" vertical="center"/>
    </xf>
    <xf numFmtId="0" fontId="14" fillId="2" borderId="14" xfId="0" applyFont="1" applyFill="1" applyBorder="1" applyAlignment="1">
      <alignment horizontal="center" vertical="center"/>
    </xf>
    <xf numFmtId="1" fontId="4" fillId="0" borderId="0" xfId="0" applyNumberFormat="1" applyFont="1" applyFill="1" applyBorder="1"/>
    <xf numFmtId="0" fontId="4" fillId="0" borderId="0" xfId="0" applyFont="1" applyFill="1" applyBorder="1" applyAlignment="1">
      <alignment wrapText="1"/>
    </xf>
    <xf numFmtId="0" fontId="14" fillId="2" borderId="38" xfId="0" applyFont="1" applyFill="1" applyBorder="1" applyAlignment="1">
      <alignment horizontal="center" vertical="center"/>
    </xf>
    <xf numFmtId="0" fontId="18" fillId="0" borderId="0" xfId="166" applyFont="1" applyFill="1" applyBorder="1" applyAlignment="1" applyProtection="1"/>
    <xf numFmtId="0" fontId="4" fillId="0" borderId="0" xfId="0" applyFont="1" applyFill="1" applyBorder="1" applyAlignment="1"/>
    <xf numFmtId="0" fontId="19" fillId="0" borderId="40" xfId="23" applyFont="1" applyFill="1" applyBorder="1" applyAlignment="1">
      <alignment horizontal="center" vertical="center" wrapText="1"/>
    </xf>
    <xf numFmtId="0" fontId="4" fillId="0" borderId="0" xfId="0" applyFont="1" applyFill="1" applyAlignment="1">
      <alignment horizontal="left"/>
    </xf>
    <xf numFmtId="0" fontId="4" fillId="0" borderId="0" xfId="0" applyFont="1" applyAlignment="1">
      <alignment horizontal="left" vertical="center"/>
    </xf>
    <xf numFmtId="0" fontId="14" fillId="0" borderId="0" xfId="0" applyFont="1" applyFill="1" applyAlignment="1">
      <alignment horizontal="left" vertical="center"/>
    </xf>
    <xf numFmtId="0" fontId="19" fillId="0" borderId="3" xfId="23" applyFont="1" applyFill="1" applyBorder="1" applyAlignment="1">
      <alignment horizontal="left" vertical="center" wrapText="1"/>
    </xf>
    <xf numFmtId="0" fontId="8" fillId="0" borderId="3" xfId="23" applyFont="1" applyFill="1" applyBorder="1" applyAlignment="1">
      <alignment horizontal="left" vertical="center" wrapText="1"/>
    </xf>
    <xf numFmtId="0" fontId="27" fillId="0" borderId="3" xfId="56" applyFont="1" applyFill="1" applyBorder="1" applyAlignment="1">
      <alignment vertical="center" wrapText="1"/>
    </xf>
    <xf numFmtId="0" fontId="28" fillId="0" borderId="3" xfId="56" applyFont="1" applyFill="1" applyBorder="1" applyAlignment="1">
      <alignment vertical="center" wrapText="1"/>
    </xf>
    <xf numFmtId="0" fontId="4" fillId="0" borderId="3" xfId="23" applyFont="1" applyFill="1" applyBorder="1" applyAlignment="1">
      <alignment horizontal="left" vertical="center" wrapText="1"/>
    </xf>
    <xf numFmtId="0" fontId="4" fillId="0" borderId="3" xfId="23" applyFont="1" applyFill="1" applyBorder="1" applyAlignment="1">
      <alignment horizontal="center" vertical="center" wrapText="1"/>
    </xf>
    <xf numFmtId="0" fontId="34" fillId="15" borderId="41" xfId="71" applyFont="1" applyFill="1" applyBorder="1" applyAlignment="1">
      <alignment horizontal="center"/>
    </xf>
    <xf numFmtId="0" fontId="34" fillId="0" borderId="40" xfId="71" applyFont="1" applyFill="1" applyBorder="1" applyAlignment="1">
      <alignment wrapText="1"/>
    </xf>
    <xf numFmtId="0" fontId="19" fillId="0" borderId="0" xfId="59" applyFont="1" applyFill="1" applyBorder="1" applyAlignment="1">
      <alignment horizontal="left" wrapText="1"/>
    </xf>
    <xf numFmtId="0" fontId="46" fillId="0" borderId="31" xfId="160" applyFont="1" applyFill="1" applyBorder="1" applyAlignment="1"/>
    <xf numFmtId="0" fontId="22" fillId="0" borderId="20" xfId="160" applyFill="1" applyBorder="1" applyAlignment="1"/>
    <xf numFmtId="0" fontId="4" fillId="0" borderId="0" xfId="0" applyFont="1" applyFill="1" applyBorder="1" applyAlignment="1">
      <alignment horizontal="left"/>
    </xf>
    <xf numFmtId="15" fontId="19" fillId="4" borderId="3" xfId="59" applyNumberFormat="1" applyFont="1" applyFill="1" applyBorder="1" applyAlignment="1">
      <alignment horizontal="center" vertical="center" wrapText="1"/>
    </xf>
    <xf numFmtId="15" fontId="4" fillId="8" borderId="3" xfId="59" applyNumberFormat="1" applyFont="1" applyFill="1" applyBorder="1" applyAlignment="1">
      <alignment horizontal="center" vertical="center" wrapText="1"/>
    </xf>
    <xf numFmtId="15" fontId="19" fillId="3" borderId="3" xfId="59" applyNumberFormat="1" applyFont="1" applyFill="1" applyBorder="1" applyAlignment="1">
      <alignment horizontal="center" vertical="center" wrapText="1"/>
    </xf>
    <xf numFmtId="15" fontId="8" fillId="3" borderId="3" xfId="59" applyNumberFormat="1" applyFont="1" applyFill="1" applyBorder="1" applyAlignment="1">
      <alignment horizontal="center" vertical="center" wrapText="1"/>
    </xf>
    <xf numFmtId="58" fontId="8" fillId="4" borderId="3" xfId="0" applyNumberFormat="1" applyFont="1" applyFill="1" applyBorder="1" applyAlignment="1">
      <alignment horizontal="center" vertical="center" wrapText="1"/>
    </xf>
    <xf numFmtId="41" fontId="4" fillId="3" borderId="3" xfId="171" applyNumberFormat="1" applyFont="1" applyFill="1" applyBorder="1" applyAlignment="1">
      <alignment horizontal="center" vertical="center" wrapText="1"/>
    </xf>
    <xf numFmtId="41" fontId="4" fillId="4" borderId="3" xfId="171" applyNumberFormat="1" applyFont="1" applyFill="1" applyBorder="1" applyAlignment="1">
      <alignment horizontal="center" vertical="center" wrapText="1"/>
    </xf>
    <xf numFmtId="41" fontId="8" fillId="3" borderId="3" xfId="171"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49" fontId="4" fillId="0" borderId="0" xfId="0" applyNumberFormat="1" applyFont="1" applyFill="1" applyBorder="1"/>
    <xf numFmtId="49" fontId="4" fillId="0" borderId="0" xfId="0" applyNumberFormat="1" applyFont="1" applyFill="1" applyBorder="1" applyAlignment="1"/>
    <xf numFmtId="49" fontId="14" fillId="2" borderId="30"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8" fillId="0" borderId="0" xfId="0" applyNumberFormat="1" applyFont="1" applyFill="1" applyBorder="1"/>
    <xf numFmtId="0" fontId="8" fillId="0" borderId="0" xfId="0" applyFont="1" applyFill="1" applyBorder="1"/>
    <xf numFmtId="49" fontId="18" fillId="0" borderId="0" xfId="166" applyNumberFormat="1" applyFont="1" applyFill="1" applyBorder="1" applyAlignment="1" applyProtection="1"/>
    <xf numFmtId="0" fontId="4" fillId="0" borderId="42" xfId="0" applyFont="1" applyFill="1" applyBorder="1" applyAlignment="1">
      <alignment horizontal="center" vertical="center" wrapText="1"/>
    </xf>
    <xf numFmtId="0" fontId="19" fillId="0" borderId="3" xfId="151" applyFont="1" applyFill="1" applyBorder="1" applyAlignment="1">
      <alignment horizontal="center" vertical="center" wrapText="1"/>
    </xf>
    <xf numFmtId="0" fontId="19" fillId="0" borderId="0" xfId="151" applyFont="1" applyFill="1" applyBorder="1" applyAlignment="1">
      <alignment horizontal="center"/>
    </xf>
    <xf numFmtId="0" fontId="19" fillId="0" borderId="0" xfId="151" applyFont="1" applyFill="1" applyBorder="1" applyAlignment="1">
      <alignment wrapText="1"/>
    </xf>
    <xf numFmtId="15" fontId="19" fillId="0" borderId="3" xfId="151" applyNumberFormat="1" applyFont="1" applyFill="1" applyBorder="1" applyAlignment="1">
      <alignment horizontal="center" vertical="center" wrapText="1"/>
    </xf>
    <xf numFmtId="41" fontId="19" fillId="0" borderId="3" xfId="171" applyNumberFormat="1" applyFont="1" applyFill="1" applyBorder="1" applyAlignment="1">
      <alignment horizontal="center" vertical="center" wrapText="1"/>
    </xf>
    <xf numFmtId="49" fontId="4" fillId="0" borderId="42" xfId="0" applyNumberFormat="1" applyFont="1" applyFill="1" applyBorder="1" applyAlignment="1">
      <alignment vertical="center"/>
    </xf>
    <xf numFmtId="0" fontId="19" fillId="0" borderId="43" xfId="151" applyFont="1" applyFill="1" applyBorder="1" applyAlignment="1">
      <alignment horizontal="center" vertical="center" wrapText="1"/>
    </xf>
    <xf numFmtId="0" fontId="22" fillId="0" borderId="0" xfId="160" applyFont="1" applyFill="1" applyAlignment="1">
      <alignment wrapText="1"/>
    </xf>
    <xf numFmtId="0" fontId="22" fillId="0" borderId="0" xfId="160" applyFill="1" applyAlignment="1">
      <alignment wrapText="1"/>
    </xf>
    <xf numFmtId="0" fontId="22" fillId="0" borderId="0" xfId="160" applyFill="1"/>
    <xf numFmtId="0" fontId="22" fillId="0" borderId="0" xfId="160"/>
    <xf numFmtId="0" fontId="3" fillId="16" borderId="1" xfId="56" applyFont="1" applyFill="1" applyBorder="1" applyAlignment="1">
      <alignment horizontal="center" vertical="center"/>
    </xf>
    <xf numFmtId="0" fontId="0" fillId="16" borderId="15" xfId="56" applyFill="1" applyBorder="1" applyAlignment="1">
      <alignment horizontal="center" vertical="center"/>
    </xf>
    <xf numFmtId="0" fontId="0" fillId="16" borderId="15" xfId="56" applyFill="1" applyBorder="1" applyAlignment="1">
      <alignment vertical="center"/>
    </xf>
    <xf numFmtId="0" fontId="1" fillId="0" borderId="4" xfId="56" applyFont="1" applyFill="1" applyBorder="1" applyAlignment="1">
      <alignment horizontal="center" vertical="center" wrapText="1"/>
    </xf>
    <xf numFmtId="0" fontId="1" fillId="0" borderId="3" xfId="56" applyFont="1" applyFill="1" applyBorder="1" applyAlignment="1">
      <alignment vertical="center" wrapText="1"/>
    </xf>
    <xf numFmtId="0" fontId="3" fillId="0" borderId="3" xfId="56" applyFont="1" applyFill="1" applyBorder="1" applyAlignment="1">
      <alignment vertical="center" wrapText="1"/>
    </xf>
    <xf numFmtId="0" fontId="46" fillId="8" borderId="31" xfId="160" applyFont="1" applyFill="1" applyBorder="1" applyAlignment="1"/>
    <xf numFmtId="0" fontId="22" fillId="8" borderId="20" xfId="160" applyFill="1" applyBorder="1" applyAlignment="1"/>
    <xf numFmtId="0" fontId="47" fillId="0" borderId="0" xfId="0" applyFont="1"/>
    <xf numFmtId="178" fontId="1" fillId="0" borderId="3" xfId="56" applyNumberFormat="1" applyFont="1" applyFill="1" applyBorder="1" applyAlignment="1">
      <alignment horizontal="center" vertical="center" wrapText="1"/>
    </xf>
    <xf numFmtId="0" fontId="3" fillId="16" borderId="7" xfId="56" applyFont="1" applyFill="1" applyBorder="1" applyAlignment="1">
      <alignment horizontal="center" vertical="center"/>
    </xf>
    <xf numFmtId="0" fontId="3" fillId="16" borderId="6" xfId="56" applyFont="1" applyFill="1" applyBorder="1" applyAlignment="1">
      <alignment horizontal="center" vertical="center"/>
    </xf>
    <xf numFmtId="0" fontId="1" fillId="0" borderId="3" xfId="56" applyFont="1" applyFill="1" applyBorder="1" applyAlignment="1">
      <alignment horizontal="center" vertical="center" wrapText="1"/>
    </xf>
    <xf numFmtId="15" fontId="1" fillId="0" borderId="3" xfId="56" applyNumberFormat="1" applyFont="1" applyFill="1" applyBorder="1" applyAlignment="1">
      <alignment vertical="center" wrapText="1"/>
    </xf>
    <xf numFmtId="0" fontId="3" fillId="16" borderId="8" xfId="56" applyFont="1" applyFill="1" applyBorder="1" applyAlignment="1">
      <alignment horizontal="center" vertical="center"/>
    </xf>
    <xf numFmtId="0" fontId="3" fillId="9" borderId="7" xfId="56" applyFont="1" applyFill="1" applyBorder="1" applyAlignment="1">
      <alignment horizontal="center" vertical="center"/>
    </xf>
    <xf numFmtId="0" fontId="3" fillId="9" borderId="8" xfId="56" applyFont="1" applyFill="1" applyBorder="1" applyAlignment="1">
      <alignment horizontal="center" vertical="center"/>
    </xf>
    <xf numFmtId="0" fontId="3" fillId="9" borderId="6" xfId="56" applyFont="1" applyFill="1" applyBorder="1" applyAlignment="1">
      <alignment horizontal="center" vertical="center"/>
    </xf>
    <xf numFmtId="15" fontId="1" fillId="0" borderId="4" xfId="56" applyNumberFormat="1" applyFont="1" applyFill="1" applyBorder="1" applyAlignment="1">
      <alignment vertical="center" wrapText="1"/>
    </xf>
    <xf numFmtId="0" fontId="3" fillId="7" borderId="1" xfId="56" applyFont="1" applyFill="1" applyBorder="1" applyAlignment="1">
      <alignment horizontal="center" vertical="center"/>
    </xf>
    <xf numFmtId="0" fontId="0" fillId="7" borderId="15" xfId="56" applyFill="1" applyBorder="1" applyAlignment="1">
      <alignment vertical="center"/>
    </xf>
    <xf numFmtId="181" fontId="1" fillId="0" borderId="3" xfId="24" applyNumberFormat="1" applyFont="1" applyFill="1" applyBorder="1" applyAlignment="1">
      <alignment vertical="center" wrapText="1"/>
    </xf>
    <xf numFmtId="181" fontId="1" fillId="0" borderId="3" xfId="171" applyNumberFormat="1" applyFont="1" applyFill="1" applyBorder="1" applyAlignment="1">
      <alignment vertical="center" wrapText="1"/>
    </xf>
    <xf numFmtId="181" fontId="1" fillId="0" borderId="3" xfId="24" applyNumberFormat="1" applyFont="1" applyFill="1" applyBorder="1" applyAlignment="1">
      <alignment horizontal="center" vertical="center" wrapText="1"/>
    </xf>
    <xf numFmtId="0" fontId="1" fillId="0" borderId="3" xfId="56" applyNumberFormat="1" applyFont="1" applyFill="1" applyBorder="1" applyAlignment="1">
      <alignment horizontal="center" vertical="center" wrapText="1"/>
    </xf>
    <xf numFmtId="0" fontId="0" fillId="16" borderId="2" xfId="56" applyFill="1" applyBorder="1" applyAlignment="1">
      <alignment horizontal="center" vertical="center"/>
    </xf>
    <xf numFmtId="0" fontId="3" fillId="2" borderId="1" xfId="56" applyFont="1" applyFill="1" applyBorder="1" applyAlignment="1">
      <alignment horizontal="center" vertical="center"/>
    </xf>
    <xf numFmtId="0" fontId="46" fillId="4" borderId="44" xfId="93" applyFont="1" applyFill="1" applyBorder="1" applyAlignment="1">
      <alignment horizontal="center" wrapText="1"/>
    </xf>
    <xf numFmtId="0" fontId="3" fillId="2" borderId="15" xfId="56" applyFont="1" applyFill="1" applyBorder="1" applyAlignment="1">
      <alignment horizontal="center" vertical="center"/>
    </xf>
    <xf numFmtId="0" fontId="46" fillId="4" borderId="45" xfId="93" applyFont="1" applyFill="1" applyBorder="1" applyAlignment="1">
      <alignment horizontal="center" wrapText="1"/>
    </xf>
    <xf numFmtId="0" fontId="0" fillId="0" borderId="3" xfId="56" applyFont="1" applyFill="1" applyBorder="1" applyAlignment="1">
      <alignment vertical="center" wrapText="1"/>
    </xf>
    <xf numFmtId="15" fontId="22" fillId="0" borderId="0" xfId="160" applyNumberFormat="1" applyFont="1" applyFill="1" applyAlignment="1">
      <alignment wrapText="1"/>
    </xf>
    <xf numFmtId="0" fontId="24" fillId="0" borderId="0" xfId="160" applyFont="1" applyFill="1" applyAlignment="1">
      <alignment wrapText="1"/>
    </xf>
    <xf numFmtId="0" fontId="14" fillId="16" borderId="1" xfId="56" applyFont="1" applyFill="1" applyBorder="1" applyAlignment="1">
      <alignment horizontal="center" vertical="center"/>
    </xf>
    <xf numFmtId="0" fontId="4" fillId="16" borderId="15" xfId="56" applyFont="1" applyFill="1" applyBorder="1" applyAlignment="1">
      <alignment horizontal="center" vertical="center"/>
    </xf>
    <xf numFmtId="0" fontId="4" fillId="16" borderId="15" xfId="56" applyFont="1" applyFill="1" applyBorder="1" applyAlignment="1">
      <alignment vertical="center"/>
    </xf>
    <xf numFmtId="0" fontId="4" fillId="0" borderId="4" xfId="56" applyFont="1" applyFill="1" applyBorder="1" applyAlignment="1">
      <alignment horizontal="center" vertical="center" wrapText="1"/>
    </xf>
    <xf numFmtId="0" fontId="4" fillId="0" borderId="3" xfId="56" applyFont="1" applyFill="1" applyBorder="1" applyAlignment="1">
      <alignment vertical="center" wrapText="1"/>
    </xf>
    <xf numFmtId="0" fontId="14" fillId="0" borderId="3" xfId="56" applyFont="1" applyFill="1" applyBorder="1" applyAlignment="1">
      <alignment vertical="center" wrapText="1"/>
    </xf>
    <xf numFmtId="0" fontId="4" fillId="0" borderId="4" xfId="56" applyFont="1" applyFill="1" applyBorder="1" applyAlignment="1">
      <alignment vertical="center" wrapText="1"/>
    </xf>
    <xf numFmtId="0" fontId="8" fillId="0" borderId="3" xfId="56" applyFont="1" applyFill="1" applyBorder="1" applyAlignment="1">
      <alignment horizontal="center" vertical="center"/>
    </xf>
    <xf numFmtId="0" fontId="8" fillId="0" borderId="3" xfId="160" applyFont="1" applyFill="1" applyBorder="1" applyAlignment="1">
      <alignment horizontal="center" vertical="center" wrapText="1"/>
    </xf>
    <xf numFmtId="0" fontId="8" fillId="0" borderId="3" xfId="163" applyFont="1" applyFill="1" applyBorder="1" applyAlignment="1">
      <alignment horizontal="justify" vertical="center"/>
    </xf>
    <xf numFmtId="0" fontId="8" fillId="0" borderId="4" xfId="56" applyFont="1" applyFill="1" applyBorder="1" applyAlignment="1">
      <alignment horizontal="center" vertical="center" wrapText="1"/>
    </xf>
    <xf numFmtId="0" fontId="8" fillId="0" borderId="3" xfId="56" applyFont="1" applyFill="1" applyBorder="1" applyAlignment="1">
      <alignment vertical="center" wrapText="1"/>
    </xf>
    <xf numFmtId="178" fontId="4" fillId="0" borderId="3" xfId="56" applyNumberFormat="1" applyFont="1" applyFill="1" applyBorder="1" applyAlignment="1">
      <alignment horizontal="center" vertical="center" wrapText="1"/>
    </xf>
    <xf numFmtId="0" fontId="8" fillId="0" borderId="3" xfId="163" applyFont="1" applyFill="1" applyBorder="1" applyAlignment="1">
      <alignment horizontal="center" vertical="center" wrapText="1"/>
    </xf>
    <xf numFmtId="178" fontId="8" fillId="0" borderId="3" xfId="56" applyNumberFormat="1" applyFont="1" applyFill="1" applyBorder="1" applyAlignment="1">
      <alignment horizontal="center" vertical="center"/>
    </xf>
    <xf numFmtId="178" fontId="8" fillId="0" borderId="3" xfId="56" applyNumberFormat="1" applyFont="1" applyFill="1" applyBorder="1" applyAlignment="1">
      <alignment horizontal="center" vertical="center" wrapText="1"/>
    </xf>
    <xf numFmtId="0" fontId="14" fillId="16" borderId="38" xfId="56" applyFont="1" applyFill="1" applyBorder="1" applyAlignment="1">
      <alignment horizontal="center" vertical="center"/>
    </xf>
    <xf numFmtId="0" fontId="4" fillId="0" borderId="3" xfId="56" applyFont="1" applyFill="1" applyBorder="1" applyAlignment="1">
      <alignment horizontal="center" vertical="center" wrapText="1"/>
    </xf>
    <xf numFmtId="15" fontId="4" fillId="0" borderId="3" xfId="56" applyNumberFormat="1" applyFont="1" applyFill="1" applyBorder="1" applyAlignment="1">
      <alignment vertical="center" wrapText="1"/>
    </xf>
    <xf numFmtId="0" fontId="8" fillId="0" borderId="3" xfId="56" applyFont="1" applyFill="1" applyBorder="1" applyAlignment="1">
      <alignment horizontal="center" vertical="center" wrapText="1"/>
    </xf>
    <xf numFmtId="15" fontId="8" fillId="0" borderId="3" xfId="56" applyNumberFormat="1" applyFont="1" applyFill="1" applyBorder="1" applyAlignment="1">
      <alignment vertical="center" wrapText="1"/>
    </xf>
    <xf numFmtId="0" fontId="14" fillId="16" borderId="7" xfId="56" applyFont="1" applyFill="1" applyBorder="1" applyAlignment="1">
      <alignment horizontal="center" vertical="center"/>
    </xf>
    <xf numFmtId="0" fontId="14" fillId="16" borderId="8" xfId="56" applyFont="1" applyFill="1" applyBorder="1" applyAlignment="1">
      <alignment horizontal="center" vertical="center"/>
    </xf>
    <xf numFmtId="0" fontId="14" fillId="16" borderId="6" xfId="56" applyFont="1" applyFill="1" applyBorder="1" applyAlignment="1">
      <alignment horizontal="center" vertical="center"/>
    </xf>
    <xf numFmtId="15" fontId="4" fillId="5" borderId="3" xfId="56" applyNumberFormat="1" applyFont="1" applyFill="1" applyBorder="1" applyAlignment="1">
      <alignment vertical="center" wrapText="1"/>
    </xf>
    <xf numFmtId="15" fontId="8" fillId="0" borderId="3" xfId="163" applyNumberFormat="1" applyFont="1" applyFill="1" applyBorder="1" applyAlignment="1">
      <alignment horizontal="center" vertical="center"/>
    </xf>
    <xf numFmtId="15" fontId="8" fillId="0" borderId="3" xfId="56" applyNumberFormat="1" applyFont="1" applyFill="1" applyBorder="1" applyAlignment="1">
      <alignment vertical="center"/>
    </xf>
    <xf numFmtId="0" fontId="14" fillId="16" borderId="7" xfId="56" applyFont="1" applyFill="1" applyBorder="1" applyAlignment="1">
      <alignment vertical="center"/>
    </xf>
    <xf numFmtId="15" fontId="4" fillId="0" borderId="4" xfId="56" applyNumberFormat="1" applyFont="1" applyFill="1" applyBorder="1" applyAlignment="1">
      <alignment vertical="center" wrapText="1"/>
    </xf>
    <xf numFmtId="0" fontId="14" fillId="16" borderId="16" xfId="56" applyFont="1" applyFill="1" applyBorder="1" applyAlignment="1">
      <alignment horizontal="center" vertical="center"/>
    </xf>
    <xf numFmtId="0" fontId="14" fillId="16" borderId="2" xfId="56" applyFont="1" applyFill="1" applyBorder="1" applyAlignment="1">
      <alignment horizontal="center" vertical="center"/>
    </xf>
    <xf numFmtId="0" fontId="14" fillId="9" borderId="7" xfId="56" applyFont="1" applyFill="1" applyBorder="1" applyAlignment="1">
      <alignment horizontal="center" vertical="center"/>
    </xf>
    <xf numFmtId="0" fontId="14" fillId="9" borderId="8" xfId="56" applyFont="1" applyFill="1" applyBorder="1" applyAlignment="1">
      <alignment horizontal="center" vertical="center"/>
    </xf>
    <xf numFmtId="0" fontId="14" fillId="9" borderId="1" xfId="56" applyFont="1" applyFill="1" applyBorder="1" applyAlignment="1">
      <alignment horizontal="center" vertical="center"/>
    </xf>
    <xf numFmtId="15" fontId="8" fillId="0" borderId="4" xfId="56" applyNumberFormat="1" applyFont="1" applyFill="1" applyBorder="1" applyAlignment="1">
      <alignment vertical="center" wrapText="1"/>
    </xf>
    <xf numFmtId="0" fontId="14" fillId="10" borderId="1" xfId="56" applyFont="1" applyFill="1" applyBorder="1" applyAlignment="1">
      <alignment horizontal="center" vertical="center"/>
    </xf>
    <xf numFmtId="0" fontId="4" fillId="10" borderId="15" xfId="56" applyFont="1" applyFill="1" applyBorder="1" applyAlignment="1">
      <alignment vertical="center"/>
    </xf>
    <xf numFmtId="181" fontId="4" fillId="0" borderId="3" xfId="81" applyNumberFormat="1" applyFont="1" applyFill="1" applyBorder="1" applyAlignment="1">
      <alignment vertical="center" wrapText="1"/>
    </xf>
    <xf numFmtId="181" fontId="4" fillId="0" borderId="3" xfId="24" applyNumberFormat="1" applyFont="1" applyFill="1" applyBorder="1" applyAlignment="1">
      <alignment vertical="center" wrapText="1"/>
    </xf>
    <xf numFmtId="1" fontId="8" fillId="0" borderId="3" xfId="56" applyNumberFormat="1" applyFont="1" applyFill="1" applyBorder="1" applyAlignment="1">
      <alignment horizontal="center" vertical="center"/>
    </xf>
    <xf numFmtId="15" fontId="8" fillId="0" borderId="3" xfId="56" applyNumberFormat="1" applyFont="1" applyFill="1" applyBorder="1" applyAlignment="1">
      <alignment horizontal="center" vertical="center"/>
    </xf>
    <xf numFmtId="41" fontId="8" fillId="0" borderId="3" xfId="24" applyNumberFormat="1" applyFont="1" applyFill="1" applyBorder="1" applyAlignment="1">
      <alignment vertical="center"/>
    </xf>
    <xf numFmtId="41" fontId="8" fillId="0" borderId="3" xfId="24" applyNumberFormat="1" applyFont="1" applyFill="1" applyBorder="1" applyAlignment="1">
      <alignment horizontal="center" vertical="center"/>
    </xf>
    <xf numFmtId="181" fontId="8" fillId="0" borderId="3" xfId="81" applyNumberFormat="1" applyFont="1" applyFill="1" applyBorder="1" applyAlignment="1">
      <alignment vertical="center" wrapText="1"/>
    </xf>
    <xf numFmtId="181" fontId="4" fillId="3" borderId="3" xfId="81" applyNumberFormat="1" applyFont="1" applyFill="1" applyBorder="1" applyAlignment="1">
      <alignment vertical="center" wrapText="1"/>
    </xf>
    <xf numFmtId="0" fontId="8" fillId="0" borderId="3" xfId="56" applyFont="1" applyFill="1" applyBorder="1"/>
    <xf numFmtId="0" fontId="4" fillId="10" borderId="15" xfId="56" applyFont="1" applyFill="1" applyBorder="1" applyAlignment="1">
      <alignment horizontal="center" vertical="center"/>
    </xf>
    <xf numFmtId="181" fontId="4" fillId="0" borderId="3" xfId="81" applyNumberFormat="1" applyFont="1" applyFill="1" applyBorder="1" applyAlignment="1">
      <alignment horizontal="center" vertical="center" wrapText="1"/>
    </xf>
    <xf numFmtId="181" fontId="4" fillId="0" borderId="3" xfId="24" applyNumberFormat="1" applyFont="1" applyFill="1" applyBorder="1" applyAlignment="1">
      <alignment horizontal="center" vertical="center" wrapText="1"/>
    </xf>
    <xf numFmtId="181" fontId="8" fillId="0" borderId="3" xfId="24" applyNumberFormat="1" applyFont="1" applyFill="1" applyBorder="1" applyAlignment="1">
      <alignment horizontal="center" vertical="center"/>
    </xf>
    <xf numFmtId="3" fontId="8" fillId="0" borderId="3" xfId="56" applyNumberFormat="1" applyFont="1" applyFill="1" applyBorder="1" applyAlignment="1" applyProtection="1">
      <alignment horizontal="center" vertical="center" wrapText="1"/>
      <protection locked="0"/>
    </xf>
    <xf numFmtId="181" fontId="8" fillId="0" borderId="3" xfId="81" applyNumberFormat="1" applyFont="1" applyFill="1" applyBorder="1" applyAlignment="1">
      <alignment horizontal="center" vertical="center" wrapText="1"/>
    </xf>
    <xf numFmtId="181" fontId="8" fillId="0" borderId="3" xfId="24" applyNumberFormat="1" applyFont="1" applyFill="1" applyBorder="1" applyAlignment="1">
      <alignment horizontal="center" vertical="center" wrapText="1"/>
    </xf>
    <xf numFmtId="49" fontId="4" fillId="0" borderId="3" xfId="56" applyNumberFormat="1" applyFont="1" applyFill="1" applyBorder="1" applyAlignment="1">
      <alignment horizontal="center" vertical="center" wrapText="1"/>
    </xf>
    <xf numFmtId="49" fontId="8" fillId="0" borderId="3" xfId="56" applyNumberFormat="1" applyFont="1" applyFill="1" applyBorder="1" applyAlignment="1">
      <alignment horizontal="center" vertical="center" wrapText="1"/>
    </xf>
    <xf numFmtId="49" fontId="8" fillId="0" borderId="3" xfId="56" applyNumberFormat="1" applyFont="1" applyFill="1" applyBorder="1" applyAlignment="1">
      <alignment horizontal="center" vertical="center"/>
    </xf>
    <xf numFmtId="0" fontId="14" fillId="2" borderId="1" xfId="56" applyFont="1" applyFill="1" applyBorder="1" applyAlignment="1">
      <alignment horizontal="center" vertical="center"/>
    </xf>
    <xf numFmtId="0" fontId="4" fillId="16" borderId="2" xfId="56" applyFont="1" applyFill="1" applyBorder="1" applyAlignment="1">
      <alignment horizontal="center" vertical="center"/>
    </xf>
    <xf numFmtId="0" fontId="14" fillId="2" borderId="15" xfId="56" applyFont="1" applyFill="1" applyBorder="1" applyAlignment="1">
      <alignment horizontal="center" vertical="center"/>
    </xf>
    <xf numFmtId="49" fontId="27" fillId="0" borderId="3" xfId="56" applyNumberFormat="1" applyFont="1" applyFill="1" applyBorder="1" applyAlignment="1">
      <alignment vertical="center" wrapText="1"/>
    </xf>
    <xf numFmtId="0" fontId="20" fillId="0" borderId="3" xfId="166" applyNumberFormat="1" applyFont="1" applyFill="1" applyBorder="1" applyAlignment="1" applyProtection="1">
      <alignment horizontal="center" vertical="center" wrapText="1"/>
    </xf>
    <xf numFmtId="0" fontId="23" fillId="0" borderId="3" xfId="93" applyFont="1" applyFill="1" applyBorder="1" applyAlignment="1">
      <alignment wrapText="1"/>
    </xf>
    <xf numFmtId="15" fontId="23" fillId="0" borderId="0" xfId="160" applyNumberFormat="1" applyFont="1" applyFill="1" applyAlignment="1">
      <alignment wrapText="1"/>
    </xf>
    <xf numFmtId="0" fontId="23" fillId="0" borderId="0" xfId="160" applyFont="1" applyFill="1" applyAlignment="1">
      <alignment wrapText="1"/>
    </xf>
    <xf numFmtId="0" fontId="4" fillId="0" borderId="4" xfId="56" applyFont="1" applyFill="1" applyBorder="1" applyAlignment="1" applyProtection="1">
      <alignment vertical="center" wrapText="1"/>
      <protection locked="0"/>
    </xf>
    <xf numFmtId="0" fontId="4" fillId="0" borderId="4" xfId="56" applyFont="1" applyFill="1" applyBorder="1" applyAlignment="1" applyProtection="1">
      <alignment horizontal="left" vertical="center" wrapText="1"/>
      <protection locked="0"/>
    </xf>
    <xf numFmtId="0" fontId="22" fillId="0" borderId="0" xfId="160" applyFill="1" applyAlignment="1"/>
    <xf numFmtId="179" fontId="4" fillId="0" borderId="3" xfId="56" applyNumberFormat="1" applyFont="1" applyFill="1" applyBorder="1" applyAlignment="1" applyProtection="1">
      <alignment horizontal="center" vertical="center" wrapText="1"/>
      <protection locked="0"/>
    </xf>
    <xf numFmtId="0" fontId="4" fillId="0" borderId="3" xfId="56" applyFont="1" applyFill="1" applyBorder="1" applyAlignment="1" applyProtection="1">
      <alignment horizontal="center" vertical="center" wrapText="1"/>
      <protection locked="0"/>
    </xf>
    <xf numFmtId="178" fontId="4" fillId="0" borderId="3" xfId="56" applyNumberFormat="1" applyFont="1" applyFill="1" applyBorder="1" applyAlignment="1" applyProtection="1">
      <alignment horizontal="center" vertical="center" wrapText="1"/>
      <protection locked="0"/>
    </xf>
    <xf numFmtId="178" fontId="4" fillId="0" borderId="3" xfId="56" applyNumberFormat="1" applyFont="1" applyFill="1" applyBorder="1" applyAlignment="1">
      <alignment horizontal="center" vertical="center"/>
    </xf>
    <xf numFmtId="179" fontId="8" fillId="0" borderId="3" xfId="56" applyNumberFormat="1" applyFont="1" applyFill="1" applyBorder="1" applyAlignment="1" applyProtection="1">
      <alignment horizontal="center" vertical="center" wrapText="1"/>
      <protection locked="0"/>
    </xf>
    <xf numFmtId="15" fontId="4" fillId="0" borderId="4" xfId="56" applyNumberFormat="1" applyFont="1" applyFill="1" applyBorder="1" applyAlignment="1" applyProtection="1">
      <alignment horizontal="center" vertical="center" wrapText="1"/>
      <protection locked="0"/>
    </xf>
    <xf numFmtId="15" fontId="4" fillId="0" borderId="3" xfId="56" applyNumberFormat="1" applyFont="1" applyFill="1" applyBorder="1" applyAlignment="1">
      <alignment vertical="center"/>
    </xf>
    <xf numFmtId="0" fontId="14" fillId="16" borderId="26" xfId="56" applyFont="1" applyFill="1" applyBorder="1" applyAlignment="1">
      <alignment horizontal="center" vertical="center"/>
    </xf>
    <xf numFmtId="15" fontId="4" fillId="3" borderId="3" xfId="56" applyNumberFormat="1" applyFont="1" applyFill="1" applyBorder="1" applyAlignment="1">
      <alignment vertical="center"/>
    </xf>
    <xf numFmtId="15" fontId="4" fillId="4" borderId="3" xfId="56" applyNumberFormat="1" applyFont="1" applyFill="1" applyBorder="1" applyAlignment="1">
      <alignment vertical="center"/>
    </xf>
    <xf numFmtId="15" fontId="4" fillId="4" borderId="4" xfId="56" applyNumberFormat="1" applyFont="1" applyFill="1" applyBorder="1" applyAlignment="1" applyProtection="1">
      <alignment horizontal="center" vertical="center" wrapText="1"/>
      <protection locked="0"/>
    </xf>
    <xf numFmtId="15" fontId="4" fillId="5" borderId="4" xfId="56" applyNumberFormat="1" applyFont="1" applyFill="1" applyBorder="1" applyAlignment="1">
      <alignment vertical="center" wrapText="1"/>
    </xf>
    <xf numFmtId="0" fontId="24" fillId="0" borderId="3" xfId="160" applyFont="1" applyFill="1" applyBorder="1" applyAlignment="1">
      <alignment wrapText="1"/>
    </xf>
    <xf numFmtId="15" fontId="4" fillId="0" borderId="4" xfId="56" applyNumberFormat="1" applyFont="1" applyFill="1" applyBorder="1" applyAlignment="1">
      <alignment vertical="center"/>
    </xf>
    <xf numFmtId="15" fontId="8" fillId="0" borderId="4" xfId="56" applyNumberFormat="1" applyFont="1" applyFill="1" applyBorder="1" applyAlignment="1">
      <alignment vertical="center"/>
    </xf>
    <xf numFmtId="0" fontId="14" fillId="16" borderId="15" xfId="56" applyFont="1" applyFill="1" applyBorder="1" applyAlignment="1">
      <alignment horizontal="center" vertical="center"/>
    </xf>
    <xf numFmtId="15" fontId="4" fillId="4" borderId="4" xfId="56" applyNumberFormat="1" applyFont="1" applyFill="1" applyBorder="1" applyAlignment="1">
      <alignment vertical="center" wrapText="1"/>
    </xf>
    <xf numFmtId="15" fontId="4" fillId="3" borderId="4" xfId="56" applyNumberFormat="1" applyFont="1" applyFill="1" applyBorder="1" applyAlignment="1">
      <alignment vertical="center" wrapText="1"/>
    </xf>
    <xf numFmtId="15" fontId="4" fillId="3" borderId="3" xfId="56" applyNumberFormat="1" applyFont="1" applyFill="1" applyBorder="1" applyAlignment="1">
      <alignment vertical="center" wrapText="1"/>
    </xf>
    <xf numFmtId="1" fontId="8" fillId="0" borderId="4" xfId="56" applyNumberFormat="1" applyFont="1" applyFill="1" applyBorder="1" applyAlignment="1">
      <alignment horizontal="center" vertical="center"/>
    </xf>
    <xf numFmtId="15" fontId="8" fillId="0" borderId="4" xfId="56" applyNumberFormat="1" applyFont="1" applyFill="1" applyBorder="1" applyAlignment="1">
      <alignment horizontal="center" vertical="center"/>
    </xf>
    <xf numFmtId="181" fontId="4" fillId="0" borderId="3" xfId="81" applyNumberFormat="1" applyFont="1" applyFill="1" applyBorder="1" applyAlignment="1" applyProtection="1">
      <alignment horizontal="left" vertical="center" wrapText="1"/>
      <protection locked="0"/>
    </xf>
    <xf numFmtId="181" fontId="4" fillId="3" borderId="3" xfId="81" applyNumberFormat="1" applyFont="1" applyFill="1" applyBorder="1" applyAlignment="1" applyProtection="1">
      <alignment horizontal="left" vertical="center" wrapText="1"/>
      <protection locked="0"/>
    </xf>
    <xf numFmtId="181" fontId="4" fillId="5" borderId="3" xfId="81" applyNumberFormat="1" applyFont="1" applyFill="1" applyBorder="1" applyAlignment="1" applyProtection="1">
      <alignment horizontal="left" vertical="center" wrapText="1"/>
      <protection locked="0"/>
    </xf>
    <xf numFmtId="181" fontId="4" fillId="5" borderId="3" xfId="81" applyNumberFormat="1" applyFont="1" applyFill="1" applyBorder="1" applyAlignment="1">
      <alignment vertical="center" wrapText="1"/>
    </xf>
    <xf numFmtId="181" fontId="4" fillId="0" borderId="4" xfId="24" applyNumberFormat="1" applyFont="1" applyFill="1" applyBorder="1" applyAlignment="1" applyProtection="1">
      <alignment horizontal="left" vertical="center" wrapText="1"/>
      <protection locked="0"/>
    </xf>
    <xf numFmtId="3" fontId="4" fillId="0" borderId="4" xfId="56" applyNumberFormat="1" applyFont="1" applyFill="1" applyBorder="1" applyAlignment="1" applyProtection="1">
      <alignment horizontal="center" vertical="center" wrapText="1"/>
      <protection locked="0"/>
    </xf>
    <xf numFmtId="181" fontId="4" fillId="0" borderId="3" xfId="24" applyNumberFormat="1" applyFont="1" applyFill="1" applyBorder="1" applyAlignment="1">
      <alignment vertical="center"/>
    </xf>
    <xf numFmtId="181" fontId="0" fillId="0" borderId="0" xfId="81" applyNumberFormat="1" applyFont="1" applyFill="1"/>
    <xf numFmtId="181" fontId="8" fillId="0" borderId="3" xfId="81" applyNumberFormat="1" applyFont="1" applyFill="1" applyBorder="1" applyAlignment="1">
      <alignment vertical="center"/>
    </xf>
    <xf numFmtId="181" fontId="8" fillId="0" borderId="3" xfId="81" applyNumberFormat="1" applyFont="1" applyFill="1" applyBorder="1" applyAlignment="1">
      <alignment horizontal="center" vertical="center"/>
    </xf>
    <xf numFmtId="181" fontId="8" fillId="0" borderId="3" xfId="24" applyNumberFormat="1" applyFont="1" applyFill="1" applyBorder="1" applyAlignment="1">
      <alignment vertical="center"/>
    </xf>
    <xf numFmtId="181" fontId="8" fillId="0" borderId="3" xfId="81" applyNumberFormat="1" applyFont="1" applyFill="1" applyBorder="1" applyAlignment="1" applyProtection="1">
      <alignment horizontal="left" vertical="center" wrapText="1"/>
      <protection locked="0"/>
    </xf>
    <xf numFmtId="181" fontId="4" fillId="3" borderId="3" xfId="81" applyNumberFormat="1" applyFont="1" applyFill="1" applyBorder="1" applyAlignment="1">
      <alignment horizontal="center" vertical="center" wrapText="1"/>
    </xf>
    <xf numFmtId="49" fontId="4" fillId="0" borderId="3" xfId="56" applyNumberFormat="1" applyFont="1" applyFill="1" applyBorder="1" applyAlignment="1">
      <alignment horizontal="center" vertical="center"/>
    </xf>
    <xf numFmtId="181" fontId="4" fillId="0" borderId="3" xfId="24" applyNumberFormat="1" applyFont="1" applyFill="1" applyBorder="1" applyAlignment="1">
      <alignment horizontal="center" vertical="center"/>
    </xf>
    <xf numFmtId="49" fontId="4" fillId="0" borderId="3" xfId="56" applyNumberFormat="1" applyFont="1" applyFill="1" applyBorder="1" applyAlignment="1" applyProtection="1">
      <alignment horizontal="center" vertical="center" wrapText="1"/>
      <protection locked="0"/>
    </xf>
    <xf numFmtId="49" fontId="4" fillId="0" borderId="21" xfId="56" applyNumberFormat="1" applyFont="1" applyFill="1" applyBorder="1" applyAlignment="1">
      <alignment horizontal="center" vertical="center" wrapText="1"/>
    </xf>
    <xf numFmtId="0" fontId="8" fillId="0" borderId="3" xfId="56" applyNumberFormat="1" applyFont="1" applyFill="1" applyBorder="1" applyAlignment="1">
      <alignment horizontal="center" vertical="center"/>
    </xf>
    <xf numFmtId="49" fontId="8" fillId="0" borderId="21" xfId="56" applyNumberFormat="1" applyFont="1" applyFill="1" applyBorder="1" applyAlignment="1">
      <alignment horizontal="center" vertical="center" wrapText="1"/>
    </xf>
    <xf numFmtId="0" fontId="4" fillId="0" borderId="3" xfId="56" applyNumberFormat="1" applyFont="1" applyFill="1" applyBorder="1" applyAlignment="1">
      <alignment horizontal="center" vertical="center"/>
    </xf>
    <xf numFmtId="0" fontId="4" fillId="0" borderId="21" xfId="56" applyFont="1" applyFill="1" applyBorder="1" applyAlignment="1">
      <alignment vertical="center"/>
    </xf>
    <xf numFmtId="0" fontId="8" fillId="0" borderId="21" xfId="56" applyFont="1" applyFill="1" applyBorder="1" applyAlignment="1">
      <alignment vertical="center"/>
    </xf>
    <xf numFmtId="0" fontId="14" fillId="4" borderId="1" xfId="56" applyFont="1" applyFill="1" applyBorder="1" applyAlignment="1">
      <alignment horizontal="left" vertical="center" wrapText="1"/>
    </xf>
    <xf numFmtId="0" fontId="14" fillId="4" borderId="38" xfId="56" applyFont="1" applyFill="1" applyBorder="1" applyAlignment="1">
      <alignment horizontal="left" vertical="center" wrapText="1"/>
    </xf>
    <xf numFmtId="15" fontId="22" fillId="0" borderId="3" xfId="160" applyNumberFormat="1" applyFont="1" applyFill="1" applyBorder="1" applyAlignment="1">
      <alignment wrapText="1"/>
    </xf>
    <xf numFmtId="0" fontId="22" fillId="0" borderId="0" xfId="160" applyFont="1" applyFill="1"/>
    <xf numFmtId="0" fontId="23" fillId="0" borderId="0" xfId="160" applyFont="1" applyFill="1"/>
    <xf numFmtId="0" fontId="22" fillId="17" borderId="0" xfId="160" applyFont="1" applyFill="1" applyAlignment="1">
      <alignment wrapText="1"/>
    </xf>
    <xf numFmtId="0" fontId="23" fillId="0" borderId="0" xfId="160" applyFont="1" applyFill="1" applyAlignment="1"/>
    <xf numFmtId="0" fontId="24" fillId="0" borderId="0" xfId="160" applyFont="1" applyFill="1" applyAlignment="1"/>
    <xf numFmtId="0" fontId="22" fillId="0" borderId="0" xfId="160" applyFont="1" applyFill="1" applyAlignment="1"/>
    <xf numFmtId="0" fontId="22" fillId="17" borderId="0" xfId="160" applyFill="1" applyAlignment="1"/>
    <xf numFmtId="0" fontId="22" fillId="0" borderId="0" xfId="160" applyAlignment="1"/>
    <xf numFmtId="49" fontId="22" fillId="0" borderId="0" xfId="160" applyNumberFormat="1" applyAlignment="1"/>
    <xf numFmtId="49" fontId="29" fillId="0" borderId="0" xfId="160" applyNumberFormat="1" applyFont="1" applyAlignment="1"/>
    <xf numFmtId="0" fontId="8" fillId="0" borderId="4" xfId="56" applyFont="1" applyFill="1" applyBorder="1" applyAlignment="1">
      <alignment vertical="center" wrapText="1"/>
    </xf>
    <xf numFmtId="0" fontId="4" fillId="17" borderId="4" xfId="56" applyFont="1" applyFill="1" applyBorder="1" applyAlignment="1">
      <alignment horizontal="center" vertical="center" wrapText="1"/>
    </xf>
    <xf numFmtId="0" fontId="4" fillId="17" borderId="4" xfId="56" applyFont="1" applyFill="1" applyBorder="1" applyAlignment="1">
      <alignment vertical="center" wrapText="1"/>
    </xf>
    <xf numFmtId="0" fontId="4" fillId="17" borderId="3" xfId="56" applyFont="1" applyFill="1" applyBorder="1" applyAlignment="1">
      <alignment vertical="center" wrapText="1"/>
    </xf>
    <xf numFmtId="0" fontId="27" fillId="0" borderId="3" xfId="56" applyFont="1" applyFill="1" applyBorder="1" applyAlignment="1">
      <alignment vertical="center"/>
    </xf>
    <xf numFmtId="0" fontId="46" fillId="0" borderId="31" xfId="160" applyFont="1" applyFill="1" applyBorder="1"/>
    <xf numFmtId="0" fontId="22" fillId="0" borderId="20" xfId="160" applyFill="1" applyBorder="1"/>
    <xf numFmtId="0" fontId="28" fillId="0" borderId="3" xfId="56" applyFont="1" applyFill="1" applyBorder="1" applyAlignment="1">
      <alignment vertical="center"/>
    </xf>
    <xf numFmtId="0" fontId="36" fillId="0" borderId="3" xfId="56" applyFont="1" applyFill="1" applyBorder="1" applyAlignment="1">
      <alignment vertical="center"/>
    </xf>
    <xf numFmtId="0" fontId="14" fillId="16" borderId="1" xfId="56" applyFont="1" applyFill="1" applyBorder="1" applyAlignment="1">
      <alignment horizontal="center" vertical="center" wrapText="1"/>
    </xf>
    <xf numFmtId="0" fontId="4" fillId="16" borderId="15" xfId="56" applyFont="1" applyFill="1" applyBorder="1" applyAlignment="1">
      <alignment vertical="center" wrapText="1"/>
    </xf>
    <xf numFmtId="178" fontId="4" fillId="17" borderId="3" xfId="56" applyNumberFormat="1" applyFont="1" applyFill="1" applyBorder="1" applyAlignment="1">
      <alignment horizontal="center" vertical="center" wrapText="1"/>
    </xf>
    <xf numFmtId="178" fontId="27" fillId="0" borderId="3" xfId="56" applyNumberFormat="1" applyFont="1" applyFill="1" applyBorder="1" applyAlignment="1">
      <alignment horizontal="center" vertical="center" wrapText="1"/>
    </xf>
    <xf numFmtId="178" fontId="28" fillId="0" borderId="3" xfId="56" applyNumberFormat="1" applyFont="1" applyFill="1" applyBorder="1" applyAlignment="1">
      <alignment horizontal="center" vertical="center" wrapText="1"/>
    </xf>
    <xf numFmtId="179" fontId="27" fillId="0" borderId="3" xfId="56" applyNumberFormat="1" applyFont="1" applyFill="1" applyBorder="1" applyAlignment="1" applyProtection="1">
      <alignment horizontal="center" vertical="center" wrapText="1"/>
      <protection locked="0"/>
    </xf>
    <xf numFmtId="179" fontId="28" fillId="0" borderId="3" xfId="56" applyNumberFormat="1" applyFont="1" applyFill="1" applyBorder="1" applyAlignment="1" applyProtection="1">
      <alignment horizontal="center" vertical="center" wrapText="1"/>
      <protection locked="0"/>
    </xf>
    <xf numFmtId="0" fontId="4" fillId="17" borderId="3" xfId="56" applyFont="1" applyFill="1" applyBorder="1" applyAlignment="1">
      <alignment horizontal="center" vertical="center" wrapText="1"/>
    </xf>
    <xf numFmtId="15" fontId="4" fillId="17" borderId="4" xfId="56" applyNumberFormat="1" applyFont="1" applyFill="1" applyBorder="1" applyAlignment="1">
      <alignment vertical="center" wrapText="1"/>
    </xf>
    <xf numFmtId="0" fontId="27" fillId="0" borderId="3" xfId="56" applyFont="1" applyFill="1" applyBorder="1" applyAlignment="1">
      <alignment horizontal="center" vertical="center" wrapText="1"/>
    </xf>
    <xf numFmtId="15" fontId="27" fillId="0" borderId="3" xfId="56" applyNumberFormat="1" applyFont="1" applyFill="1" applyBorder="1" applyAlignment="1">
      <alignment vertical="center" wrapText="1"/>
    </xf>
    <xf numFmtId="0" fontId="28" fillId="0" borderId="3" xfId="56" applyFont="1" applyFill="1" applyBorder="1" applyAlignment="1">
      <alignment horizontal="center" vertical="center" wrapText="1"/>
    </xf>
    <xf numFmtId="15" fontId="28" fillId="0" borderId="3" xfId="56" applyNumberFormat="1" applyFont="1" applyFill="1" applyBorder="1" applyAlignment="1">
      <alignment vertical="center" wrapText="1"/>
    </xf>
    <xf numFmtId="15" fontId="27" fillId="0" borderId="3" xfId="56" applyNumberFormat="1" applyFont="1" applyFill="1" applyBorder="1" applyAlignment="1">
      <alignment vertical="center"/>
    </xf>
    <xf numFmtId="15" fontId="28" fillId="0" borderId="3" xfId="56" applyNumberFormat="1" applyFont="1" applyFill="1" applyBorder="1" applyAlignment="1">
      <alignment vertical="center"/>
    </xf>
    <xf numFmtId="15" fontId="4" fillId="17" borderId="3" xfId="56" applyNumberFormat="1" applyFont="1" applyFill="1" applyBorder="1" applyAlignment="1">
      <alignment vertical="center" wrapText="1"/>
    </xf>
    <xf numFmtId="15" fontId="4" fillId="4" borderId="3" xfId="56" applyNumberFormat="1" applyFont="1" applyFill="1" applyBorder="1" applyAlignment="1">
      <alignment vertical="center" wrapText="1"/>
    </xf>
    <xf numFmtId="15" fontId="27" fillId="3" borderId="3" xfId="56" applyNumberFormat="1" applyFont="1" applyFill="1" applyBorder="1" applyAlignment="1">
      <alignment vertical="center"/>
    </xf>
    <xf numFmtId="15" fontId="27" fillId="4" borderId="3" xfId="56" applyNumberFormat="1" applyFont="1" applyFill="1" applyBorder="1" applyAlignment="1">
      <alignment vertical="center" wrapText="1"/>
    </xf>
    <xf numFmtId="15" fontId="27" fillId="4" borderId="3" xfId="56" applyNumberFormat="1" applyFont="1" applyFill="1" applyBorder="1" applyAlignment="1">
      <alignment vertical="center"/>
    </xf>
    <xf numFmtId="15" fontId="27" fillId="3" borderId="3" xfId="56" applyNumberFormat="1" applyFont="1" applyFill="1" applyBorder="1" applyAlignment="1">
      <alignment vertical="center" wrapText="1"/>
    </xf>
    <xf numFmtId="15" fontId="28" fillId="3" borderId="3" xfId="56" applyNumberFormat="1" applyFont="1" applyFill="1" applyBorder="1" applyAlignment="1">
      <alignment vertical="center" wrapText="1"/>
    </xf>
    <xf numFmtId="0" fontId="23" fillId="0" borderId="3" xfId="160" applyFont="1" applyFill="1" applyBorder="1" applyAlignment="1"/>
    <xf numFmtId="15" fontId="27" fillId="4" borderId="4" xfId="56" applyNumberFormat="1" applyFont="1" applyFill="1" applyBorder="1" applyAlignment="1">
      <alignment vertical="center"/>
    </xf>
    <xf numFmtId="0" fontId="14" fillId="9" borderId="15" xfId="56" applyFont="1" applyFill="1" applyBorder="1" applyAlignment="1">
      <alignment horizontal="center" vertical="center"/>
    </xf>
    <xf numFmtId="0" fontId="22" fillId="17" borderId="3" xfId="160" applyFont="1" applyFill="1" applyBorder="1" applyAlignment="1">
      <alignment wrapText="1"/>
    </xf>
    <xf numFmtId="15" fontId="8" fillId="3" borderId="4" xfId="56" applyNumberFormat="1" applyFont="1" applyFill="1" applyBorder="1" applyAlignment="1">
      <alignment vertical="center" wrapText="1"/>
    </xf>
    <xf numFmtId="1" fontId="4" fillId="17" borderId="3" xfId="0" applyNumberFormat="1" applyFont="1" applyFill="1" applyBorder="1" applyAlignment="1">
      <alignment horizontal="center" vertical="center" wrapText="1"/>
    </xf>
    <xf numFmtId="15" fontId="4" fillId="17" borderId="3" xfId="0" applyNumberFormat="1" applyFont="1" applyFill="1" applyBorder="1" applyAlignment="1">
      <alignment horizontal="center" vertical="center" wrapText="1"/>
    </xf>
    <xf numFmtId="0" fontId="14" fillId="10" borderId="2" xfId="56" applyFont="1" applyFill="1" applyBorder="1" applyAlignment="1">
      <alignment horizontal="center" vertical="center"/>
    </xf>
    <xf numFmtId="181" fontId="8" fillId="0" borderId="3" xfId="24" applyNumberFormat="1" applyFont="1" applyFill="1" applyBorder="1" applyAlignment="1">
      <alignment vertical="center" wrapText="1"/>
    </xf>
    <xf numFmtId="181" fontId="4" fillId="17" borderId="3" xfId="24" applyNumberFormat="1" applyFont="1" applyFill="1" applyBorder="1" applyAlignment="1">
      <alignment vertical="center" wrapText="1"/>
    </xf>
    <xf numFmtId="181" fontId="4" fillId="0" borderId="4" xfId="171" applyNumberFormat="1" applyFont="1" applyFill="1" applyBorder="1" applyAlignment="1">
      <alignment horizontal="center" vertical="center" wrapText="1"/>
    </xf>
    <xf numFmtId="181" fontId="8" fillId="0" borderId="4" xfId="171" applyNumberFormat="1" applyFont="1" applyFill="1" applyBorder="1" applyAlignment="1">
      <alignment horizontal="left" vertical="center"/>
    </xf>
    <xf numFmtId="181" fontId="8" fillId="0" borderId="3" xfId="24" applyNumberFormat="1" applyFont="1" applyFill="1" applyBorder="1" applyAlignment="1">
      <alignment horizontal="left" vertical="center"/>
    </xf>
    <xf numFmtId="181" fontId="4" fillId="0" borderId="4" xfId="171" applyNumberFormat="1" applyFont="1" applyFill="1" applyBorder="1" applyAlignment="1">
      <alignment horizontal="left" vertical="center"/>
    </xf>
    <xf numFmtId="181" fontId="4" fillId="0" borderId="3" xfId="24" applyNumberFormat="1" applyFont="1" applyFill="1" applyBorder="1" applyAlignment="1">
      <alignment horizontal="left" vertical="center"/>
    </xf>
    <xf numFmtId="181" fontId="27" fillId="0" borderId="3" xfId="24" applyNumberFormat="1" applyFont="1" applyFill="1" applyBorder="1" applyAlignment="1">
      <alignment vertical="center" wrapText="1"/>
    </xf>
    <xf numFmtId="181" fontId="27" fillId="0" borderId="3" xfId="24" applyNumberFormat="1" applyFont="1" applyFill="1" applyBorder="1" applyAlignment="1">
      <alignment horizontal="center" vertical="center" wrapText="1"/>
    </xf>
    <xf numFmtId="181" fontId="27" fillId="0" borderId="3" xfId="24" applyNumberFormat="1" applyFont="1" applyFill="1" applyBorder="1" applyAlignment="1">
      <alignment wrapText="1"/>
    </xf>
    <xf numFmtId="181" fontId="28" fillId="0" borderId="3" xfId="24" applyNumberFormat="1" applyFont="1" applyFill="1" applyBorder="1" applyAlignment="1">
      <alignment vertical="center" wrapText="1"/>
    </xf>
    <xf numFmtId="181" fontId="28" fillId="0" borderId="3" xfId="24" applyNumberFormat="1" applyFont="1" applyFill="1" applyBorder="1" applyAlignment="1">
      <alignment horizontal="center" vertical="center" wrapText="1"/>
    </xf>
    <xf numFmtId="181" fontId="28" fillId="0" borderId="3" xfId="24" applyNumberFormat="1" applyFont="1" applyFill="1" applyBorder="1" applyAlignment="1">
      <alignment wrapText="1"/>
    </xf>
    <xf numFmtId="181" fontId="27" fillId="0" borderId="3" xfId="24" applyNumberFormat="1" applyFont="1" applyFill="1" applyBorder="1" applyAlignment="1">
      <alignment vertical="center"/>
    </xf>
    <xf numFmtId="0" fontId="27" fillId="0" borderId="3" xfId="160" applyFont="1" applyFill="1" applyBorder="1" applyAlignment="1">
      <alignment wrapText="1"/>
    </xf>
    <xf numFmtId="181" fontId="27" fillId="0" borderId="3" xfId="171" applyNumberFormat="1" applyFont="1" applyFill="1" applyBorder="1" applyAlignment="1">
      <alignment vertical="center" wrapText="1"/>
    </xf>
    <xf numFmtId="181" fontId="28" fillId="0" borderId="3" xfId="24" applyNumberFormat="1" applyFont="1" applyFill="1" applyBorder="1" applyAlignment="1">
      <alignment vertical="center"/>
    </xf>
    <xf numFmtId="0" fontId="28" fillId="0" borderId="3" xfId="160" applyFont="1" applyFill="1" applyBorder="1" applyAlignment="1">
      <alignment wrapText="1"/>
    </xf>
    <xf numFmtId="181" fontId="28" fillId="0" borderId="3" xfId="171" applyNumberFormat="1" applyFont="1" applyFill="1" applyBorder="1" applyAlignment="1">
      <alignment vertical="center" wrapText="1"/>
    </xf>
    <xf numFmtId="0" fontId="14" fillId="4" borderId="1" xfId="56" applyFont="1" applyFill="1" applyBorder="1" applyAlignment="1">
      <alignment horizontal="center" vertical="center" wrapText="1"/>
    </xf>
    <xf numFmtId="0" fontId="4" fillId="10" borderId="15" xfId="160" applyFont="1" applyFill="1" applyBorder="1" applyAlignment="1">
      <alignment horizontal="center" vertical="center"/>
    </xf>
    <xf numFmtId="0" fontId="14" fillId="10" borderId="15" xfId="56" applyFont="1" applyFill="1" applyBorder="1" applyAlignment="1">
      <alignment horizontal="center" vertical="center"/>
    </xf>
    <xf numFmtId="0" fontId="14" fillId="4" borderId="15" xfId="56" applyFont="1" applyFill="1" applyBorder="1" applyAlignment="1">
      <alignment horizontal="center" vertical="center" wrapText="1"/>
    </xf>
    <xf numFmtId="181" fontId="4" fillId="3" borderId="3" xfId="24" applyNumberFormat="1" applyFont="1" applyFill="1" applyBorder="1" applyAlignment="1">
      <alignment vertical="center" wrapText="1"/>
    </xf>
    <xf numFmtId="181" fontId="4" fillId="17" borderId="3" xfId="24" applyNumberFormat="1" applyFont="1" applyFill="1" applyBorder="1" applyAlignment="1">
      <alignment horizontal="center" vertical="center" wrapText="1"/>
    </xf>
    <xf numFmtId="49" fontId="28" fillId="0" borderId="3" xfId="56" applyNumberFormat="1" applyFont="1" applyFill="1" applyBorder="1" applyAlignment="1">
      <alignment horizontal="center" vertical="center" wrapText="1"/>
    </xf>
    <xf numFmtId="181" fontId="28" fillId="0" borderId="3" xfId="24" applyNumberFormat="1" applyFont="1" applyFill="1" applyBorder="1" applyAlignment="1">
      <alignment horizontal="center" vertical="center"/>
    </xf>
    <xf numFmtId="49" fontId="14" fillId="16" borderId="1" xfId="56" applyNumberFormat="1" applyFont="1" applyFill="1" applyBorder="1" applyAlignment="1">
      <alignment horizontal="center" vertical="center"/>
    </xf>
    <xf numFmtId="49" fontId="4" fillId="16" borderId="15" xfId="56" applyNumberFormat="1" applyFont="1" applyFill="1" applyBorder="1" applyAlignment="1">
      <alignment horizontal="center" vertical="center"/>
    </xf>
    <xf numFmtId="0" fontId="4" fillId="17" borderId="3" xfId="56" applyNumberFormat="1" applyFont="1" applyFill="1" applyBorder="1" applyAlignment="1">
      <alignment horizontal="center" vertical="center" wrapText="1"/>
    </xf>
    <xf numFmtId="49" fontId="4" fillId="17" borderId="3" xfId="56" applyNumberFormat="1" applyFont="1" applyFill="1" applyBorder="1" applyAlignment="1">
      <alignment horizontal="center" vertical="center" wrapText="1"/>
    </xf>
    <xf numFmtId="0" fontId="24" fillId="0" borderId="3" xfId="160" applyFont="1" applyFill="1" applyBorder="1" applyAlignment="1"/>
    <xf numFmtId="0" fontId="27" fillId="0" borderId="3" xfId="56" applyNumberFormat="1" applyFont="1" applyFill="1" applyBorder="1" applyAlignment="1">
      <alignment horizontal="center" vertical="center" wrapText="1"/>
    </xf>
    <xf numFmtId="49" fontId="27" fillId="0" borderId="3" xfId="56" applyNumberFormat="1" applyFont="1" applyFill="1" applyBorder="1" applyAlignment="1">
      <alignment horizontal="center" vertical="center" wrapText="1"/>
    </xf>
    <xf numFmtId="0" fontId="28" fillId="0" borderId="3" xfId="56" applyNumberFormat="1" applyFont="1" applyFill="1" applyBorder="1" applyAlignment="1">
      <alignment horizontal="center" vertical="center" wrapText="1"/>
    </xf>
    <xf numFmtId="49" fontId="22" fillId="0" borderId="0" xfId="160" applyNumberFormat="1" applyFill="1" applyAlignment="1"/>
    <xf numFmtId="0" fontId="23" fillId="0" borderId="3" xfId="160" applyFont="1" applyFill="1" applyBorder="1" applyAlignment="1">
      <alignment vertical="center"/>
    </xf>
    <xf numFmtId="49" fontId="27" fillId="0" borderId="3" xfId="56" applyNumberFormat="1" applyFont="1" applyFill="1" applyBorder="1" applyAlignment="1">
      <alignment horizontal="center" vertical="center"/>
    </xf>
    <xf numFmtId="0" fontId="27" fillId="0" borderId="3" xfId="56" applyNumberFormat="1" applyFont="1" applyFill="1" applyBorder="1" applyAlignment="1">
      <alignment horizontal="center" vertical="center"/>
    </xf>
    <xf numFmtId="49" fontId="8" fillId="0" borderId="21" xfId="56" applyNumberFormat="1" applyFont="1" applyFill="1" applyBorder="1" applyAlignment="1">
      <alignment horizontal="center" vertical="center"/>
    </xf>
    <xf numFmtId="49" fontId="28" fillId="0" borderId="3" xfId="56" applyNumberFormat="1" applyFont="1" applyFill="1" applyBorder="1" applyAlignment="1">
      <alignment horizontal="center" vertical="center"/>
    </xf>
    <xf numFmtId="0" fontId="28" fillId="0" borderId="3" xfId="56" applyNumberFormat="1" applyFont="1" applyFill="1" applyBorder="1" applyAlignment="1">
      <alignment horizontal="center" vertical="center"/>
    </xf>
    <xf numFmtId="49" fontId="48" fillId="2" borderId="1" xfId="56" applyNumberFormat="1" applyFont="1" applyFill="1" applyBorder="1" applyAlignment="1">
      <alignment horizontal="center" vertical="center"/>
    </xf>
    <xf numFmtId="49" fontId="48" fillId="2" borderId="15" xfId="56" applyNumberFormat="1" applyFont="1" applyFill="1" applyBorder="1" applyAlignment="1">
      <alignment horizontal="center" vertical="center"/>
    </xf>
    <xf numFmtId="15" fontId="22" fillId="0" borderId="0" xfId="160" applyNumberFormat="1" applyFont="1" applyFill="1" applyAlignment="1"/>
    <xf numFmtId="49" fontId="28" fillId="0" borderId="3" xfId="56" applyNumberFormat="1" applyFont="1" applyFill="1" applyBorder="1" applyAlignment="1">
      <alignment vertical="center" wrapText="1"/>
    </xf>
    <xf numFmtId="15" fontId="23" fillId="0" borderId="3" xfId="160" applyNumberFormat="1" applyFont="1" applyFill="1" applyBorder="1" applyAlignment="1">
      <alignment wrapText="1"/>
    </xf>
    <xf numFmtId="15" fontId="23" fillId="0" borderId="0" xfId="160" applyNumberFormat="1" applyFont="1" applyFill="1" applyAlignment="1"/>
    <xf numFmtId="15" fontId="24" fillId="0" borderId="3" xfId="160" applyNumberFormat="1" applyFont="1" applyFill="1" applyBorder="1" applyAlignment="1">
      <alignment wrapText="1"/>
    </xf>
    <xf numFmtId="15" fontId="24" fillId="0" borderId="0" xfId="160" applyNumberFormat="1" applyFont="1" applyFill="1" applyAlignment="1"/>
    <xf numFmtId="49" fontId="27" fillId="17" borderId="3" xfId="56" applyNumberFormat="1" applyFont="1" applyFill="1" applyBorder="1" applyAlignment="1">
      <alignment vertical="center" wrapText="1"/>
    </xf>
    <xf numFmtId="15" fontId="22" fillId="17" borderId="3" xfId="160" applyNumberFormat="1" applyFont="1" applyFill="1" applyBorder="1" applyAlignment="1">
      <alignment wrapText="1"/>
    </xf>
    <xf numFmtId="15" fontId="22" fillId="17" borderId="0" xfId="160" applyNumberFormat="1" applyFont="1" applyFill="1" applyAlignment="1"/>
    <xf numFmtId="49" fontId="27" fillId="0" borderId="3" xfId="160" applyNumberFormat="1" applyFont="1" applyFill="1" applyBorder="1" applyAlignment="1"/>
    <xf numFmtId="49" fontId="28" fillId="0" borderId="3" xfId="160" applyNumberFormat="1" applyFont="1" applyFill="1" applyBorder="1" applyAlignment="1"/>
    <xf numFmtId="49" fontId="29" fillId="0" borderId="0" xfId="160" applyNumberFormat="1" applyFont="1" applyFill="1" applyAlignment="1"/>
    <xf numFmtId="49" fontId="49" fillId="0" borderId="3" xfId="166" applyNumberFormat="1" applyFont="1" applyFill="1" applyBorder="1" applyAlignment="1" applyProtection="1">
      <alignment horizontal="center" vertical="center" wrapText="1"/>
    </xf>
    <xf numFmtId="49" fontId="28" fillId="0" borderId="3" xfId="160" applyNumberFormat="1" applyFont="1" applyFill="1" applyBorder="1" applyAlignment="1">
      <alignment horizontal="center" vertical="center" wrapText="1"/>
    </xf>
    <xf numFmtId="49" fontId="28" fillId="0" borderId="3" xfId="56" applyNumberFormat="1" applyFont="1" applyFill="1" applyBorder="1" applyAlignment="1">
      <alignment vertical="center"/>
    </xf>
    <xf numFmtId="15" fontId="28" fillId="0" borderId="3" xfId="160" applyNumberFormat="1" applyFont="1" applyFill="1" applyBorder="1" applyAlignment="1"/>
    <xf numFmtId="15" fontId="24" fillId="0" borderId="0" xfId="160" applyNumberFormat="1" applyFont="1" applyFill="1" applyAlignment="1">
      <alignment wrapText="1"/>
    </xf>
    <xf numFmtId="15" fontId="22" fillId="17" borderId="0" xfId="160" applyNumberFormat="1" applyFont="1" applyFill="1" applyAlignment="1">
      <alignment wrapText="1"/>
    </xf>
    <xf numFmtId="0" fontId="8" fillId="17" borderId="4" xfId="56" applyFont="1" applyFill="1" applyBorder="1" applyAlignment="1">
      <alignment horizontal="center" vertical="center" wrapText="1"/>
    </xf>
    <xf numFmtId="0" fontId="8" fillId="17" borderId="4" xfId="56" applyFont="1" applyFill="1" applyBorder="1" applyAlignment="1">
      <alignment vertical="center" wrapText="1"/>
    </xf>
    <xf numFmtId="0" fontId="8" fillId="17" borderId="3" xfId="56" applyFont="1" applyFill="1" applyBorder="1" applyAlignment="1">
      <alignment vertical="center" wrapText="1"/>
    </xf>
    <xf numFmtId="178" fontId="8" fillId="17" borderId="3" xfId="56" applyNumberFormat="1" applyFont="1" applyFill="1" applyBorder="1" applyAlignment="1">
      <alignment horizontal="center" vertical="center" wrapText="1"/>
    </xf>
    <xf numFmtId="0" fontId="8" fillId="17" borderId="3" xfId="56" applyFont="1" applyFill="1" applyBorder="1" applyAlignment="1">
      <alignment horizontal="center" vertical="center" wrapText="1"/>
    </xf>
    <xf numFmtId="15" fontId="8" fillId="17" borderId="3" xfId="56" applyNumberFormat="1" applyFont="1" applyFill="1" applyBorder="1" applyAlignment="1">
      <alignment vertical="center" wrapText="1"/>
    </xf>
    <xf numFmtId="15" fontId="8" fillId="6" borderId="3" xfId="56" applyNumberFormat="1" applyFont="1" applyFill="1" applyBorder="1" applyAlignment="1">
      <alignment vertical="center" wrapText="1"/>
    </xf>
    <xf numFmtId="15" fontId="28" fillId="4" borderId="3" xfId="56" applyNumberFormat="1" applyFont="1" applyFill="1" applyBorder="1" applyAlignment="1">
      <alignment vertical="center" wrapText="1"/>
    </xf>
    <xf numFmtId="0" fontId="23" fillId="17" borderId="3" xfId="160" applyFont="1" applyFill="1" applyBorder="1" applyAlignment="1">
      <alignment wrapText="1"/>
    </xf>
    <xf numFmtId="15" fontId="8" fillId="17" borderId="4" xfId="56" applyNumberFormat="1" applyFont="1" applyFill="1" applyBorder="1" applyAlignment="1">
      <alignment vertical="center" wrapText="1"/>
    </xf>
    <xf numFmtId="1" fontId="8" fillId="17" borderId="3" xfId="0" applyNumberFormat="1" applyFont="1" applyFill="1" applyBorder="1" applyAlignment="1">
      <alignment horizontal="center" vertical="center" wrapText="1"/>
    </xf>
    <xf numFmtId="15" fontId="8" fillId="17" borderId="3" xfId="0" applyNumberFormat="1" applyFont="1" applyFill="1" applyBorder="1" applyAlignment="1">
      <alignment horizontal="center" vertical="center" wrapText="1"/>
    </xf>
    <xf numFmtId="181" fontId="8" fillId="17" borderId="3" xfId="24" applyNumberFormat="1" applyFont="1" applyFill="1" applyBorder="1" applyAlignment="1">
      <alignment vertical="center" wrapText="1"/>
    </xf>
    <xf numFmtId="181" fontId="8" fillId="0" borderId="4" xfId="171" applyNumberFormat="1" applyFont="1" applyFill="1" applyBorder="1" applyAlignment="1">
      <alignment horizontal="center" vertical="center" wrapText="1"/>
    </xf>
    <xf numFmtId="181" fontId="8" fillId="17" borderId="3" xfId="24" applyNumberFormat="1" applyFont="1" applyFill="1" applyBorder="1" applyAlignment="1">
      <alignment horizontal="center" vertical="center" wrapText="1"/>
    </xf>
    <xf numFmtId="0" fontId="8" fillId="17" borderId="3" xfId="56" applyNumberFormat="1" applyFont="1" applyFill="1" applyBorder="1" applyAlignment="1">
      <alignment horizontal="center" vertical="center" wrapText="1"/>
    </xf>
    <xf numFmtId="49" fontId="8" fillId="17" borderId="3" xfId="56" applyNumberFormat="1" applyFont="1" applyFill="1" applyBorder="1" applyAlignment="1">
      <alignment horizontal="center" vertical="center" wrapText="1"/>
    </xf>
    <xf numFmtId="49" fontId="8" fillId="4" borderId="3" xfId="56" applyNumberFormat="1" applyFont="1" applyFill="1" applyBorder="1" applyAlignment="1">
      <alignment horizontal="center" vertical="center" wrapText="1"/>
    </xf>
    <xf numFmtId="49" fontId="28" fillId="17" borderId="3" xfId="56" applyNumberFormat="1" applyFont="1" applyFill="1" applyBorder="1" applyAlignment="1">
      <alignment vertical="center" wrapText="1"/>
    </xf>
    <xf numFmtId="15" fontId="23" fillId="17" borderId="3" xfId="160" applyNumberFormat="1" applyFont="1" applyFill="1" applyBorder="1" applyAlignment="1">
      <alignment wrapText="1"/>
    </xf>
    <xf numFmtId="15" fontId="23" fillId="17" borderId="0" xfId="160" applyNumberFormat="1" applyFont="1" applyFill="1" applyAlignment="1"/>
    <xf numFmtId="0" fontId="29" fillId="0" borderId="0" xfId="160" applyFont="1" applyFill="1"/>
    <xf numFmtId="0" fontId="29" fillId="0" borderId="0" xfId="160" applyFont="1"/>
    <xf numFmtId="181" fontId="29" fillId="0" borderId="0" xfId="171" applyNumberFormat="1" applyFont="1"/>
    <xf numFmtId="49" fontId="29" fillId="0" borderId="0" xfId="160" applyNumberFormat="1" applyFont="1"/>
    <xf numFmtId="49" fontId="29" fillId="0" borderId="0" xfId="160" applyNumberFormat="1" applyFont="1" applyFill="1"/>
    <xf numFmtId="178" fontId="29" fillId="0" borderId="0" xfId="160" applyNumberFormat="1" applyFont="1" applyAlignment="1">
      <alignment vertical="center"/>
    </xf>
    <xf numFmtId="0" fontId="48" fillId="16" borderId="1" xfId="56" applyFont="1" applyFill="1" applyBorder="1" applyAlignment="1">
      <alignment horizontal="center" vertical="center" wrapText="1"/>
    </xf>
    <xf numFmtId="0" fontId="27" fillId="16" borderId="2" xfId="56" applyFont="1" applyFill="1" applyBorder="1" applyAlignment="1">
      <alignment horizontal="center" vertical="center"/>
    </xf>
    <xf numFmtId="0" fontId="27" fillId="16" borderId="15" xfId="56" applyFont="1" applyFill="1" applyBorder="1" applyAlignment="1">
      <alignment vertical="center"/>
    </xf>
    <xf numFmtId="0" fontId="27" fillId="0" borderId="22" xfId="56" applyFont="1" applyFill="1" applyBorder="1" applyAlignment="1">
      <alignment vertical="center" wrapText="1"/>
    </xf>
    <xf numFmtId="0" fontId="50" fillId="0" borderId="31" xfId="160" applyFont="1" applyFill="1" applyBorder="1"/>
    <xf numFmtId="0" fontId="29" fillId="0" borderId="20" xfId="160" applyFont="1" applyFill="1" applyBorder="1"/>
    <xf numFmtId="0" fontId="48" fillId="16" borderId="1" xfId="56" applyFont="1" applyFill="1" applyBorder="1" applyAlignment="1">
      <alignment horizontal="center" vertical="center"/>
    </xf>
    <xf numFmtId="0" fontId="48" fillId="16" borderId="7" xfId="56" applyFont="1" applyFill="1" applyBorder="1" applyAlignment="1">
      <alignment horizontal="center" vertical="center" wrapText="1"/>
    </xf>
    <xf numFmtId="0" fontId="27" fillId="16" borderId="15" xfId="56" applyFont="1" applyFill="1" applyBorder="1" applyAlignment="1">
      <alignment horizontal="center" vertical="center"/>
    </xf>
    <xf numFmtId="0" fontId="48" fillId="16" borderId="6" xfId="56" applyFont="1" applyFill="1" applyBorder="1" applyAlignment="1">
      <alignment horizontal="center" vertical="center" wrapText="1"/>
    </xf>
    <xf numFmtId="15" fontId="27" fillId="0" borderId="4" xfId="56" applyNumberFormat="1" applyFont="1" applyFill="1" applyBorder="1" applyAlignment="1">
      <alignment vertical="center" wrapText="1"/>
    </xf>
    <xf numFmtId="0" fontId="48" fillId="16" borderId="8" xfId="56" applyFont="1" applyFill="1" applyBorder="1" applyAlignment="1">
      <alignment horizontal="center" vertical="center" wrapText="1"/>
    </xf>
    <xf numFmtId="0" fontId="48" fillId="16" borderId="26" xfId="56" applyFont="1" applyFill="1" applyBorder="1" applyAlignment="1">
      <alignment horizontal="center" vertical="center" wrapText="1"/>
    </xf>
    <xf numFmtId="181" fontId="48" fillId="10" borderId="1" xfId="24" applyNumberFormat="1" applyFont="1" applyFill="1" applyBorder="1" applyAlignment="1">
      <alignment horizontal="center" vertical="center" wrapText="1"/>
    </xf>
    <xf numFmtId="181" fontId="27" fillId="10" borderId="15" xfId="24" applyNumberFormat="1" applyFont="1" applyFill="1" applyBorder="1" applyAlignment="1">
      <alignment vertical="center"/>
    </xf>
    <xf numFmtId="181" fontId="48" fillId="10" borderId="1" xfId="171" applyNumberFormat="1" applyFont="1" applyFill="1" applyBorder="1" applyAlignment="1">
      <alignment horizontal="center" vertical="center" wrapText="1"/>
    </xf>
    <xf numFmtId="181" fontId="27" fillId="10" borderId="15" xfId="171" applyNumberFormat="1" applyFont="1" applyFill="1" applyBorder="1" applyAlignment="1">
      <alignment vertical="center"/>
    </xf>
    <xf numFmtId="181" fontId="29" fillId="0" borderId="0" xfId="171" applyNumberFormat="1" applyFont="1" applyFill="1"/>
    <xf numFmtId="0" fontId="48" fillId="10" borderId="1" xfId="56" applyFont="1" applyFill="1" applyBorder="1" applyAlignment="1">
      <alignment horizontal="center" vertical="center" wrapText="1"/>
    </xf>
    <xf numFmtId="0" fontId="27" fillId="10" borderId="15" xfId="56" applyFont="1" applyFill="1" applyBorder="1" applyAlignment="1">
      <alignment horizontal="center" vertical="center"/>
    </xf>
    <xf numFmtId="0" fontId="27" fillId="16" borderId="15" xfId="56" applyFont="1" applyFill="1" applyBorder="1" applyAlignment="1">
      <alignment horizontal="center" vertical="center" wrapText="1"/>
    </xf>
    <xf numFmtId="49" fontId="48" fillId="16" borderId="1" xfId="56" applyNumberFormat="1" applyFont="1" applyFill="1" applyBorder="1" applyAlignment="1">
      <alignment horizontal="center" vertical="center" wrapText="1"/>
    </xf>
    <xf numFmtId="49" fontId="48" fillId="16" borderId="1" xfId="56" applyNumberFormat="1" applyFont="1" applyFill="1" applyBorder="1" applyAlignment="1">
      <alignment horizontal="center" vertical="center"/>
    </xf>
    <xf numFmtId="49" fontId="27" fillId="16" borderId="15" xfId="56" applyNumberFormat="1" applyFont="1" applyFill="1" applyBorder="1" applyAlignment="1">
      <alignment horizontal="center" vertical="center" wrapText="1"/>
    </xf>
    <xf numFmtId="49" fontId="27" fillId="16" borderId="15" xfId="56" applyNumberFormat="1" applyFont="1" applyFill="1" applyBorder="1" applyAlignment="1">
      <alignment horizontal="center" vertical="center"/>
    </xf>
    <xf numFmtId="49" fontId="48" fillId="16" borderId="13" xfId="56" applyNumberFormat="1" applyFont="1" applyFill="1" applyBorder="1" applyAlignment="1">
      <alignment horizontal="center" vertical="center" wrapText="1"/>
    </xf>
    <xf numFmtId="49" fontId="27" fillId="16" borderId="2" xfId="56" applyNumberFormat="1" applyFont="1" applyFill="1" applyBorder="1" applyAlignment="1">
      <alignment horizontal="center" vertical="center" wrapText="1"/>
    </xf>
    <xf numFmtId="49" fontId="27" fillId="16" borderId="14" xfId="56" applyNumberFormat="1" applyFont="1" applyFill="1" applyBorder="1" applyAlignment="1">
      <alignment horizontal="center" vertical="center" wrapText="1"/>
    </xf>
    <xf numFmtId="178" fontId="27" fillId="0" borderId="3" xfId="160" applyNumberFormat="1" applyFont="1" applyFill="1" applyBorder="1" applyAlignment="1">
      <alignment vertical="center" wrapText="1"/>
    </xf>
    <xf numFmtId="178" fontId="29" fillId="0" borderId="0" xfId="160" applyNumberFormat="1" applyFont="1" applyFill="1" applyAlignment="1">
      <alignment vertical="center"/>
    </xf>
    <xf numFmtId="0" fontId="27" fillId="0" borderId="0" xfId="160" applyFont="1" applyFill="1" applyAlignment="1">
      <alignment vertical="center" wrapText="1"/>
    </xf>
    <xf numFmtId="0" fontId="28" fillId="0" borderId="0" xfId="160" applyFont="1" applyFill="1" applyAlignment="1">
      <alignment vertical="center" wrapText="1"/>
    </xf>
    <xf numFmtId="0" fontId="28" fillId="0" borderId="0" xfId="160" applyFont="1" applyFill="1" applyAlignment="1">
      <alignment vertical="center"/>
    </xf>
    <xf numFmtId="0" fontId="27" fillId="0" borderId="0" xfId="160" applyFont="1" applyFill="1" applyAlignment="1">
      <alignment vertical="center"/>
    </xf>
    <xf numFmtId="0" fontId="29" fillId="0" borderId="0" xfId="160" applyFont="1" applyFill="1" applyAlignment="1">
      <alignment vertical="center"/>
    </xf>
    <xf numFmtId="0" fontId="29" fillId="0" borderId="0" xfId="160" applyFont="1" applyAlignment="1">
      <alignment vertical="center"/>
    </xf>
    <xf numFmtId="181" fontId="29" fillId="0" borderId="0" xfId="171" applyNumberFormat="1" applyFont="1" applyAlignment="1">
      <alignment vertical="center"/>
    </xf>
    <xf numFmtId="49" fontId="29" fillId="0" borderId="0" xfId="160" applyNumberFormat="1" applyFont="1" applyAlignment="1">
      <alignment vertical="center"/>
    </xf>
    <xf numFmtId="49" fontId="29" fillId="0" borderId="0" xfId="160" applyNumberFormat="1" applyFont="1" applyFill="1" applyAlignment="1">
      <alignment vertical="center"/>
    </xf>
    <xf numFmtId="49" fontId="29" fillId="0" borderId="0" xfId="160" applyNumberFormat="1" applyFont="1" applyBorder="1" applyAlignment="1">
      <alignment vertical="center"/>
    </xf>
    <xf numFmtId="0" fontId="28" fillId="0" borderId="22" xfId="56" applyFont="1" applyFill="1" applyBorder="1" applyAlignment="1">
      <alignment vertical="center" wrapText="1"/>
    </xf>
    <xf numFmtId="0" fontId="48" fillId="0" borderId="3" xfId="56" applyFont="1" applyFill="1" applyBorder="1" applyAlignment="1">
      <alignment vertical="center" wrapText="1"/>
    </xf>
    <xf numFmtId="178" fontId="28" fillId="0" borderId="3" xfId="56" applyNumberFormat="1" applyFont="1" applyFill="1" applyBorder="1" applyAlignment="1">
      <alignment horizontal="center" vertical="center"/>
    </xf>
    <xf numFmtId="15" fontId="28" fillId="0" borderId="4" xfId="56" applyNumberFormat="1" applyFont="1" applyFill="1" applyBorder="1" applyAlignment="1">
      <alignment vertical="center" wrapText="1"/>
    </xf>
    <xf numFmtId="15" fontId="27" fillId="0" borderId="4" xfId="56" applyNumberFormat="1" applyFont="1" applyFill="1" applyBorder="1" applyAlignment="1">
      <alignment vertical="center"/>
    </xf>
    <xf numFmtId="15" fontId="27" fillId="3" borderId="4" xfId="56" applyNumberFormat="1" applyFont="1" applyFill="1" applyBorder="1" applyAlignment="1">
      <alignment vertical="center" wrapText="1"/>
    </xf>
    <xf numFmtId="178" fontId="28" fillId="0" borderId="3" xfId="160" applyNumberFormat="1" applyFont="1" applyFill="1" applyBorder="1" applyAlignment="1">
      <alignment vertical="center" wrapText="1"/>
    </xf>
    <xf numFmtId="0" fontId="28" fillId="0" borderId="3" xfId="160" applyFont="1" applyFill="1" applyBorder="1" applyAlignment="1">
      <alignment vertical="center"/>
    </xf>
    <xf numFmtId="15" fontId="28" fillId="3" borderId="4" xfId="56" applyNumberFormat="1" applyFont="1" applyFill="1" applyBorder="1" applyAlignment="1">
      <alignment vertical="center" wrapText="1"/>
    </xf>
    <xf numFmtId="15" fontId="28" fillId="0" borderId="4" xfId="56" applyNumberFormat="1" applyFont="1" applyFill="1" applyBorder="1" applyAlignment="1">
      <alignment vertical="center"/>
    </xf>
    <xf numFmtId="15" fontId="28" fillId="5" borderId="4" xfId="56" applyNumberFormat="1" applyFont="1" applyFill="1" applyBorder="1" applyAlignment="1">
      <alignment vertical="center" wrapText="1"/>
    </xf>
    <xf numFmtId="178" fontId="27" fillId="0" borderId="4" xfId="160" applyNumberFormat="1" applyFont="1" applyFill="1" applyBorder="1" applyAlignment="1">
      <alignment vertical="center" wrapText="1"/>
    </xf>
    <xf numFmtId="178" fontId="28" fillId="0" borderId="4" xfId="160" applyNumberFormat="1" applyFont="1" applyFill="1" applyBorder="1" applyAlignment="1">
      <alignment vertical="center" wrapText="1"/>
    </xf>
    <xf numFmtId="15" fontId="27" fillId="5" borderId="4" xfId="56" applyNumberFormat="1" applyFont="1" applyFill="1" applyBorder="1" applyAlignment="1">
      <alignment vertical="center" wrapText="1"/>
    </xf>
    <xf numFmtId="0" fontId="48" fillId="16" borderId="13" xfId="56" applyFont="1" applyFill="1" applyBorder="1" applyAlignment="1">
      <alignment horizontal="center" vertical="center" wrapText="1"/>
    </xf>
    <xf numFmtId="0" fontId="48" fillId="16" borderId="28" xfId="56" applyFont="1" applyFill="1" applyBorder="1" applyAlignment="1">
      <alignment horizontal="center" vertical="center" wrapText="1"/>
    </xf>
    <xf numFmtId="0" fontId="48" fillId="16" borderId="16" xfId="56" applyFont="1" applyFill="1" applyBorder="1" applyAlignment="1">
      <alignment horizontal="center" vertical="center" wrapText="1"/>
    </xf>
    <xf numFmtId="0" fontId="48" fillId="9" borderId="7" xfId="56" applyFont="1" applyFill="1" applyBorder="1" applyAlignment="1">
      <alignment horizontal="center" vertical="center" wrapText="1"/>
    </xf>
    <xf numFmtId="0" fontId="48" fillId="9" borderId="8" xfId="56" applyFont="1" applyFill="1" applyBorder="1" applyAlignment="1">
      <alignment horizontal="center" vertical="center" wrapText="1"/>
    </xf>
    <xf numFmtId="0" fontId="48" fillId="9" borderId="6" xfId="56" applyFont="1" applyFill="1" applyBorder="1" applyAlignment="1">
      <alignment horizontal="center" vertical="center" wrapText="1"/>
    </xf>
    <xf numFmtId="0" fontId="48" fillId="16" borderId="15" xfId="56" applyFont="1" applyFill="1" applyBorder="1" applyAlignment="1">
      <alignment horizontal="center" vertical="center" wrapText="1"/>
    </xf>
    <xf numFmtId="0" fontId="28" fillId="0" borderId="3" xfId="160" applyFont="1" applyFill="1" applyBorder="1" applyAlignment="1">
      <alignment vertical="center" wrapText="1"/>
    </xf>
    <xf numFmtId="0" fontId="27" fillId="0" borderId="3" xfId="160" applyFont="1" applyFill="1" applyBorder="1" applyAlignment="1">
      <alignment vertical="center" wrapText="1"/>
    </xf>
    <xf numFmtId="181" fontId="27" fillId="3" borderId="3" xfId="24" applyNumberFormat="1" applyFont="1" applyFill="1" applyBorder="1" applyAlignment="1">
      <alignment vertical="center" wrapText="1"/>
    </xf>
    <xf numFmtId="181" fontId="27" fillId="3" borderId="3" xfId="24" applyNumberFormat="1" applyFont="1" applyFill="1" applyBorder="1" applyAlignment="1">
      <alignment horizontal="center" vertical="center" wrapText="1"/>
    </xf>
    <xf numFmtId="3" fontId="4" fillId="0" borderId="3" xfId="56" applyNumberFormat="1" applyFont="1" applyFill="1" applyBorder="1" applyAlignment="1" applyProtection="1">
      <alignment horizontal="center" vertical="center" wrapText="1"/>
      <protection locked="0"/>
    </xf>
    <xf numFmtId="181" fontId="27" fillId="0" borderId="3" xfId="171" applyNumberFormat="1" applyFont="1" applyFill="1" applyBorder="1" applyAlignment="1">
      <alignment horizontal="center" vertical="center" wrapText="1"/>
    </xf>
    <xf numFmtId="0" fontId="27" fillId="3" borderId="3" xfId="56" applyFont="1" applyFill="1" applyBorder="1" applyAlignment="1">
      <alignment horizontal="center" vertical="center" wrapText="1"/>
    </xf>
    <xf numFmtId="3" fontId="27" fillId="0" borderId="4" xfId="56" applyNumberFormat="1" applyFont="1" applyFill="1" applyBorder="1" applyAlignment="1" applyProtection="1">
      <alignment horizontal="center" vertical="center" wrapText="1"/>
      <protection locked="0"/>
    </xf>
    <xf numFmtId="181" fontId="27" fillId="0" borderId="3" xfId="24" applyNumberFormat="1" applyFont="1" applyFill="1" applyBorder="1" applyAlignment="1">
      <alignment horizontal="center" vertical="center"/>
    </xf>
    <xf numFmtId="3" fontId="27" fillId="0" borderId="3" xfId="56" applyNumberFormat="1" applyFont="1" applyFill="1" applyBorder="1" applyAlignment="1" applyProtection="1">
      <alignment horizontal="center" vertical="center" wrapText="1"/>
      <protection locked="0"/>
    </xf>
    <xf numFmtId="49" fontId="51" fillId="0" borderId="3" xfId="166" applyNumberFormat="1" applyFont="1" applyFill="1" applyBorder="1" applyAlignment="1" applyProtection="1">
      <alignment horizontal="center" vertical="center" wrapText="1"/>
    </xf>
    <xf numFmtId="49" fontId="27" fillId="4" borderId="46" xfId="56" applyNumberFormat="1" applyFont="1" applyFill="1" applyBorder="1" applyAlignment="1">
      <alignment horizontal="center" vertical="center" wrapText="1"/>
    </xf>
    <xf numFmtId="178" fontId="27" fillId="0" borderId="46" xfId="160" applyNumberFormat="1" applyFont="1" applyFill="1" applyBorder="1" applyAlignment="1">
      <alignment vertical="center" wrapText="1"/>
    </xf>
    <xf numFmtId="178" fontId="27" fillId="0" borderId="46" xfId="160" applyNumberFormat="1" applyFont="1" applyFill="1" applyBorder="1" applyAlignment="1">
      <alignment vertical="center"/>
    </xf>
    <xf numFmtId="15" fontId="27" fillId="0" borderId="0" xfId="160" applyNumberFormat="1" applyFont="1" applyFill="1" applyAlignment="1">
      <alignment vertical="center" wrapText="1"/>
    </xf>
    <xf numFmtId="178" fontId="28" fillId="0" borderId="46" xfId="160" applyNumberFormat="1" applyFont="1" applyFill="1" applyBorder="1" applyAlignment="1">
      <alignment vertical="center" wrapText="1"/>
    </xf>
    <xf numFmtId="15" fontId="28" fillId="0" borderId="0" xfId="160" applyNumberFormat="1" applyFont="1" applyFill="1" applyAlignment="1">
      <alignment vertical="center" wrapText="1"/>
    </xf>
    <xf numFmtId="49" fontId="28" fillId="0" borderId="0" xfId="160" applyNumberFormat="1" applyFont="1" applyFill="1" applyAlignment="1">
      <alignment vertical="center" wrapText="1"/>
    </xf>
    <xf numFmtId="49" fontId="27" fillId="0" borderId="0" xfId="160" applyNumberFormat="1" applyFont="1" applyFill="1" applyAlignment="1">
      <alignment vertical="center" wrapText="1"/>
    </xf>
    <xf numFmtId="0" fontId="50" fillId="0" borderId="31" xfId="160" applyFont="1" applyFill="1" applyBorder="1" applyAlignment="1">
      <alignment vertical="center"/>
    </xf>
    <xf numFmtId="0" fontId="29" fillId="0" borderId="20" xfId="160" applyFont="1" applyFill="1" applyBorder="1" applyAlignment="1">
      <alignment vertical="center"/>
    </xf>
    <xf numFmtId="0" fontId="8" fillId="0" borderId="22" xfId="56" applyFont="1" applyFill="1" applyBorder="1" applyAlignment="1">
      <alignment vertical="center"/>
    </xf>
    <xf numFmtId="0" fontId="28" fillId="0" borderId="22" xfId="56" applyFont="1" applyFill="1" applyBorder="1" applyAlignment="1">
      <alignment vertical="center"/>
    </xf>
    <xf numFmtId="178" fontId="27" fillId="3" borderId="3" xfId="160" applyNumberFormat="1" applyFont="1" applyFill="1" applyBorder="1" applyAlignment="1">
      <alignment vertical="center" wrapText="1"/>
    </xf>
    <xf numFmtId="0" fontId="28" fillId="0" borderId="4" xfId="160" applyFont="1" applyFill="1" applyBorder="1" applyAlignment="1">
      <alignment vertical="center"/>
    </xf>
    <xf numFmtId="0" fontId="28" fillId="0" borderId="4" xfId="160" applyFont="1" applyFill="1" applyBorder="1" applyAlignment="1">
      <alignment vertical="center" wrapText="1"/>
    </xf>
    <xf numFmtId="15" fontId="8" fillId="0" borderId="4" xfId="56" applyNumberFormat="1" applyFont="1" applyFill="1" applyBorder="1" applyAlignment="1" applyProtection="1">
      <alignment horizontal="center" vertical="center" wrapText="1"/>
      <protection locked="0"/>
    </xf>
    <xf numFmtId="15" fontId="28" fillId="0" borderId="3" xfId="0" applyNumberFormat="1" applyFont="1" applyFill="1" applyBorder="1" applyAlignment="1">
      <alignment horizontal="center" vertical="center" wrapText="1"/>
    </xf>
    <xf numFmtId="181" fontId="29" fillId="0" borderId="0" xfId="171" applyNumberFormat="1" applyFont="1" applyFill="1" applyAlignment="1">
      <alignment vertical="center"/>
    </xf>
    <xf numFmtId="181" fontId="28" fillId="0" borderId="3" xfId="171" applyNumberFormat="1" applyFont="1" applyFill="1" applyBorder="1" applyAlignment="1">
      <alignment vertical="center"/>
    </xf>
    <xf numFmtId="181" fontId="28" fillId="0" borderId="3" xfId="171" applyNumberFormat="1" applyFont="1" applyFill="1" applyBorder="1" applyAlignment="1">
      <alignment horizontal="center" vertical="center" wrapText="1"/>
    </xf>
    <xf numFmtId="3" fontId="28" fillId="0" borderId="3" xfId="56" applyNumberFormat="1" applyFont="1" applyFill="1" applyBorder="1" applyAlignment="1" applyProtection="1">
      <alignment horizontal="center" vertical="center" wrapText="1"/>
      <protection locked="0"/>
    </xf>
    <xf numFmtId="181" fontId="28" fillId="0" borderId="4" xfId="24" applyNumberFormat="1" applyFont="1" applyFill="1" applyBorder="1" applyAlignment="1">
      <alignment horizontal="center" vertical="center" wrapText="1"/>
    </xf>
    <xf numFmtId="3" fontId="28" fillId="0" borderId="4" xfId="56" applyNumberFormat="1" applyFont="1" applyFill="1" applyBorder="1" applyAlignment="1" applyProtection="1">
      <alignment horizontal="center" vertical="center" wrapText="1"/>
      <protection locked="0"/>
    </xf>
    <xf numFmtId="49" fontId="28" fillId="0" borderId="21" xfId="56" applyNumberFormat="1" applyFont="1" applyFill="1" applyBorder="1" applyAlignment="1">
      <alignment horizontal="center" vertical="center" wrapText="1"/>
    </xf>
    <xf numFmtId="178" fontId="28" fillId="0" borderId="0" xfId="160" applyNumberFormat="1" applyFont="1" applyFill="1" applyBorder="1" applyAlignment="1">
      <alignment vertical="center" wrapText="1"/>
    </xf>
    <xf numFmtId="178" fontId="28" fillId="0" borderId="0" xfId="160" applyNumberFormat="1" applyFont="1" applyFill="1" applyBorder="1" applyAlignment="1">
      <alignment vertical="center"/>
    </xf>
    <xf numFmtId="49" fontId="29" fillId="0" borderId="0" xfId="160" applyNumberFormat="1" applyFont="1" applyFill="1" applyBorder="1" applyAlignment="1">
      <alignment vertical="center"/>
    </xf>
    <xf numFmtId="49" fontId="28" fillId="0" borderId="0" xfId="160" applyNumberFormat="1" applyFont="1" applyFill="1" applyBorder="1" applyAlignment="1">
      <alignment vertical="center"/>
    </xf>
    <xf numFmtId="178" fontId="28" fillId="0" borderId="0" xfId="160" applyNumberFormat="1" applyFont="1" applyFill="1" applyAlignment="1">
      <alignment vertical="center"/>
    </xf>
    <xf numFmtId="49" fontId="27" fillId="0" borderId="0" xfId="160" applyNumberFormat="1" applyFont="1" applyFill="1" applyBorder="1" applyAlignment="1">
      <alignment vertical="center"/>
    </xf>
    <xf numFmtId="178" fontId="27" fillId="0" borderId="0" xfId="160" applyNumberFormat="1" applyFont="1" applyFill="1" applyAlignment="1">
      <alignment vertical="center"/>
    </xf>
    <xf numFmtId="49" fontId="28" fillId="0" borderId="21" xfId="160" applyNumberFormat="1" applyFont="1" applyFill="1" applyBorder="1" applyAlignment="1">
      <alignment horizontal="center" vertical="center" wrapText="1"/>
    </xf>
    <xf numFmtId="0" fontId="8" fillId="0" borderId="21" xfId="56" applyFont="1" applyFill="1" applyBorder="1" applyAlignment="1">
      <alignment vertical="center" wrapText="1"/>
    </xf>
    <xf numFmtId="0" fontId="8" fillId="0" borderId="46" xfId="56" applyFont="1" applyFill="1" applyBorder="1" applyAlignment="1">
      <alignment vertical="center" wrapText="1"/>
    </xf>
    <xf numFmtId="15" fontId="28" fillId="0" borderId="47" xfId="56" applyNumberFormat="1" applyFont="1" applyFill="1" applyBorder="1" applyAlignment="1">
      <alignment vertical="center" wrapText="1"/>
    </xf>
    <xf numFmtId="178" fontId="28" fillId="0" borderId="21" xfId="160" applyNumberFormat="1" applyFont="1" applyFill="1" applyBorder="1" applyAlignment="1">
      <alignment horizontal="center" vertical="center" wrapText="1"/>
    </xf>
    <xf numFmtId="178" fontId="28" fillId="0" borderId="3" xfId="160" applyNumberFormat="1" applyFont="1" applyFill="1" applyBorder="1" applyAlignment="1">
      <alignment horizontal="center" vertical="center" wrapText="1"/>
    </xf>
    <xf numFmtId="0" fontId="8" fillId="0" borderId="3" xfId="56" applyFont="1" applyFill="1" applyBorder="1" applyAlignment="1" applyProtection="1">
      <alignment horizontal="left" vertical="center" wrapText="1"/>
      <protection locked="0"/>
    </xf>
    <xf numFmtId="0" fontId="8" fillId="0" borderId="3" xfId="56" applyFont="1" applyFill="1" applyBorder="1" applyAlignment="1" applyProtection="1">
      <alignment horizontal="center" vertical="center" wrapText="1"/>
      <protection locked="0"/>
    </xf>
    <xf numFmtId="15" fontId="8" fillId="0" borderId="3" xfId="56" applyNumberFormat="1" applyFont="1" applyFill="1" applyBorder="1" applyAlignment="1" applyProtection="1">
      <alignment horizontal="center" vertical="center" wrapText="1"/>
      <protection locked="0"/>
    </xf>
    <xf numFmtId="0" fontId="28" fillId="6" borderId="3" xfId="56" applyFont="1" applyFill="1" applyBorder="1" applyAlignment="1">
      <alignment horizontal="center" vertical="center" wrapText="1"/>
    </xf>
    <xf numFmtId="15" fontId="28" fillId="6" borderId="4" xfId="56" applyNumberFormat="1" applyFont="1" applyFill="1" applyBorder="1" applyAlignment="1">
      <alignment vertical="center" wrapText="1"/>
    </xf>
    <xf numFmtId="15" fontId="28" fillId="6" borderId="3" xfId="56" applyNumberFormat="1" applyFont="1" applyFill="1" applyBorder="1" applyAlignment="1">
      <alignment vertical="center" wrapText="1"/>
    </xf>
    <xf numFmtId="181" fontId="8" fillId="0" borderId="3" xfId="24" applyNumberFormat="1" applyFont="1" applyFill="1" applyBorder="1" applyAlignment="1" applyProtection="1">
      <alignment horizontal="left" vertical="center" wrapText="1"/>
      <protection locked="0"/>
    </xf>
    <xf numFmtId="181" fontId="28" fillId="6" borderId="3" xfId="24" applyNumberFormat="1" applyFont="1" applyFill="1" applyBorder="1" applyAlignment="1">
      <alignment vertical="center" wrapText="1"/>
    </xf>
    <xf numFmtId="181" fontId="8" fillId="0" borderId="3" xfId="171" applyNumberFormat="1" applyFont="1" applyFill="1" applyBorder="1" applyAlignment="1" applyProtection="1">
      <alignment horizontal="center" vertical="center" wrapText="1"/>
      <protection locked="0"/>
    </xf>
    <xf numFmtId="181" fontId="28" fillId="6" borderId="3" xfId="24" applyNumberFormat="1" applyFont="1" applyFill="1" applyBorder="1" applyAlignment="1">
      <alignment horizontal="center" vertical="center" wrapText="1"/>
    </xf>
    <xf numFmtId="0" fontId="28" fillId="4" borderId="3" xfId="56" applyFont="1" applyFill="1" applyBorder="1" applyAlignment="1">
      <alignment horizontal="center" vertical="center" wrapText="1"/>
    </xf>
    <xf numFmtId="49" fontId="8" fillId="0" borderId="3" xfId="56" applyNumberFormat="1" applyFont="1" applyFill="1" applyBorder="1" applyAlignment="1" applyProtection="1">
      <alignment horizontal="center" vertical="center" wrapText="1"/>
      <protection locked="0"/>
    </xf>
    <xf numFmtId="49" fontId="12" fillId="0" borderId="3" xfId="166" applyNumberFormat="1" applyFont="1" applyFill="1" applyBorder="1" applyAlignment="1" applyProtection="1">
      <alignment horizontal="center" vertical="center" wrapText="1"/>
      <protection locked="0"/>
    </xf>
    <xf numFmtId="178" fontId="28" fillId="0" borderId="46" xfId="160" applyNumberFormat="1" applyFont="1" applyFill="1" applyBorder="1" applyAlignment="1">
      <alignment vertical="center"/>
    </xf>
    <xf numFmtId="0" fontId="24" fillId="0" borderId="0" xfId="160" applyFont="1" applyFill="1"/>
    <xf numFmtId="0" fontId="4" fillId="0" borderId="3" xfId="56" applyFont="1" applyFill="1" applyBorder="1" applyAlignment="1">
      <alignment horizontal="center" vertical="center"/>
    </xf>
    <xf numFmtId="0" fontId="4" fillId="16" borderId="15" xfId="56" applyFont="1" applyFill="1" applyBorder="1" applyAlignment="1">
      <alignment horizontal="center" vertical="center" wrapText="1"/>
    </xf>
    <xf numFmtId="15" fontId="4" fillId="0" borderId="3" xfId="56" applyNumberFormat="1" applyFont="1" applyFill="1" applyBorder="1" applyAlignment="1">
      <alignment horizontal="center" vertical="center"/>
    </xf>
    <xf numFmtId="0" fontId="14" fillId="16" borderId="7" xfId="56" applyFont="1" applyFill="1" applyBorder="1" applyAlignment="1">
      <alignment horizontal="center" vertical="center" wrapText="1"/>
    </xf>
    <xf numFmtId="0" fontId="14" fillId="16" borderId="8" xfId="56" applyFont="1" applyFill="1" applyBorder="1" applyAlignment="1">
      <alignment horizontal="center" vertical="center" wrapText="1"/>
    </xf>
    <xf numFmtId="0" fontId="14" fillId="16" borderId="26" xfId="56" applyFont="1" applyFill="1" applyBorder="1" applyAlignment="1">
      <alignment horizontal="center" vertical="center" wrapText="1"/>
    </xf>
    <xf numFmtId="0" fontId="14" fillId="16" borderId="6" xfId="56" applyFont="1" applyFill="1" applyBorder="1" applyAlignment="1">
      <alignment horizontal="center" vertical="center" wrapText="1"/>
    </xf>
    <xf numFmtId="15" fontId="27" fillId="4" borderId="4" xfId="56" applyNumberFormat="1" applyFont="1" applyFill="1" applyBorder="1" applyAlignment="1">
      <alignment vertical="center" wrapText="1"/>
    </xf>
    <xf numFmtId="15" fontId="8" fillId="4" borderId="3" xfId="56" applyNumberFormat="1" applyFont="1" applyFill="1" applyBorder="1" applyAlignment="1">
      <alignment vertical="center"/>
    </xf>
    <xf numFmtId="0" fontId="52" fillId="16" borderId="7" xfId="56" applyFont="1" applyFill="1" applyBorder="1" applyAlignment="1">
      <alignment horizontal="center" vertical="center" wrapText="1"/>
    </xf>
    <xf numFmtId="0" fontId="14" fillId="16" borderId="15" xfId="56" applyFont="1" applyFill="1" applyBorder="1" applyAlignment="1">
      <alignment horizontal="center" vertical="center" wrapText="1"/>
    </xf>
    <xf numFmtId="0" fontId="14" fillId="9" borderId="7" xfId="56" applyFont="1" applyFill="1" applyBorder="1" applyAlignment="1">
      <alignment horizontal="center" vertical="center" wrapText="1"/>
    </xf>
    <xf numFmtId="0" fontId="14" fillId="9" borderId="8" xfId="56" applyFont="1" applyFill="1" applyBorder="1" applyAlignment="1">
      <alignment horizontal="center" vertical="center" wrapText="1"/>
    </xf>
    <xf numFmtId="0" fontId="14" fillId="9" borderId="6" xfId="56" applyFont="1" applyFill="1" applyBorder="1" applyAlignment="1">
      <alignment horizontal="center" vertical="center" wrapText="1"/>
    </xf>
    <xf numFmtId="0" fontId="14" fillId="16" borderId="16" xfId="56" applyFont="1" applyFill="1" applyBorder="1" applyAlignment="1">
      <alignment horizontal="center" vertical="center" wrapText="1"/>
    </xf>
    <xf numFmtId="0" fontId="14" fillId="10" borderId="1" xfId="56" applyFont="1" applyFill="1" applyBorder="1" applyAlignment="1">
      <alignment horizontal="center" vertical="center" wrapText="1"/>
    </xf>
    <xf numFmtId="181" fontId="4" fillId="0" borderId="3" xfId="171" applyNumberFormat="1" applyFont="1" applyFill="1" applyBorder="1" applyAlignment="1">
      <alignment horizontal="center" vertical="center"/>
    </xf>
    <xf numFmtId="181" fontId="8" fillId="0" borderId="3" xfId="171" applyNumberFormat="1" applyFont="1" applyFill="1" applyBorder="1" applyAlignment="1">
      <alignment horizontal="center" vertical="center"/>
    </xf>
    <xf numFmtId="49" fontId="14" fillId="16" borderId="1" xfId="56" applyNumberFormat="1" applyFont="1" applyFill="1" applyBorder="1" applyAlignment="1">
      <alignment horizontal="center" vertical="center" wrapText="1"/>
    </xf>
    <xf numFmtId="49" fontId="4" fillId="16" borderId="15" xfId="56" applyNumberFormat="1" applyFont="1" applyFill="1" applyBorder="1" applyAlignment="1">
      <alignment horizontal="center" vertical="center" wrapText="1"/>
    </xf>
    <xf numFmtId="49" fontId="14" fillId="16" borderId="38" xfId="56" applyNumberFormat="1" applyFont="1" applyFill="1" applyBorder="1" applyAlignment="1">
      <alignment horizontal="center" vertical="center"/>
    </xf>
    <xf numFmtId="15" fontId="8" fillId="0" borderId="3" xfId="56" applyNumberFormat="1" applyFont="1" applyFill="1" applyBorder="1"/>
    <xf numFmtId="15" fontId="4" fillId="0" borderId="46" xfId="56" applyNumberFormat="1" applyFont="1" applyFill="1" applyBorder="1"/>
    <xf numFmtId="15" fontId="22" fillId="0" borderId="0" xfId="160" applyNumberFormat="1" applyFont="1" applyFill="1"/>
    <xf numFmtId="0" fontId="22" fillId="0" borderId="0" xfId="160" applyFont="1" applyFill="1" applyBorder="1"/>
    <xf numFmtId="15" fontId="24" fillId="0" borderId="0" xfId="160" applyNumberFormat="1" applyFont="1" applyFill="1"/>
    <xf numFmtId="0" fontId="27" fillId="0" borderId="0" xfId="56" applyFont="1" applyFill="1" applyBorder="1" applyAlignment="1">
      <alignment horizontal="center" vertical="center" wrapText="1"/>
    </xf>
    <xf numFmtId="181" fontId="27" fillId="0" borderId="0" xfId="24" applyNumberFormat="1" applyFont="1" applyFill="1" applyBorder="1" applyAlignment="1">
      <alignment horizontal="center" vertical="center" wrapText="1"/>
    </xf>
    <xf numFmtId="0" fontId="4" fillId="0" borderId="0" xfId="56" applyFont="1" applyFill="1" applyBorder="1" applyAlignment="1">
      <alignment horizontal="center" vertical="center" wrapText="1"/>
    </xf>
    <xf numFmtId="15" fontId="8" fillId="0" borderId="0" xfId="56" applyNumberFormat="1" applyFont="1" applyFill="1" applyBorder="1"/>
    <xf numFmtId="15" fontId="8" fillId="0" borderId="46" xfId="56" applyNumberFormat="1" applyFont="1" applyFill="1" applyBorder="1"/>
    <xf numFmtId="15" fontId="23" fillId="0" borderId="0" xfId="160" applyNumberFormat="1" applyFont="1" applyFill="1"/>
    <xf numFmtId="0" fontId="14" fillId="16" borderId="1" xfId="56" applyFont="1" applyFill="1" applyBorder="1" applyAlignment="1">
      <alignment horizontal="left" vertical="center" wrapText="1"/>
    </xf>
    <xf numFmtId="0" fontId="8" fillId="0" borderId="4" xfId="56" applyFont="1" applyFill="1" applyBorder="1" applyAlignment="1" applyProtection="1">
      <alignment horizontal="left" vertical="center" wrapText="1"/>
      <protection locked="0"/>
    </xf>
    <xf numFmtId="178" fontId="8" fillId="0" borderId="3" xfId="56" applyNumberFormat="1" applyFont="1" applyFill="1" applyBorder="1" applyAlignment="1" applyProtection="1">
      <alignment horizontal="center" vertical="center" wrapText="1"/>
      <protection locked="0"/>
    </xf>
    <xf numFmtId="0" fontId="14" fillId="7" borderId="1" xfId="56" applyFont="1" applyFill="1" applyBorder="1" applyAlignment="1">
      <alignment horizontal="center" vertical="center" wrapText="1"/>
    </xf>
    <xf numFmtId="0" fontId="4" fillId="7" borderId="15" xfId="56" applyFont="1" applyFill="1" applyBorder="1" applyAlignment="1">
      <alignment vertical="center"/>
    </xf>
    <xf numFmtId="181" fontId="8" fillId="0" borderId="4" xfId="24" applyNumberFormat="1" applyFont="1" applyFill="1" applyBorder="1" applyAlignment="1" applyProtection="1">
      <alignment horizontal="left" vertical="center" wrapText="1"/>
      <protection locked="0"/>
    </xf>
    <xf numFmtId="3" fontId="8" fillId="0" borderId="4" xfId="56" applyNumberFormat="1" applyFont="1" applyFill="1" applyBorder="1" applyAlignment="1" applyProtection="1">
      <alignment horizontal="center" vertical="center" wrapText="1"/>
      <protection locked="0"/>
    </xf>
    <xf numFmtId="0" fontId="14" fillId="7" borderId="15" xfId="56" applyFont="1" applyFill="1" applyBorder="1" applyAlignment="1">
      <alignment horizontal="center" vertical="center" wrapText="1"/>
    </xf>
    <xf numFmtId="49" fontId="4" fillId="16" borderId="2" xfId="56" applyNumberFormat="1" applyFont="1" applyFill="1" applyBorder="1" applyAlignment="1">
      <alignment horizontal="center" vertical="center"/>
    </xf>
    <xf numFmtId="15" fontId="8" fillId="0" borderId="0" xfId="56" applyNumberFormat="1" applyFont="1" applyFill="1" applyBorder="1" applyAlignment="1" applyProtection="1">
      <alignment horizontal="center" vertical="center" wrapText="1"/>
      <protection locked="0"/>
    </xf>
    <xf numFmtId="0" fontId="53" fillId="0" borderId="0" xfId="160" applyFont="1" applyFill="1"/>
    <xf numFmtId="49" fontId="29" fillId="0" borderId="0" xfId="160" applyNumberFormat="1" applyFont="1" applyBorder="1"/>
    <xf numFmtId="0" fontId="27" fillId="0" borderId="0" xfId="56" applyFont="1" applyFill="1" applyBorder="1" applyAlignment="1">
      <alignment vertical="center" wrapText="1"/>
    </xf>
    <xf numFmtId="0" fontId="53" fillId="0" borderId="3" xfId="56" applyFont="1" applyFill="1" applyBorder="1" applyAlignment="1">
      <alignment horizontal="center" vertical="center" wrapText="1"/>
    </xf>
    <xf numFmtId="0" fontId="53" fillId="0" borderId="3" xfId="56" applyFont="1" applyFill="1" applyBorder="1" applyAlignment="1">
      <alignment vertical="center" wrapText="1"/>
    </xf>
    <xf numFmtId="0" fontId="53" fillId="0" borderId="22" xfId="56" applyFont="1" applyFill="1" applyBorder="1" applyAlignment="1">
      <alignment vertical="center" wrapText="1"/>
    </xf>
    <xf numFmtId="178" fontId="27" fillId="0" borderId="0" xfId="56" applyNumberFormat="1" applyFont="1" applyFill="1" applyBorder="1" applyAlignment="1">
      <alignment horizontal="center" vertical="center" wrapText="1"/>
    </xf>
    <xf numFmtId="178" fontId="53" fillId="0" borderId="3" xfId="56" applyNumberFormat="1" applyFont="1" applyFill="1" applyBorder="1" applyAlignment="1">
      <alignment horizontal="center" vertical="center" wrapText="1"/>
    </xf>
    <xf numFmtId="15" fontId="27" fillId="0" borderId="0" xfId="56" applyNumberFormat="1" applyFont="1" applyFill="1" applyBorder="1" applyAlignment="1">
      <alignment vertical="center" wrapText="1"/>
    </xf>
    <xf numFmtId="15" fontId="53" fillId="0" borderId="4" xfId="56" applyNumberFormat="1" applyFont="1" applyFill="1" applyBorder="1" applyAlignment="1">
      <alignment vertical="center" wrapText="1"/>
    </xf>
    <xf numFmtId="1" fontId="27" fillId="0" borderId="0" xfId="0" applyNumberFormat="1" applyFont="1" applyFill="1" applyBorder="1" applyAlignment="1">
      <alignment horizontal="center" vertical="center" wrapText="1"/>
    </xf>
    <xf numFmtId="1" fontId="54" fillId="0" borderId="3" xfId="0" applyNumberFormat="1" applyFont="1" applyFill="1" applyBorder="1" applyAlignment="1">
      <alignment horizontal="center" vertical="center" wrapText="1"/>
    </xf>
    <xf numFmtId="181" fontId="27" fillId="0" borderId="0" xfId="24" applyNumberFormat="1" applyFont="1" applyFill="1" applyBorder="1" applyAlignment="1">
      <alignment vertical="center" wrapText="1"/>
    </xf>
    <xf numFmtId="15" fontId="27" fillId="0" borderId="0" xfId="0" applyNumberFormat="1" applyFont="1" applyFill="1" applyBorder="1" applyAlignment="1">
      <alignment horizontal="center" vertical="center" wrapText="1"/>
    </xf>
    <xf numFmtId="15" fontId="54" fillId="0" borderId="3" xfId="0" applyNumberFormat="1" applyFont="1" applyFill="1" applyBorder="1" applyAlignment="1">
      <alignment horizontal="center" vertical="center" wrapText="1"/>
    </xf>
    <xf numFmtId="181" fontId="53" fillId="0" borderId="3" xfId="24" applyNumberFormat="1" applyFont="1" applyFill="1" applyBorder="1" applyAlignment="1">
      <alignment vertical="center" wrapText="1"/>
    </xf>
    <xf numFmtId="181" fontId="53" fillId="0" borderId="3" xfId="24" applyNumberFormat="1" applyFont="1" applyFill="1" applyBorder="1" applyAlignment="1">
      <alignment horizontal="center" vertical="center" wrapText="1"/>
    </xf>
    <xf numFmtId="181" fontId="27" fillId="0" borderId="0" xfId="171" applyNumberFormat="1" applyFont="1" applyFill="1" applyBorder="1" applyAlignment="1">
      <alignment vertical="center" wrapText="1"/>
    </xf>
    <xf numFmtId="181" fontId="27" fillId="0" borderId="0" xfId="24" applyNumberFormat="1" applyFont="1" applyFill="1" applyBorder="1" applyAlignment="1">
      <alignment wrapText="1"/>
    </xf>
    <xf numFmtId="181" fontId="27" fillId="0" borderId="0" xfId="171" applyNumberFormat="1" applyFont="1" applyFill="1" applyBorder="1" applyAlignment="1">
      <alignment wrapText="1"/>
    </xf>
    <xf numFmtId="181" fontId="53" fillId="0" borderId="3" xfId="171" applyNumberFormat="1" applyFont="1" applyFill="1" applyBorder="1" applyAlignment="1">
      <alignment vertical="center" wrapText="1"/>
    </xf>
    <xf numFmtId="181" fontId="53" fillId="0" borderId="3" xfId="24" applyNumberFormat="1" applyFont="1" applyFill="1" applyBorder="1" applyAlignment="1">
      <alignment wrapText="1"/>
    </xf>
    <xf numFmtId="0" fontId="27" fillId="0" borderId="0" xfId="56" applyNumberFormat="1" applyFont="1" applyFill="1" applyBorder="1" applyAlignment="1">
      <alignment horizontal="center" vertical="center" wrapText="1"/>
    </xf>
    <xf numFmtId="0" fontId="53" fillId="0" borderId="3" xfId="56" applyNumberFormat="1" applyFont="1" applyFill="1" applyBorder="1" applyAlignment="1">
      <alignment horizontal="center" vertical="center" wrapText="1"/>
    </xf>
    <xf numFmtId="49" fontId="27" fillId="0" borderId="0" xfId="56" applyNumberFormat="1" applyFont="1" applyFill="1" applyBorder="1" applyAlignment="1">
      <alignment horizontal="center" vertical="center" wrapText="1"/>
    </xf>
    <xf numFmtId="49" fontId="53" fillId="0" borderId="3" xfId="56" applyNumberFormat="1" applyFont="1" applyFill="1" applyBorder="1" applyAlignment="1">
      <alignment horizontal="center" vertical="center" wrapText="1"/>
    </xf>
    <xf numFmtId="178" fontId="27" fillId="0" borderId="0" xfId="160" applyNumberFormat="1" applyFont="1" applyFill="1" applyBorder="1" applyAlignment="1">
      <alignment vertical="center" wrapText="1"/>
    </xf>
    <xf numFmtId="49" fontId="51" fillId="0" borderId="0" xfId="166" applyNumberFormat="1" applyFont="1" applyFill="1" applyBorder="1" applyAlignment="1" applyProtection="1">
      <alignment horizontal="center" vertical="center" wrapText="1"/>
    </xf>
    <xf numFmtId="178" fontId="27" fillId="0" borderId="0" xfId="160" applyNumberFormat="1" applyFont="1" applyFill="1" applyBorder="1" applyAlignment="1">
      <alignment horizontal="center" vertical="center" wrapText="1"/>
    </xf>
    <xf numFmtId="49" fontId="55" fillId="0" borderId="3" xfId="166" applyNumberFormat="1" applyFont="1" applyFill="1" applyBorder="1" applyAlignment="1" applyProtection="1">
      <alignment horizontal="center" vertical="center" wrapText="1"/>
    </xf>
    <xf numFmtId="178" fontId="53" fillId="0" borderId="3" xfId="160" applyNumberFormat="1" applyFont="1" applyFill="1" applyBorder="1" applyAlignment="1">
      <alignment vertical="center" wrapText="1"/>
    </xf>
    <xf numFmtId="49" fontId="29" fillId="0" borderId="0" xfId="160" applyNumberFormat="1" applyFont="1" applyFill="1" applyBorder="1"/>
    <xf numFmtId="49" fontId="53" fillId="0" borderId="0" xfId="160" applyNumberFormat="1" applyFont="1" applyFill="1" applyBorder="1"/>
    <xf numFmtId="178" fontId="53" fillId="0" borderId="0" xfId="160" applyNumberFormat="1" applyFont="1" applyFill="1" applyAlignment="1">
      <alignment vertical="center"/>
    </xf>
    <xf numFmtId="0" fontId="4" fillId="0" borderId="3" xfId="56" applyFont="1" applyFill="1" applyBorder="1" applyAlignment="1">
      <alignment vertical="top" wrapText="1"/>
    </xf>
    <xf numFmtId="0" fontId="34" fillId="0" borderId="0" xfId="65" applyFont="1" applyFill="1" applyBorder="1" applyAlignment="1">
      <alignment wrapText="1"/>
    </xf>
    <xf numFmtId="0" fontId="4" fillId="3" borderId="3" xfId="56" applyFont="1" applyFill="1" applyBorder="1" applyAlignment="1">
      <alignment vertical="center" wrapText="1"/>
    </xf>
    <xf numFmtId="0" fontId="34" fillId="0" borderId="0" xfId="65" applyFont="1" applyFill="1" applyBorder="1" applyAlignment="1">
      <alignment horizontal="left" wrapText="1"/>
    </xf>
    <xf numFmtId="0" fontId="14" fillId="18" borderId="1" xfId="56" applyFont="1" applyFill="1" applyBorder="1" applyAlignment="1">
      <alignment horizontal="center" vertical="center"/>
    </xf>
    <xf numFmtId="0" fontId="14" fillId="18" borderId="15" xfId="56" applyFont="1" applyFill="1" applyBorder="1" applyAlignment="1">
      <alignment horizontal="center" vertical="center"/>
    </xf>
    <xf numFmtId="181" fontId="4" fillId="3" borderId="3" xfId="24" applyNumberFormat="1" applyFont="1" applyFill="1" applyBorder="1" applyAlignment="1">
      <alignment vertical="center"/>
    </xf>
    <xf numFmtId="181" fontId="27" fillId="0" borderId="3" xfId="171" applyNumberFormat="1" applyFont="1" applyFill="1" applyBorder="1" applyAlignment="1">
      <alignment vertical="center"/>
    </xf>
    <xf numFmtId="181" fontId="27" fillId="3" borderId="3" xfId="24" applyNumberFormat="1" applyFont="1" applyFill="1" applyBorder="1" applyAlignment="1">
      <alignment vertical="center"/>
    </xf>
    <xf numFmtId="0" fontId="14" fillId="10" borderId="15" xfId="56" applyFont="1" applyFill="1" applyBorder="1" applyAlignment="1">
      <alignment horizontal="center" vertical="center" wrapText="1"/>
    </xf>
    <xf numFmtId="181" fontId="4" fillId="3" borderId="3" xfId="24" applyNumberFormat="1" applyFont="1" applyFill="1" applyBorder="1" applyAlignment="1">
      <alignment horizontal="left" vertical="center"/>
    </xf>
    <xf numFmtId="181" fontId="27" fillId="3" borderId="3" xfId="171" applyNumberFormat="1" applyFont="1" applyFill="1" applyBorder="1" applyAlignment="1">
      <alignment vertical="center"/>
    </xf>
    <xf numFmtId="0" fontId="4" fillId="3" borderId="3" xfId="56" applyFont="1" applyFill="1" applyBorder="1" applyAlignment="1">
      <alignment horizontal="center" vertical="center" wrapText="1"/>
    </xf>
    <xf numFmtId="0" fontId="18" fillId="0" borderId="3" xfId="166" applyNumberFormat="1" applyFont="1" applyFill="1" applyBorder="1" applyAlignment="1" applyProtection="1">
      <alignment horizontal="center" vertical="center" wrapText="1"/>
    </xf>
    <xf numFmtId="0" fontId="11" fillId="0" borderId="3" xfId="166" applyNumberFormat="1" applyFont="1" applyFill="1" applyBorder="1" applyAlignment="1" applyProtection="1">
      <alignment horizontal="center" vertical="center" wrapText="1"/>
    </xf>
    <xf numFmtId="0" fontId="11" fillId="0" borderId="3" xfId="166" applyNumberFormat="1" applyFill="1" applyBorder="1" applyAlignment="1" applyProtection="1">
      <alignment horizontal="center" vertical="center" wrapText="1"/>
    </xf>
    <xf numFmtId="0" fontId="12" fillId="0" borderId="3" xfId="166" applyNumberFormat="1" applyFont="1" applyFill="1" applyBorder="1" applyAlignment="1" applyProtection="1">
      <alignment horizontal="center" vertical="center" wrapText="1"/>
    </xf>
    <xf numFmtId="0" fontId="14" fillId="4" borderId="1" xfId="56" applyFont="1" applyFill="1" applyBorder="1" applyAlignment="1">
      <alignment horizontal="center" vertical="center"/>
    </xf>
    <xf numFmtId="0" fontId="14" fillId="4" borderId="15" xfId="56" applyFont="1" applyFill="1" applyBorder="1" applyAlignment="1">
      <alignment horizontal="center" vertical="center"/>
    </xf>
    <xf numFmtId="15" fontId="56" fillId="0" borderId="3" xfId="55" applyNumberFormat="1" applyFont="1" applyFill="1" applyBorder="1" applyAlignment="1">
      <alignment horizontal="left"/>
    </xf>
    <xf numFmtId="0" fontId="56" fillId="0" borderId="0" xfId="55" applyFont="1" applyFill="1" applyAlignment="1">
      <alignment horizontal="left"/>
    </xf>
    <xf numFmtId="0" fontId="56" fillId="0" borderId="3" xfId="55" applyFont="1" applyFill="1" applyBorder="1" applyAlignment="1">
      <alignment horizontal="left"/>
    </xf>
    <xf numFmtId="15" fontId="57" fillId="0" borderId="3" xfId="55" applyNumberFormat="1" applyFont="1" applyFill="1" applyBorder="1" applyAlignment="1">
      <alignment horizontal="left"/>
    </xf>
    <xf numFmtId="0" fontId="57" fillId="0" borderId="0" xfId="55" applyFont="1" applyFill="1" applyAlignment="1">
      <alignment horizontal="left"/>
    </xf>
    <xf numFmtId="0" fontId="54" fillId="0" borderId="4" xfId="56" applyFont="1" applyFill="1" applyBorder="1" applyAlignment="1">
      <alignment horizontal="center" vertical="center" wrapText="1"/>
    </xf>
    <xf numFmtId="0" fontId="54" fillId="0" borderId="4" xfId="56" applyFont="1" applyFill="1" applyBorder="1" applyAlignment="1">
      <alignment vertical="center" wrapText="1"/>
    </xf>
    <xf numFmtId="0" fontId="54" fillId="0" borderId="3" xfId="56" applyFont="1" applyFill="1" applyBorder="1" applyAlignment="1">
      <alignment vertical="center" wrapText="1"/>
    </xf>
    <xf numFmtId="178" fontId="54" fillId="0" borderId="3" xfId="56" applyNumberFormat="1" applyFont="1" applyFill="1" applyBorder="1" applyAlignment="1">
      <alignment horizontal="center" vertical="center" wrapText="1"/>
    </xf>
    <xf numFmtId="0" fontId="54" fillId="0" borderId="3" xfId="56" applyFont="1" applyFill="1" applyBorder="1" applyAlignment="1">
      <alignment horizontal="center" vertical="center" wrapText="1"/>
    </xf>
    <xf numFmtId="15" fontId="54" fillId="0" borderId="3" xfId="56" applyNumberFormat="1" applyFont="1" applyFill="1" applyBorder="1" applyAlignment="1">
      <alignment vertical="center" wrapText="1"/>
    </xf>
    <xf numFmtId="181" fontId="54" fillId="0" borderId="3" xfId="24" applyNumberFormat="1" applyFont="1" applyFill="1" applyBorder="1" applyAlignment="1">
      <alignment vertical="center" wrapText="1"/>
    </xf>
    <xf numFmtId="181" fontId="54" fillId="0" borderId="3" xfId="24" applyNumberFormat="1" applyFont="1" applyFill="1" applyBorder="1" applyAlignment="1">
      <alignment horizontal="center" vertical="center" wrapText="1"/>
    </xf>
    <xf numFmtId="0" fontId="54" fillId="0" borderId="3" xfId="56" applyNumberFormat="1" applyFont="1" applyFill="1" applyBorder="1" applyAlignment="1">
      <alignment horizontal="center" vertical="center" wrapText="1"/>
    </xf>
    <xf numFmtId="0" fontId="58" fillId="0" borderId="3" xfId="166" applyNumberFormat="1" applyFont="1" applyFill="1" applyBorder="1" applyAlignment="1" applyProtection="1">
      <alignment horizontal="center" vertical="center" wrapText="1"/>
    </xf>
    <xf numFmtId="0" fontId="8" fillId="0" borderId="3" xfId="56" applyFont="1" applyFill="1" applyBorder="1" applyAlignment="1">
      <alignment vertical="top" wrapText="1"/>
    </xf>
    <xf numFmtId="0" fontId="8" fillId="0" borderId="3" xfId="56" applyFont="1" applyFill="1" applyBorder="1" applyAlignment="1">
      <alignment horizontal="left" vertical="center"/>
    </xf>
    <xf numFmtId="0" fontId="54" fillId="0" borderId="3" xfId="56" applyFont="1" applyFill="1" applyBorder="1" applyAlignment="1">
      <alignment vertical="center"/>
    </xf>
    <xf numFmtId="0" fontId="57" fillId="0" borderId="3" xfId="55" applyFont="1" applyFill="1" applyBorder="1" applyAlignment="1">
      <alignment horizontal="left"/>
    </xf>
    <xf numFmtId="0" fontId="59" fillId="0" borderId="0" xfId="160" applyFont="1" applyFill="1"/>
    <xf numFmtId="0" fontId="60" fillId="0" borderId="0" xfId="160" applyFont="1" applyFill="1"/>
    <xf numFmtId="0" fontId="24" fillId="0" borderId="0" xfId="160" applyFont="1"/>
    <xf numFmtId="0" fontId="22" fillId="0" borderId="48" xfId="160" applyBorder="1"/>
    <xf numFmtId="49" fontId="22" fillId="0" borderId="0" xfId="160" applyNumberFormat="1"/>
    <xf numFmtId="15" fontId="4" fillId="0" borderId="0" xfId="56" applyNumberFormat="1" applyFont="1" applyFill="1" applyBorder="1" applyAlignment="1" applyProtection="1">
      <alignment horizontal="center" vertical="center" wrapText="1"/>
      <protection locked="0"/>
    </xf>
    <xf numFmtId="0" fontId="41" fillId="0" borderId="4" xfId="56" applyFont="1" applyFill="1" applyBorder="1" applyAlignment="1" applyProtection="1">
      <alignment horizontal="left" vertical="center" wrapText="1"/>
      <protection locked="0"/>
    </xf>
    <xf numFmtId="0" fontId="61" fillId="0" borderId="4" xfId="56" applyFont="1" applyFill="1" applyBorder="1" applyAlignment="1" applyProtection="1">
      <alignment horizontal="center" vertical="center" wrapText="1"/>
      <protection locked="0"/>
    </xf>
    <xf numFmtId="0" fontId="61" fillId="0" borderId="4" xfId="56" applyFont="1" applyFill="1" applyBorder="1" applyAlignment="1" applyProtection="1">
      <alignment horizontal="left" vertical="center" wrapText="1"/>
      <protection locked="0"/>
    </xf>
    <xf numFmtId="179" fontId="41" fillId="0" borderId="3" xfId="56" applyNumberFormat="1" applyFont="1" applyFill="1" applyBorder="1" applyAlignment="1" applyProtection="1">
      <alignment horizontal="center" vertical="center" wrapText="1"/>
      <protection locked="0"/>
    </xf>
    <xf numFmtId="0" fontId="41" fillId="0" borderId="3" xfId="56" applyFont="1" applyFill="1" applyBorder="1" applyAlignment="1" applyProtection="1">
      <alignment horizontal="center" vertical="center" wrapText="1"/>
      <protection locked="0"/>
    </xf>
    <xf numFmtId="178" fontId="41" fillId="0" borderId="3" xfId="56" applyNumberFormat="1" applyFont="1" applyFill="1" applyBorder="1" applyAlignment="1" applyProtection="1">
      <alignment horizontal="center" vertical="center" wrapText="1"/>
      <protection locked="0"/>
    </xf>
    <xf numFmtId="179" fontId="61" fillId="0" borderId="3" xfId="56" applyNumberFormat="1" applyFont="1" applyFill="1" applyBorder="1" applyAlignment="1" applyProtection="1">
      <alignment horizontal="center" vertical="center" wrapText="1"/>
      <protection locked="0"/>
    </xf>
    <xf numFmtId="0" fontId="61" fillId="0" borderId="3" xfId="56" applyFont="1" applyFill="1" applyBorder="1" applyAlignment="1" applyProtection="1">
      <alignment horizontal="center" vertical="center" wrapText="1"/>
      <protection locked="0"/>
    </xf>
    <xf numFmtId="178" fontId="61" fillId="0" borderId="3" xfId="56" applyNumberFormat="1" applyFont="1" applyFill="1" applyBorder="1" applyAlignment="1" applyProtection="1">
      <alignment horizontal="center" vertical="center" wrapText="1"/>
      <protection locked="0"/>
    </xf>
    <xf numFmtId="15" fontId="41" fillId="0" borderId="4" xfId="56" applyNumberFormat="1" applyFont="1" applyFill="1" applyBorder="1" applyAlignment="1" applyProtection="1">
      <alignment horizontal="center" vertical="center" wrapText="1"/>
      <protection locked="0"/>
    </xf>
    <xf numFmtId="0" fontId="41" fillId="3" borderId="3" xfId="56" applyFont="1" applyFill="1" applyBorder="1" applyAlignment="1" applyProtection="1">
      <alignment horizontal="center" vertical="center" wrapText="1"/>
      <protection locked="0"/>
    </xf>
    <xf numFmtId="0" fontId="4" fillId="3" borderId="3" xfId="56" applyFont="1" applyFill="1" applyBorder="1" applyAlignment="1" applyProtection="1">
      <alignment horizontal="center" vertical="center" wrapText="1"/>
      <protection locked="0"/>
    </xf>
    <xf numFmtId="15" fontId="61" fillId="0" borderId="4" xfId="56" applyNumberFormat="1" applyFont="1" applyFill="1" applyBorder="1" applyAlignment="1" applyProtection="1">
      <alignment horizontal="center" vertical="center" wrapText="1"/>
      <protection locked="0"/>
    </xf>
    <xf numFmtId="15" fontId="61" fillId="5" borderId="4" xfId="56" applyNumberFormat="1" applyFont="1" applyFill="1" applyBorder="1" applyAlignment="1" applyProtection="1">
      <alignment horizontal="center" vertical="center" wrapText="1"/>
      <protection locked="0"/>
    </xf>
    <xf numFmtId="15" fontId="61" fillId="3" borderId="4" xfId="56" applyNumberFormat="1" applyFont="1" applyFill="1" applyBorder="1" applyAlignment="1" applyProtection="1">
      <alignment horizontal="center" vertical="center" wrapText="1"/>
      <protection locked="0"/>
    </xf>
    <xf numFmtId="15" fontId="4" fillId="3" borderId="4" xfId="56" applyNumberFormat="1" applyFont="1" applyFill="1" applyBorder="1" applyAlignment="1" applyProtection="1">
      <alignment horizontal="center" vertical="center" wrapText="1"/>
      <protection locked="0"/>
    </xf>
    <xf numFmtId="15" fontId="41" fillId="3" borderId="4" xfId="56" applyNumberFormat="1" applyFont="1" applyFill="1" applyBorder="1" applyAlignment="1" applyProtection="1">
      <alignment horizontal="center" vertical="center" wrapText="1"/>
      <protection locked="0"/>
    </xf>
    <xf numFmtId="15" fontId="41" fillId="0" borderId="3" xfId="56" applyNumberFormat="1" applyFont="1" applyFill="1" applyBorder="1" applyAlignment="1" applyProtection="1">
      <alignment horizontal="center" vertical="center" wrapText="1"/>
      <protection locked="0"/>
    </xf>
    <xf numFmtId="15" fontId="41" fillId="0" borderId="3" xfId="0" applyNumberFormat="1" applyFont="1" applyFill="1" applyBorder="1" applyAlignment="1">
      <alignment horizontal="center" vertical="center" wrapText="1"/>
    </xf>
    <xf numFmtId="181" fontId="41" fillId="0" borderId="4" xfId="24" applyNumberFormat="1" applyFont="1" applyFill="1" applyBorder="1" applyAlignment="1" applyProtection="1">
      <alignment horizontal="left" vertical="center" wrapText="1"/>
      <protection locked="0"/>
    </xf>
    <xf numFmtId="3" fontId="41" fillId="0" borderId="4" xfId="56" applyNumberFormat="1" applyFont="1" applyFill="1" applyBorder="1" applyAlignment="1" applyProtection="1">
      <alignment horizontal="center" vertical="center" wrapText="1"/>
      <protection locked="0"/>
    </xf>
    <xf numFmtId="181" fontId="41" fillId="3" borderId="4" xfId="24" applyNumberFormat="1" applyFont="1" applyFill="1" applyBorder="1" applyAlignment="1" applyProtection="1">
      <alignment horizontal="left" vertical="center" wrapText="1"/>
      <protection locked="0"/>
    </xf>
    <xf numFmtId="181" fontId="4" fillId="3" borderId="4" xfId="24" applyNumberFormat="1" applyFont="1" applyFill="1" applyBorder="1" applyAlignment="1" applyProtection="1">
      <alignment horizontal="left" vertical="center" wrapText="1"/>
      <protection locked="0"/>
    </xf>
    <xf numFmtId="15" fontId="61" fillId="0" borderId="3" xfId="0" applyNumberFormat="1" applyFont="1" applyFill="1" applyBorder="1" applyAlignment="1">
      <alignment horizontal="center" vertical="center" wrapText="1"/>
    </xf>
    <xf numFmtId="181" fontId="61" fillId="0" borderId="4" xfId="24" applyNumberFormat="1" applyFont="1" applyFill="1" applyBorder="1" applyAlignment="1" applyProtection="1">
      <alignment horizontal="left" vertical="center" wrapText="1"/>
      <protection locked="0"/>
    </xf>
    <xf numFmtId="3" fontId="61" fillId="0" borderId="4" xfId="56" applyNumberFormat="1" applyFont="1" applyFill="1" applyBorder="1" applyAlignment="1" applyProtection="1">
      <alignment horizontal="center" vertical="center" wrapText="1"/>
      <protection locked="0"/>
    </xf>
    <xf numFmtId="3" fontId="4" fillId="3" borderId="4" xfId="56" applyNumberFormat="1" applyFont="1" applyFill="1" applyBorder="1" applyAlignment="1" applyProtection="1">
      <alignment horizontal="center" vertical="center" wrapText="1"/>
      <protection locked="0"/>
    </xf>
    <xf numFmtId="181" fontId="4" fillId="3" borderId="4" xfId="24" applyNumberFormat="1" applyFont="1" applyFill="1" applyBorder="1" applyAlignment="1" applyProtection="1">
      <alignment horizontal="left" vertical="center"/>
      <protection locked="0"/>
    </xf>
    <xf numFmtId="181" fontId="4" fillId="0" borderId="4" xfId="24" applyNumberFormat="1" applyFont="1" applyFill="1" applyBorder="1" applyAlignment="1" applyProtection="1">
      <alignment horizontal="left" vertical="center"/>
      <protection locked="0"/>
    </xf>
    <xf numFmtId="181" fontId="4" fillId="0" borderId="3" xfId="24" applyNumberFormat="1" applyFont="1" applyFill="1" applyBorder="1" applyAlignment="1" applyProtection="1">
      <alignment horizontal="left" vertical="center" wrapText="1"/>
      <protection locked="0"/>
    </xf>
    <xf numFmtId="3" fontId="41" fillId="3" borderId="4" xfId="56" applyNumberFormat="1" applyFont="1" applyFill="1" applyBorder="1" applyAlignment="1" applyProtection="1">
      <alignment horizontal="center" vertical="center" wrapText="1"/>
      <protection locked="0"/>
    </xf>
    <xf numFmtId="3" fontId="61" fillId="3" borderId="4" xfId="56" applyNumberFormat="1" applyFont="1" applyFill="1" applyBorder="1" applyAlignment="1" applyProtection="1">
      <alignment horizontal="center" vertical="center" wrapText="1"/>
      <protection locked="0"/>
    </xf>
    <xf numFmtId="3" fontId="4" fillId="6" borderId="4" xfId="56" applyNumberFormat="1" applyFont="1" applyFill="1" applyBorder="1" applyAlignment="1" applyProtection="1">
      <alignment horizontal="center" vertical="center" wrapText="1"/>
      <protection locked="0"/>
    </xf>
    <xf numFmtId="3" fontId="4" fillId="0" borderId="4" xfId="56" applyNumberFormat="1" applyFont="1" applyFill="1" applyBorder="1" applyAlignment="1" applyProtection="1">
      <alignment horizontal="center" vertical="center"/>
      <protection locked="0"/>
    </xf>
    <xf numFmtId="49" fontId="41" fillId="0" borderId="3" xfId="56" applyNumberFormat="1" applyFont="1" applyFill="1" applyBorder="1" applyAlignment="1" applyProtection="1">
      <alignment horizontal="center" vertical="center" wrapText="1"/>
      <protection locked="0"/>
    </xf>
    <xf numFmtId="49" fontId="61" fillId="0" borderId="3" xfId="56" applyNumberFormat="1" applyFont="1" applyFill="1" applyBorder="1" applyAlignment="1" applyProtection="1">
      <alignment horizontal="center" vertical="center" wrapText="1"/>
      <protection locked="0"/>
    </xf>
    <xf numFmtId="0" fontId="61" fillId="3" borderId="3" xfId="56" applyFont="1" applyFill="1" applyBorder="1" applyAlignment="1" applyProtection="1">
      <alignment horizontal="center" vertical="center" wrapText="1"/>
      <protection locked="0"/>
    </xf>
    <xf numFmtId="0" fontId="14" fillId="2" borderId="24" xfId="56" applyFont="1" applyFill="1" applyBorder="1" applyAlignment="1">
      <alignment horizontal="center" vertical="center"/>
    </xf>
    <xf numFmtId="0" fontId="14" fillId="2" borderId="25" xfId="56" applyFont="1" applyFill="1" applyBorder="1" applyAlignment="1">
      <alignment horizontal="center" vertical="center"/>
    </xf>
    <xf numFmtId="0" fontId="4" fillId="0" borderId="3" xfId="56" applyFont="1" applyFill="1" applyBorder="1" applyAlignment="1" applyProtection="1">
      <alignment vertical="center" wrapText="1"/>
      <protection locked="0"/>
    </xf>
    <xf numFmtId="0" fontId="41" fillId="0" borderId="3" xfId="56" applyFont="1" applyFill="1" applyBorder="1" applyAlignment="1" applyProtection="1">
      <alignment horizontal="left" vertical="center" wrapText="1"/>
      <protection locked="0"/>
    </xf>
    <xf numFmtId="49" fontId="11" fillId="0" borderId="3" xfId="166" applyNumberFormat="1" applyFill="1" applyBorder="1" applyAlignment="1" applyProtection="1">
      <alignment horizontal="center" vertical="center" wrapText="1"/>
      <protection locked="0"/>
    </xf>
    <xf numFmtId="16" fontId="4" fillId="0" borderId="3" xfId="56" applyNumberFormat="1" applyFont="1" applyFill="1" applyBorder="1" applyAlignment="1" applyProtection="1">
      <alignment vertical="center" wrapText="1"/>
      <protection locked="0"/>
    </xf>
    <xf numFmtId="0" fontId="11" fillId="0" borderId="0" xfId="166" applyAlignment="1" applyProtection="1"/>
    <xf numFmtId="49" fontId="11" fillId="0" borderId="3" xfId="166" applyNumberFormat="1" applyFont="1" applyFill="1" applyBorder="1" applyAlignment="1" applyProtection="1">
      <alignment horizontal="center" vertical="center" wrapText="1"/>
      <protection locked="0"/>
    </xf>
    <xf numFmtId="15" fontId="59" fillId="0" borderId="0" xfId="160" applyNumberFormat="1" applyFont="1" applyFill="1"/>
    <xf numFmtId="15" fontId="41" fillId="0" borderId="0" xfId="56" applyNumberFormat="1" applyFont="1" applyFill="1" applyBorder="1" applyAlignment="1" applyProtection="1">
      <alignment horizontal="center" vertical="center" wrapText="1"/>
      <protection locked="0"/>
    </xf>
    <xf numFmtId="15" fontId="60" fillId="0" borderId="0" xfId="160" applyNumberFormat="1" applyFont="1" applyFill="1"/>
    <xf numFmtId="15" fontId="61" fillId="0" borderId="0" xfId="56" applyNumberFormat="1" applyFont="1" applyFill="1" applyBorder="1" applyAlignment="1" applyProtection="1">
      <alignment horizontal="center" vertical="center" wrapText="1"/>
      <protection locked="0"/>
    </xf>
    <xf numFmtId="0" fontId="4" fillId="0" borderId="3" xfId="56" applyFont="1" applyFill="1" applyBorder="1" applyAlignment="1" applyProtection="1">
      <alignment horizontal="left" vertical="center" wrapText="1"/>
      <protection locked="0"/>
    </xf>
    <xf numFmtId="15" fontId="4" fillId="0" borderId="3" xfId="56" applyNumberFormat="1" applyFont="1" applyFill="1" applyBorder="1" applyAlignment="1" applyProtection="1">
      <alignment horizontal="center" vertical="center" wrapText="1"/>
      <protection locked="0"/>
    </xf>
    <xf numFmtId="0" fontId="4" fillId="5" borderId="3" xfId="56" applyFont="1" applyFill="1" applyBorder="1" applyAlignment="1" applyProtection="1">
      <alignment horizontal="center" vertical="center" wrapText="1"/>
      <protection locked="0"/>
    </xf>
    <xf numFmtId="15" fontId="4" fillId="3" borderId="3" xfId="56" applyNumberFormat="1" applyFont="1" applyFill="1" applyBorder="1" applyAlignment="1" applyProtection="1">
      <alignment horizontal="center" vertical="center" wrapText="1"/>
      <protection locked="0"/>
    </xf>
    <xf numFmtId="0" fontId="4" fillId="0" borderId="3" xfId="56" applyFont="1" applyFill="1" applyBorder="1"/>
    <xf numFmtId="0" fontId="22" fillId="0" borderId="3" xfId="160" applyFill="1" applyBorder="1"/>
    <xf numFmtId="3" fontId="4" fillId="3" borderId="4" xfId="56" applyNumberFormat="1" applyFont="1" applyFill="1" applyBorder="1" applyAlignment="1" applyProtection="1">
      <alignment vertical="center"/>
      <protection locked="0"/>
    </xf>
    <xf numFmtId="3" fontId="4" fillId="0" borderId="4" xfId="56" applyNumberFormat="1" applyFont="1" applyFill="1" applyBorder="1" applyAlignment="1" applyProtection="1">
      <alignment vertical="center"/>
      <protection locked="0"/>
    </xf>
    <xf numFmtId="3" fontId="4" fillId="5" borderId="4" xfId="56" applyNumberFormat="1" applyFont="1" applyFill="1" applyBorder="1" applyAlignment="1" applyProtection="1">
      <alignment vertical="center"/>
      <protection locked="0"/>
    </xf>
    <xf numFmtId="3" fontId="4" fillId="0" borderId="4" xfId="56" applyNumberFormat="1" applyFont="1" applyFill="1" applyBorder="1" applyAlignment="1" applyProtection="1">
      <alignment vertical="center" wrapText="1"/>
      <protection locked="0"/>
    </xf>
    <xf numFmtId="49" fontId="4" fillId="4" borderId="21" xfId="56" applyNumberFormat="1" applyFont="1" applyFill="1" applyBorder="1" applyAlignment="1">
      <alignment horizontal="center" vertical="center" wrapText="1"/>
    </xf>
    <xf numFmtId="0" fontId="11" fillId="0" borderId="3" xfId="166" applyFill="1" applyBorder="1" applyAlignment="1" applyProtection="1">
      <alignment horizontal="center" vertical="center" wrapText="1"/>
      <protection locked="0"/>
    </xf>
    <xf numFmtId="49" fontId="62" fillId="0" borderId="21" xfId="42" applyNumberFormat="1" applyFill="1" applyBorder="1" applyAlignment="1" applyProtection="1">
      <alignment horizontal="center"/>
      <protection locked="0"/>
    </xf>
    <xf numFmtId="0" fontId="11" fillId="0" borderId="0" xfId="166" applyAlignment="1" applyProtection="1">
      <alignment horizontal="center"/>
    </xf>
    <xf numFmtId="178" fontId="4" fillId="4" borderId="3" xfId="56" applyNumberFormat="1" applyFont="1" applyFill="1" applyBorder="1" applyAlignment="1">
      <alignment horizontal="center" vertical="center"/>
    </xf>
    <xf numFmtId="15" fontId="4" fillId="5" borderId="4" xfId="56" applyNumberFormat="1" applyFont="1" applyFill="1" applyBorder="1" applyAlignment="1" applyProtection="1">
      <alignment horizontal="center" vertical="center" wrapText="1"/>
      <protection locked="0"/>
    </xf>
    <xf numFmtId="3" fontId="8" fillId="0" borderId="4" xfId="56" applyNumberFormat="1" applyFont="1" applyFill="1" applyBorder="1" applyAlignment="1" applyProtection="1">
      <alignment vertical="center"/>
      <protection locked="0"/>
    </xf>
    <xf numFmtId="0" fontId="34" fillId="0" borderId="0" xfId="79" applyFont="1" applyFill="1" applyBorder="1" applyAlignment="1">
      <alignment wrapText="1"/>
    </xf>
    <xf numFmtId="0" fontId="34" fillId="0" borderId="0" xfId="79" applyFont="1" applyFill="1" applyBorder="1" applyAlignment="1">
      <alignment horizontal="left" wrapText="1"/>
    </xf>
    <xf numFmtId="181" fontId="8" fillId="0" borderId="4" xfId="24" applyNumberFormat="1" applyFont="1" applyFill="1" applyBorder="1" applyAlignment="1" applyProtection="1">
      <alignment horizontal="left" vertical="center"/>
      <protection locked="0"/>
    </xf>
    <xf numFmtId="3" fontId="8" fillId="0" borderId="4" xfId="56" applyNumberFormat="1" applyFont="1" applyFill="1" applyBorder="1" applyAlignment="1" applyProtection="1">
      <alignment horizontal="center" vertical="center"/>
      <protection locked="0"/>
    </xf>
    <xf numFmtId="3" fontId="8" fillId="0" borderId="4" xfId="56" applyNumberFormat="1" applyFont="1" applyFill="1" applyBorder="1" applyAlignment="1" applyProtection="1">
      <alignment vertical="center" wrapText="1"/>
      <protection locked="0"/>
    </xf>
    <xf numFmtId="49" fontId="22" fillId="0" borderId="0" xfId="160" applyNumberFormat="1" applyFill="1"/>
    <xf numFmtId="15" fontId="8" fillId="0" borderId="47" xfId="56" applyNumberFormat="1" applyFont="1" applyFill="1" applyBorder="1" applyAlignment="1" applyProtection="1">
      <alignment horizontal="center" vertical="center" wrapText="1"/>
      <protection locked="0"/>
    </xf>
    <xf numFmtId="0" fontId="8" fillId="0" borderId="21" xfId="56" applyFont="1" applyFill="1" applyBorder="1" applyAlignment="1" applyProtection="1">
      <alignment vertical="center" wrapText="1"/>
      <protection locked="0"/>
    </xf>
    <xf numFmtId="15" fontId="8" fillId="0" borderId="47" xfId="56" applyNumberFormat="1" applyFont="1" applyFill="1" applyBorder="1" applyAlignment="1" applyProtection="1">
      <alignment horizontal="center" vertical="top" wrapText="1"/>
      <protection locked="0"/>
    </xf>
    <xf numFmtId="16" fontId="8" fillId="0" borderId="21" xfId="56" applyNumberFormat="1" applyFont="1" applyFill="1" applyBorder="1" applyAlignment="1" applyProtection="1">
      <alignment vertical="center" wrapText="1"/>
      <protection locked="0"/>
    </xf>
    <xf numFmtId="0" fontId="23" fillId="0" borderId="21" xfId="160" applyFont="1" applyFill="1" applyBorder="1"/>
    <xf numFmtId="0" fontId="8" fillId="0" borderId="21" xfId="56" applyFont="1" applyFill="1" applyBorder="1" applyAlignment="1" applyProtection="1">
      <alignment vertical="top" wrapText="1"/>
      <protection locked="0"/>
    </xf>
    <xf numFmtId="16" fontId="8" fillId="0" borderId="21" xfId="56" applyNumberFormat="1" applyFont="1" applyFill="1" applyBorder="1" applyAlignment="1" applyProtection="1">
      <alignment vertical="top" wrapText="1"/>
      <protection locked="0"/>
    </xf>
    <xf numFmtId="15" fontId="8" fillId="0" borderId="4" xfId="56" applyNumberFormat="1" applyFont="1" applyFill="1" applyBorder="1" applyAlignment="1" applyProtection="1">
      <alignment horizontal="left" vertical="center" wrapText="1"/>
      <protection locked="0"/>
    </xf>
    <xf numFmtId="0" fontId="36" fillId="0" borderId="3" xfId="56" applyFont="1" applyFill="1" applyBorder="1" applyAlignment="1" applyProtection="1">
      <alignment horizontal="center" vertical="center" wrapText="1"/>
      <protection locked="0"/>
    </xf>
    <xf numFmtId="0" fontId="8" fillId="0" borderId="49" xfId="56" applyFont="1" applyFill="1" applyBorder="1" applyAlignment="1" applyProtection="1">
      <alignment horizontal="center" vertical="center" wrapText="1"/>
      <protection locked="0"/>
    </xf>
    <xf numFmtId="0" fontId="8" fillId="0" borderId="50" xfId="56" applyFont="1" applyFill="1" applyBorder="1" applyAlignment="1" applyProtection="1">
      <alignment horizontal="center" vertical="center" wrapText="1"/>
      <protection locked="0"/>
    </xf>
    <xf numFmtId="0" fontId="8" fillId="0" borderId="50" xfId="56" applyFont="1" applyFill="1" applyBorder="1" applyAlignment="1" applyProtection="1">
      <alignment horizontal="left" vertical="center" wrapText="1"/>
      <protection locked="0"/>
    </xf>
    <xf numFmtId="0" fontId="8" fillId="0" borderId="4" xfId="56" applyFont="1" applyFill="1" applyBorder="1" applyAlignment="1">
      <alignment vertical="center"/>
    </xf>
    <xf numFmtId="0" fontId="63" fillId="0" borderId="0" xfId="0" applyFont="1"/>
    <xf numFmtId="0" fontId="64" fillId="0" borderId="0" xfId="0" applyFont="1"/>
    <xf numFmtId="179" fontId="8" fillId="0" borderId="49" xfId="56" applyNumberFormat="1" applyFont="1" applyFill="1" applyBorder="1" applyAlignment="1" applyProtection="1">
      <alignment horizontal="center" vertical="center" wrapText="1"/>
      <protection locked="0"/>
    </xf>
    <xf numFmtId="178" fontId="8" fillId="0" borderId="49" xfId="56" applyNumberFormat="1" applyFont="1" applyFill="1" applyBorder="1" applyAlignment="1" applyProtection="1">
      <alignment horizontal="center" vertical="center" wrapText="1"/>
      <protection locked="0"/>
    </xf>
    <xf numFmtId="179" fontId="8" fillId="0" borderId="4" xfId="56" applyNumberFormat="1" applyFont="1" applyFill="1" applyBorder="1" applyAlignment="1" applyProtection="1">
      <alignment horizontal="center" vertical="center" wrapText="1"/>
      <protection locked="0"/>
    </xf>
    <xf numFmtId="178" fontId="8" fillId="0" borderId="4" xfId="56" applyNumberFormat="1" applyFont="1" applyFill="1" applyBorder="1" applyAlignment="1">
      <alignment horizontal="center" vertical="center"/>
    </xf>
    <xf numFmtId="15" fontId="8" fillId="0" borderId="50" xfId="56" applyNumberFormat="1" applyFont="1" applyFill="1" applyBorder="1" applyAlignment="1" applyProtection="1">
      <alignment horizontal="center" vertical="center" wrapText="1"/>
      <protection locked="0"/>
    </xf>
    <xf numFmtId="15" fontId="8" fillId="6" borderId="3" xfId="56" applyNumberFormat="1" applyFont="1" applyFill="1" applyBorder="1" applyAlignment="1" applyProtection="1">
      <alignment horizontal="center" vertical="center" wrapText="1"/>
      <protection locked="0"/>
    </xf>
    <xf numFmtId="0" fontId="23" fillId="0" borderId="3" xfId="160" applyFont="1" applyFill="1" applyBorder="1"/>
    <xf numFmtId="1" fontId="8" fillId="0" borderId="49" xfId="0" applyNumberFormat="1" applyFont="1" applyFill="1" applyBorder="1" applyAlignment="1">
      <alignment horizontal="center" vertical="center" wrapText="1"/>
    </xf>
    <xf numFmtId="1" fontId="8" fillId="0" borderId="4" xfId="0" applyNumberFormat="1" applyFont="1" applyFill="1" applyBorder="1" applyAlignment="1">
      <alignment horizontal="center" vertical="center" wrapText="1"/>
    </xf>
    <xf numFmtId="15" fontId="8" fillId="0" borderId="49" xfId="0" applyNumberFormat="1" applyFont="1" applyFill="1" applyBorder="1" applyAlignment="1">
      <alignment horizontal="center" vertical="center" wrapText="1"/>
    </xf>
    <xf numFmtId="181" fontId="8" fillId="0" borderId="50" xfId="24" applyNumberFormat="1" applyFont="1" applyFill="1" applyBorder="1" applyAlignment="1" applyProtection="1">
      <alignment horizontal="left" vertical="center"/>
      <protection locked="0"/>
    </xf>
    <xf numFmtId="3" fontId="8" fillId="0" borderId="50" xfId="56" applyNumberFormat="1" applyFont="1" applyFill="1" applyBorder="1" applyAlignment="1" applyProtection="1">
      <alignment vertical="center"/>
      <protection locked="0"/>
    </xf>
    <xf numFmtId="181" fontId="8" fillId="0" borderId="4" xfId="24" applyNumberFormat="1" applyFont="1" applyFill="1" applyBorder="1" applyAlignment="1">
      <alignment vertical="center"/>
    </xf>
    <xf numFmtId="3" fontId="8" fillId="0" borderId="50" xfId="56" applyNumberFormat="1" applyFont="1" applyFill="1" applyBorder="1" applyAlignment="1" applyProtection="1">
      <alignment vertical="center" wrapText="1"/>
      <protection locked="0"/>
    </xf>
    <xf numFmtId="3" fontId="8" fillId="0" borderId="50" xfId="56" applyNumberFormat="1" applyFont="1" applyFill="1" applyBorder="1" applyAlignment="1" applyProtection="1">
      <alignment horizontal="center" vertical="center" wrapText="1"/>
      <protection locked="0"/>
    </xf>
    <xf numFmtId="181" fontId="8" fillId="0" borderId="4" xfId="24" applyNumberFormat="1" applyFont="1" applyFill="1" applyBorder="1" applyAlignment="1">
      <alignment horizontal="center" vertical="center"/>
    </xf>
    <xf numFmtId="49" fontId="8" fillId="0" borderId="49" xfId="56" applyNumberFormat="1" applyFont="1" applyFill="1" applyBorder="1" applyAlignment="1" applyProtection="1">
      <alignment horizontal="center" vertical="center" wrapText="1"/>
      <protection locked="0"/>
    </xf>
    <xf numFmtId="0" fontId="8" fillId="0" borderId="4" xfId="56" applyNumberFormat="1" applyFont="1" applyFill="1" applyBorder="1" applyAlignment="1">
      <alignment horizontal="center" vertical="center" wrapText="1"/>
    </xf>
    <xf numFmtId="49" fontId="8" fillId="0" borderId="4" xfId="56" applyNumberFormat="1" applyFont="1" applyFill="1" applyBorder="1" applyAlignment="1">
      <alignment horizontal="center" vertical="center" wrapText="1"/>
    </xf>
    <xf numFmtId="49" fontId="8" fillId="0" borderId="47" xfId="56" applyNumberFormat="1" applyFont="1" applyFill="1" applyBorder="1" applyAlignment="1">
      <alignment horizontal="center" vertical="center" wrapText="1"/>
    </xf>
    <xf numFmtId="49" fontId="8" fillId="0" borderId="4" xfId="56" applyNumberFormat="1" applyFont="1" applyFill="1" applyBorder="1" applyAlignment="1">
      <alignment horizontal="center" vertical="center"/>
    </xf>
    <xf numFmtId="0" fontId="8" fillId="0" borderId="3" xfId="56" applyFont="1" applyFill="1" applyBorder="1" applyAlignment="1" applyProtection="1">
      <alignment vertical="center" wrapText="1"/>
      <protection locked="0"/>
    </xf>
    <xf numFmtId="0" fontId="12" fillId="0" borderId="3" xfId="166" applyFont="1" applyFill="1" applyBorder="1" applyAlignment="1" applyProtection="1">
      <alignment horizontal="center" vertical="center" wrapText="1"/>
      <protection locked="0"/>
    </xf>
    <xf numFmtId="49" fontId="12" fillId="0" borderId="49" xfId="166" applyNumberFormat="1" applyFont="1" applyFill="1" applyBorder="1" applyAlignment="1" applyProtection="1">
      <alignment horizontal="center" vertical="center" wrapText="1"/>
      <protection locked="0"/>
    </xf>
    <xf numFmtId="15" fontId="8" fillId="0" borderId="48" xfId="56" applyNumberFormat="1" applyFont="1" applyFill="1" applyBorder="1" applyAlignment="1" applyProtection="1">
      <alignment horizontal="center" vertical="center" wrapText="1"/>
      <protection locked="0"/>
    </xf>
    <xf numFmtId="0" fontId="23" fillId="0" borderId="48" xfId="160" applyFont="1" applyFill="1" applyBorder="1"/>
    <xf numFmtId="0" fontId="65" fillId="19" borderId="31" xfId="0" applyFont="1" applyFill="1" applyBorder="1" applyAlignment="1">
      <alignment horizontal="center" vertical="center" wrapText="1"/>
    </xf>
    <xf numFmtId="0" fontId="22" fillId="0" borderId="0" xfId="160" applyFont="1"/>
    <xf numFmtId="0" fontId="66" fillId="0" borderId="51" xfId="0" applyFont="1" applyBorder="1" applyAlignment="1">
      <alignment horizontal="center" vertical="center" wrapText="1"/>
    </xf>
    <xf numFmtId="0" fontId="0" fillId="0" borderId="0" xfId="0" applyFont="1"/>
    <xf numFmtId="0" fontId="67" fillId="6" borderId="31" xfId="0" applyFont="1" applyFill="1" applyBorder="1" applyAlignment="1">
      <alignment horizontal="center" vertical="center"/>
    </xf>
    <xf numFmtId="0" fontId="68" fillId="0" borderId="51" xfId="0" applyFont="1" applyBorder="1" applyAlignment="1">
      <alignment vertical="center"/>
    </xf>
    <xf numFmtId="0" fontId="65" fillId="19" borderId="20" xfId="0" applyFont="1" applyFill="1" applyBorder="1" applyAlignment="1">
      <alignment horizontal="center" vertical="center" wrapText="1"/>
    </xf>
    <xf numFmtId="0" fontId="65" fillId="0" borderId="20" xfId="0" applyFont="1" applyBorder="1" applyAlignment="1">
      <alignment horizontal="center" vertical="center" wrapText="1"/>
    </xf>
    <xf numFmtId="0" fontId="66" fillId="0" borderId="52" xfId="0" applyFont="1" applyBorder="1" applyAlignment="1">
      <alignment horizontal="center" vertical="center" wrapText="1"/>
    </xf>
    <xf numFmtId="0" fontId="67" fillId="6" borderId="20" xfId="0" applyFont="1" applyFill="1" applyBorder="1" applyAlignment="1">
      <alignment horizontal="center" vertical="center"/>
    </xf>
    <xf numFmtId="0" fontId="68" fillId="0" borderId="52" xfId="0" applyFont="1" applyBorder="1" applyAlignment="1">
      <alignment horizontal="center" vertical="center"/>
    </xf>
    <xf numFmtId="0" fontId="11" fillId="0" borderId="52" xfId="166" applyBorder="1" applyAlignment="1" applyProtection="1">
      <alignment horizontal="center" vertical="center" wrapText="1"/>
    </xf>
    <xf numFmtId="0" fontId="69" fillId="0" borderId="52" xfId="0" applyFont="1" applyBorder="1" applyAlignment="1">
      <alignment horizontal="center" vertical="center" wrapText="1"/>
    </xf>
    <xf numFmtId="0" fontId="68" fillId="0" borderId="52" xfId="0" applyFont="1" applyBorder="1" applyAlignment="1">
      <alignment vertical="center"/>
    </xf>
    <xf numFmtId="3" fontId="66" fillId="0" borderId="52" xfId="0" applyNumberFormat="1" applyFont="1" applyBorder="1" applyAlignment="1">
      <alignment horizontal="center" vertical="center" wrapText="1"/>
    </xf>
    <xf numFmtId="15" fontId="66" fillId="0" borderId="52" xfId="0" applyNumberFormat="1" applyFont="1" applyBorder="1" applyAlignment="1">
      <alignment horizontal="center" vertical="center" wrapText="1"/>
    </xf>
    <xf numFmtId="0" fontId="4" fillId="0" borderId="3" xfId="56" applyFont="1" applyFill="1" applyBorder="1" applyAlignment="1" applyProtection="1" quotePrefix="1">
      <alignment horizontal="center" vertical="center" wrapText="1"/>
      <protection locked="0"/>
    </xf>
    <xf numFmtId="49" fontId="4" fillId="0" borderId="3" xfId="56" applyNumberFormat="1" applyFont="1" applyFill="1" applyBorder="1" applyAlignment="1" applyProtection="1" quotePrefix="1">
      <alignment horizontal="center" vertical="center" wrapText="1"/>
      <protection locked="0"/>
    </xf>
    <xf numFmtId="49" fontId="41" fillId="0" borderId="3" xfId="56" applyNumberFormat="1" applyFont="1" applyFill="1" applyBorder="1" applyAlignment="1" applyProtection="1" quotePrefix="1">
      <alignment horizontal="center" vertical="center" wrapText="1"/>
      <protection locked="0"/>
    </xf>
    <xf numFmtId="49" fontId="61" fillId="0" borderId="3" xfId="56" applyNumberFormat="1" applyFont="1" applyFill="1" applyBorder="1" applyAlignment="1" applyProtection="1" quotePrefix="1">
      <alignment horizontal="center" vertical="center" wrapText="1"/>
      <protection locked="0"/>
    </xf>
    <xf numFmtId="49" fontId="27" fillId="0" borderId="3" xfId="56" applyNumberFormat="1" applyFont="1" applyFill="1" applyBorder="1" applyAlignment="1" quotePrefix="1">
      <alignment horizontal="center" vertical="center" wrapText="1"/>
    </xf>
    <xf numFmtId="49" fontId="4" fillId="0" borderId="3" xfId="56" applyNumberFormat="1" applyFont="1" applyFill="1" applyBorder="1" applyAlignment="1" quotePrefix="1">
      <alignment horizontal="center" vertical="center" wrapText="1"/>
    </xf>
    <xf numFmtId="49" fontId="4" fillId="0" borderId="3" xfId="56" applyNumberFormat="1" applyFont="1" applyFill="1" applyBorder="1" applyAlignment="1" quotePrefix="1">
      <alignment horizontal="center" vertical="center"/>
    </xf>
    <xf numFmtId="49" fontId="4" fillId="0" borderId="21" xfId="56" applyNumberFormat="1" applyFont="1" applyFill="1" applyBorder="1" applyAlignment="1" quotePrefix="1">
      <alignment horizontal="center" vertical="center" wrapText="1"/>
    </xf>
    <xf numFmtId="0" fontId="8" fillId="0" borderId="3" xfId="56" applyFont="1" applyFill="1" applyBorder="1" applyAlignment="1" applyProtection="1" quotePrefix="1">
      <alignment horizontal="center" vertical="center" wrapText="1"/>
      <protection locked="0"/>
    </xf>
    <xf numFmtId="49" fontId="8" fillId="0" borderId="3" xfId="56" applyNumberFormat="1" applyFont="1" applyFill="1" applyBorder="1" applyAlignment="1" quotePrefix="1">
      <alignment horizontal="center" vertical="center" wrapText="1"/>
    </xf>
    <xf numFmtId="49" fontId="8" fillId="0" borderId="3" xfId="56" applyNumberFormat="1" applyFont="1" applyFill="1" applyBorder="1" applyAlignment="1" quotePrefix="1">
      <alignment horizontal="center" vertical="center"/>
    </xf>
    <xf numFmtId="49" fontId="11" fillId="0" borderId="3" xfId="166" applyNumberFormat="1" applyFill="1" applyBorder="1" applyAlignment="1" applyProtection="1" quotePrefix="1">
      <alignment horizontal="center" vertical="center" wrapText="1"/>
    </xf>
    <xf numFmtId="49" fontId="8" fillId="0" borderId="3" xfId="56" applyNumberFormat="1" applyFont="1" applyFill="1" applyBorder="1" applyAlignment="1" applyProtection="1" quotePrefix="1">
      <alignment horizontal="center" vertical="center" wrapText="1"/>
      <protection locked="0"/>
    </xf>
    <xf numFmtId="49" fontId="28" fillId="0" borderId="3" xfId="56" applyNumberFormat="1" applyFont="1" applyFill="1" applyBorder="1" applyAlignment="1" quotePrefix="1">
      <alignment horizontal="center" vertical="center" wrapText="1"/>
    </xf>
    <xf numFmtId="0" fontId="8" fillId="0" borderId="49" xfId="56" applyFont="1" applyFill="1" applyBorder="1" applyAlignment="1" applyProtection="1" quotePrefix="1">
      <alignment horizontal="center" vertical="center" wrapText="1"/>
      <protection locked="0"/>
    </xf>
    <xf numFmtId="49" fontId="8" fillId="0" borderId="49" xfId="56" applyNumberFormat="1" applyFont="1" applyFill="1" applyBorder="1" applyAlignment="1" applyProtection="1" quotePrefix="1">
      <alignment horizontal="center" vertical="center" wrapText="1"/>
      <protection locked="0"/>
    </xf>
    <xf numFmtId="0" fontId="8" fillId="0" borderId="4" xfId="56" applyFont="1" applyFill="1" applyBorder="1" applyAlignment="1" applyProtection="1" quotePrefix="1">
      <alignment horizontal="center" vertical="center" wrapText="1"/>
      <protection locked="0"/>
    </xf>
    <xf numFmtId="49" fontId="8" fillId="0" borderId="4" xfId="56" applyNumberFormat="1" applyFont="1" applyFill="1" applyBorder="1" applyAlignment="1" quotePrefix="1">
      <alignment horizontal="center" vertical="center" wrapText="1"/>
    </xf>
    <xf numFmtId="49" fontId="8" fillId="0" borderId="4" xfId="56" applyNumberFormat="1" applyFont="1" applyFill="1" applyBorder="1" applyAlignment="1" quotePrefix="1">
      <alignment horizontal="center" vertical="center"/>
    </xf>
    <xf numFmtId="0" fontId="4" fillId="0" borderId="4" xfId="56" applyFont="1" applyFill="1" applyBorder="1" applyAlignment="1" quotePrefix="1">
      <alignment horizontal="center" vertical="center" wrapText="1"/>
    </xf>
    <xf numFmtId="0" fontId="4" fillId="0" borderId="3" xfId="56" applyNumberFormat="1" applyFont="1" applyFill="1" applyBorder="1" applyAlignment="1" quotePrefix="1">
      <alignment horizontal="center" vertical="center" wrapText="1"/>
    </xf>
    <xf numFmtId="0" fontId="8" fillId="0" borderId="4" xfId="56" applyFont="1" applyFill="1" applyBorder="1" applyAlignment="1" quotePrefix="1">
      <alignment horizontal="center" vertical="center" wrapText="1"/>
    </xf>
    <xf numFmtId="0" fontId="54" fillId="0" borderId="4" xfId="56" applyFont="1" applyFill="1" applyBorder="1" applyAlignment="1" quotePrefix="1">
      <alignment horizontal="center" vertical="center" wrapText="1"/>
    </xf>
    <xf numFmtId="0" fontId="54" fillId="0" borderId="3" xfId="56" applyNumberFormat="1" applyFont="1" applyFill="1" applyBorder="1" applyAlignment="1" quotePrefix="1">
      <alignment horizontal="center" vertical="center" wrapText="1"/>
    </xf>
    <xf numFmtId="0" fontId="8" fillId="0" borderId="3" xfId="56" applyNumberFormat="1" applyFont="1" applyFill="1" applyBorder="1" applyAlignment="1" quotePrefix="1">
      <alignment horizontal="center" vertical="center" wrapText="1"/>
    </xf>
    <xf numFmtId="0" fontId="53" fillId="0" borderId="3" xfId="56" applyFont="1" applyFill="1" applyBorder="1" applyAlignment="1" quotePrefix="1">
      <alignment horizontal="center" vertical="center" wrapText="1"/>
    </xf>
    <xf numFmtId="49" fontId="53" fillId="0" borderId="3" xfId="56" applyNumberFormat="1" applyFont="1" applyFill="1" applyBorder="1" applyAlignment="1" quotePrefix="1">
      <alignment horizontal="center" vertical="center" wrapText="1"/>
    </xf>
    <xf numFmtId="0" fontId="14" fillId="16" borderId="15" xfId="56" applyFont="1" applyFill="1" applyBorder="1" applyAlignment="1" quotePrefix="1">
      <alignment horizontal="center" vertical="center" wrapText="1"/>
    </xf>
    <xf numFmtId="0" fontId="4" fillId="0" borderId="3" xfId="56" applyFont="1" applyFill="1" applyBorder="1" applyAlignment="1" quotePrefix="1">
      <alignment horizontal="center" vertical="center"/>
    </xf>
    <xf numFmtId="0" fontId="8" fillId="0" borderId="3" xfId="56" applyFont="1" applyFill="1" applyBorder="1" applyAlignment="1" quotePrefix="1">
      <alignment horizontal="center" vertical="center"/>
    </xf>
    <xf numFmtId="0" fontId="27" fillId="0" borderId="3" xfId="56" applyFont="1" applyFill="1" applyBorder="1" applyAlignment="1" quotePrefix="1">
      <alignment horizontal="center" vertical="center" wrapText="1"/>
    </xf>
    <xf numFmtId="0" fontId="28" fillId="0" borderId="3" xfId="56" applyFont="1" applyFill="1" applyBorder="1" applyAlignment="1" quotePrefix="1">
      <alignment horizontal="center" vertical="center" wrapText="1"/>
    </xf>
    <xf numFmtId="0" fontId="4" fillId="0" borderId="3" xfId="56" applyNumberFormat="1" applyFont="1" applyFill="1" applyBorder="1" applyAlignment="1" quotePrefix="1">
      <alignment horizontal="center" vertical="center"/>
    </xf>
    <xf numFmtId="0" fontId="28" fillId="0" borderId="3" xfId="56" applyNumberFormat="1" applyFont="1" applyFill="1" applyBorder="1" applyAlignment="1" quotePrefix="1">
      <alignment horizontal="center" vertical="center"/>
    </xf>
    <xf numFmtId="0" fontId="8" fillId="0" borderId="3" xfId="56" applyNumberFormat="1" applyFont="1" applyFill="1" applyBorder="1" applyAlignment="1" quotePrefix="1">
      <alignment horizontal="center" vertical="center"/>
    </xf>
    <xf numFmtId="0" fontId="4" fillId="17" borderId="4" xfId="56" applyFont="1" applyFill="1" applyBorder="1" applyAlignment="1" quotePrefix="1">
      <alignment horizontal="center" vertical="center" wrapText="1"/>
    </xf>
    <xf numFmtId="0" fontId="27" fillId="0" borderId="3" xfId="56" applyNumberFormat="1" applyFont="1" applyFill="1" applyBorder="1" applyAlignment="1" quotePrefix="1">
      <alignment horizontal="center" vertical="center"/>
    </xf>
    <xf numFmtId="49" fontId="27" fillId="0" borderId="3" xfId="56" applyNumberFormat="1" applyFont="1" applyFill="1" applyBorder="1" applyAlignment="1" quotePrefix="1">
      <alignment horizontal="center" vertical="center"/>
    </xf>
    <xf numFmtId="49" fontId="28" fillId="0" borderId="3" xfId="56" applyNumberFormat="1" applyFont="1" applyFill="1" applyBorder="1" applyAlignment="1" quotePrefix="1">
      <alignment horizontal="center" vertical="center"/>
    </xf>
    <xf numFmtId="0" fontId="8" fillId="17" borderId="4" xfId="56" applyFont="1" applyFill="1" applyBorder="1" applyAlignment="1" quotePrefix="1">
      <alignment horizontal="center" vertical="center" wrapText="1"/>
    </xf>
    <xf numFmtId="49" fontId="8" fillId="4" borderId="3" xfId="56" applyNumberFormat="1" applyFont="1" applyFill="1" applyBorder="1" applyAlignment="1" quotePrefix="1">
      <alignment horizontal="center" vertical="center" wrapText="1"/>
    </xf>
    <xf numFmtId="0" fontId="4" fillId="0" borderId="3" xfId="56" applyFont="1" applyFill="1" applyBorder="1" applyAlignment="1" quotePrefix="1">
      <alignment horizontal="center" vertical="center" wrapText="1"/>
    </xf>
    <xf numFmtId="0" fontId="8" fillId="0" borderId="3" xfId="56" applyFont="1" applyFill="1" applyBorder="1" applyAlignment="1" quotePrefix="1">
      <alignment horizontal="center" vertical="center" wrapText="1"/>
    </xf>
    <xf numFmtId="0" fontId="1" fillId="0" borderId="4" xfId="56" applyFont="1" applyFill="1" applyBorder="1" applyAlignment="1" quotePrefix="1">
      <alignment horizontal="center" vertical="center" wrapText="1"/>
    </xf>
    <xf numFmtId="0" fontId="1" fillId="0" borderId="3" xfId="56" applyNumberFormat="1" applyFont="1" applyFill="1" applyBorder="1" applyAlignment="1" quotePrefix="1">
      <alignment horizontal="center" vertical="center" wrapText="1"/>
    </xf>
    <xf numFmtId="0" fontId="4" fillId="0" borderId="3" xfId="0" applyFont="1" applyFill="1" applyBorder="1" applyAlignment="1" quotePrefix="1">
      <alignment horizontal="center" vertical="center" wrapText="1"/>
    </xf>
    <xf numFmtId="0" fontId="4" fillId="0" borderId="4" xfId="0" applyFont="1" applyFill="1" applyBorder="1" applyAlignment="1" quotePrefix="1">
      <alignment horizontal="center" vertical="center" wrapText="1"/>
    </xf>
    <xf numFmtId="49" fontId="4" fillId="0" borderId="3" xfId="0" applyNumberFormat="1" applyFont="1" applyFill="1" applyBorder="1" applyAlignment="1" quotePrefix="1">
      <alignment horizontal="center" vertical="center" wrapText="1"/>
    </xf>
    <xf numFmtId="0" fontId="8" fillId="0" borderId="4" xfId="0" applyFont="1" applyFill="1" applyBorder="1" applyAlignment="1" quotePrefix="1">
      <alignment horizontal="center" vertical="center" wrapText="1"/>
    </xf>
    <xf numFmtId="49" fontId="8" fillId="0" borderId="3" xfId="0" applyNumberFormat="1" applyFont="1" applyFill="1" applyBorder="1" applyAlignment="1" quotePrefix="1">
      <alignment horizontal="center" vertical="center" wrapText="1"/>
    </xf>
    <xf numFmtId="1" fontId="4" fillId="0" borderId="3" xfId="0" applyNumberFormat="1" applyFont="1" applyFill="1" applyBorder="1" applyAlignment="1" quotePrefix="1">
      <alignment horizontal="center" vertical="center" wrapText="1"/>
    </xf>
    <xf numFmtId="49" fontId="19" fillId="0" borderId="3" xfId="23" applyNumberFormat="1" applyFont="1" applyFill="1" applyBorder="1" applyAlignment="1" quotePrefix="1">
      <alignment horizontal="center" vertical="center" wrapText="1"/>
    </xf>
    <xf numFmtId="49" fontId="8" fillId="0" borderId="3" xfId="23" applyNumberFormat="1" applyFont="1" applyFill="1" applyBorder="1" applyAlignment="1" quotePrefix="1">
      <alignment horizontal="center" vertical="center" wrapText="1"/>
    </xf>
    <xf numFmtId="0" fontId="4" fillId="0" borderId="3" xfId="0" applyFont="1" applyFill="1" applyBorder="1" applyAlignment="1" quotePrefix="1">
      <alignment horizontal="center" vertical="center"/>
    </xf>
    <xf numFmtId="49" fontId="4" fillId="0" borderId="3" xfId="0" applyNumberFormat="1" applyFont="1" applyFill="1" applyBorder="1" applyAlignment="1" quotePrefix="1">
      <alignment vertical="center"/>
    </xf>
    <xf numFmtId="49" fontId="4" fillId="0" borderId="0" xfId="0" applyNumberFormat="1" applyFont="1" applyFill="1" applyAlignment="1" quotePrefix="1">
      <alignment vertical="center"/>
    </xf>
    <xf numFmtId="49" fontId="4" fillId="0" borderId="3" xfId="0" applyNumberFormat="1" applyFont="1" applyFill="1" applyBorder="1" applyAlignment="1" quotePrefix="1">
      <alignment vertical="center" wrapText="1"/>
    </xf>
    <xf numFmtId="0" fontId="44" fillId="0" borderId="39" xfId="4" applyFont="1" applyFill="1" applyBorder="1" applyAlignment="1" quotePrefix="1">
      <alignment horizontal="center" vertical="center"/>
    </xf>
    <xf numFmtId="0" fontId="8" fillId="0" borderId="3" xfId="0" applyFont="1" applyFill="1" applyBorder="1" applyAlignment="1" quotePrefix="1">
      <alignment horizontal="center" vertical="center"/>
    </xf>
    <xf numFmtId="49" fontId="8" fillId="0" borderId="3" xfId="0" applyNumberFormat="1" applyFont="1" applyFill="1" applyBorder="1" applyAlignment="1" quotePrefix="1">
      <alignment vertical="center"/>
    </xf>
    <xf numFmtId="0" fontId="4" fillId="0" borderId="3" xfId="0" applyNumberFormat="1" applyFont="1" applyFill="1" applyBorder="1" applyAlignment="1" quotePrefix="1">
      <alignment horizontal="center" vertical="center" wrapText="1"/>
    </xf>
    <xf numFmtId="0" fontId="8" fillId="0" borderId="3" xfId="0" applyFont="1" applyFill="1" applyBorder="1" applyAlignment="1" quotePrefix="1">
      <alignment vertical="center"/>
    </xf>
    <xf numFmtId="0" fontId="8" fillId="0" borderId="3" xfId="0" applyFont="1" applyFill="1" applyBorder="1" applyAlignment="1" quotePrefix="1">
      <alignment horizontal="center" vertical="center" wrapText="1"/>
    </xf>
    <xf numFmtId="0" fontId="8" fillId="0" borderId="3" xfId="0" applyNumberFormat="1" applyFont="1" applyFill="1" applyBorder="1" applyAlignment="1" quotePrefix="1">
      <alignment horizontal="center" vertical="center" wrapText="1"/>
    </xf>
    <xf numFmtId="178" fontId="4" fillId="0" borderId="3" xfId="0" applyNumberFormat="1" applyFont="1" applyFill="1" applyBorder="1" applyAlignment="1" quotePrefix="1">
      <alignment horizontal="center" vertical="center" wrapText="1"/>
    </xf>
    <xf numFmtId="15" fontId="1" fillId="0" borderId="3" xfId="0" applyNumberFormat="1" applyFont="1" applyFill="1" applyBorder="1" applyAlignment="1" quotePrefix="1">
      <alignment horizontal="center" vertical="center" wrapText="1"/>
    </xf>
    <xf numFmtId="49" fontId="8" fillId="0" borderId="21" xfId="0" applyNumberFormat="1" applyFont="1" applyFill="1" applyBorder="1" applyAlignment="1" quotePrefix="1">
      <alignment horizontal="center" vertical="center" wrapText="1"/>
    </xf>
    <xf numFmtId="49" fontId="2" fillId="0" borderId="3" xfId="0" applyNumberFormat="1" applyFont="1" applyFill="1" applyBorder="1" applyAlignment="1" quotePrefix="1">
      <alignment horizontal="center" vertical="center" wrapText="1"/>
    </xf>
    <xf numFmtId="49" fontId="4" fillId="0" borderId="21" xfId="0" applyNumberFormat="1" applyFont="1" applyFill="1" applyBorder="1" applyAlignment="1" quotePrefix="1">
      <alignment horizontal="center" vertical="center" wrapText="1"/>
    </xf>
    <xf numFmtId="49" fontId="4" fillId="0" borderId="3" xfId="0" applyNumberFormat="1" applyFont="1" applyFill="1" applyBorder="1" applyAlignment="1" quotePrefix="1">
      <alignment horizontal="center" vertical="center"/>
    </xf>
    <xf numFmtId="49" fontId="8" fillId="0" borderId="3" xfId="0" applyNumberFormat="1" applyFont="1" applyFill="1" applyBorder="1" applyAlignment="1" quotePrefix="1">
      <alignment horizontal="center" vertical="center"/>
    </xf>
    <xf numFmtId="0" fontId="8" fillId="0" borderId="21" xfId="0" applyFont="1" applyFill="1" applyBorder="1" applyAlignment="1" quotePrefix="1">
      <alignment horizontal="center" vertical="center" wrapText="1"/>
    </xf>
    <xf numFmtId="0" fontId="4" fillId="0" borderId="21" xfId="0" applyFont="1" applyFill="1" applyBorder="1" applyAlignment="1" quotePrefix="1">
      <alignment horizontal="center" vertical="center" wrapText="1"/>
    </xf>
    <xf numFmtId="3" fontId="4" fillId="0" borderId="3" xfId="0" applyNumberFormat="1" applyFont="1" applyFill="1" applyBorder="1" applyAlignment="1" quotePrefix="1">
      <alignment horizontal="center" vertical="center"/>
    </xf>
    <xf numFmtId="0" fontId="4" fillId="0" borderId="21" xfId="0" applyNumberFormat="1" applyFont="1" applyFill="1" applyBorder="1" applyAlignment="1" quotePrefix="1">
      <alignment horizontal="center" vertical="center" wrapText="1"/>
    </xf>
    <xf numFmtId="0" fontId="1" fillId="0" borderId="3" xfId="0" applyFont="1" applyFill="1" applyBorder="1" applyAlignment="1" quotePrefix="1">
      <alignment horizontal="center" vertical="center"/>
    </xf>
    <xf numFmtId="49" fontId="1" fillId="0" borderId="3" xfId="0" applyNumberFormat="1" applyFont="1" applyFill="1" applyBorder="1" applyAlignment="1" quotePrefix="1">
      <alignment horizontal="center" vertical="center"/>
    </xf>
    <xf numFmtId="0" fontId="2" fillId="0" borderId="3" xfId="0" applyFont="1" applyFill="1" applyBorder="1" applyAlignment="1" quotePrefix="1">
      <alignment horizontal="center" vertical="center"/>
    </xf>
    <xf numFmtId="0" fontId="2" fillId="0" borderId="3" xfId="0" applyFont="1" applyFill="1" applyBorder="1" applyAlignment="1" quotePrefix="1">
      <alignment horizontal="center" vertical="center" wrapText="1"/>
    </xf>
    <xf numFmtId="49" fontId="2" fillId="0" borderId="3" xfId="0" applyNumberFormat="1" applyFont="1" applyFill="1" applyBorder="1" applyAlignment="1" quotePrefix="1">
      <alignment horizontal="center" vertical="center"/>
    </xf>
    <xf numFmtId="0" fontId="1" fillId="0" borderId="3" xfId="0" applyFont="1" applyFill="1" applyBorder="1" applyAlignment="1" quotePrefix="1">
      <alignment horizontal="center" vertical="center" wrapText="1"/>
    </xf>
    <xf numFmtId="0" fontId="2" fillId="0" borderId="35" xfId="0" applyFont="1" applyFill="1" applyBorder="1" applyAlignment="1" quotePrefix="1">
      <alignment horizontal="center" vertical="center" wrapText="1"/>
    </xf>
    <xf numFmtId="0" fontId="1" fillId="0" borderId="35" xfId="0" applyFont="1" applyFill="1" applyBorder="1" applyAlignment="1" quotePrefix="1">
      <alignment horizontal="center" vertical="center" wrapText="1"/>
    </xf>
    <xf numFmtId="0" fontId="4" fillId="0" borderId="4" xfId="0" applyFont="1" applyFill="1" applyBorder="1" applyAlignment="1" quotePrefix="1">
      <alignment horizontal="center" vertical="center"/>
    </xf>
    <xf numFmtId="0" fontId="25" fillId="0" borderId="3" xfId="0" applyFont="1" applyFill="1" applyBorder="1" applyAlignment="1" quotePrefix="1">
      <alignment horizontal="center" vertical="center"/>
    </xf>
    <xf numFmtId="0" fontId="25" fillId="0" borderId="3" xfId="0" applyFont="1" applyFill="1" applyBorder="1" applyAlignment="1" quotePrefix="1">
      <alignment horizontal="center" vertical="center" wrapText="1"/>
    </xf>
    <xf numFmtId="0" fontId="8" fillId="0" borderId="4" xfId="0" applyFont="1" applyFill="1" applyBorder="1" applyAlignment="1" quotePrefix="1">
      <alignment horizontal="center" vertical="center"/>
    </xf>
    <xf numFmtId="49" fontId="1" fillId="0" borderId="3" xfId="0" applyNumberFormat="1" applyFont="1" applyFill="1" applyBorder="1" applyAlignment="1" quotePrefix="1">
      <alignment horizontal="left" vertical="center"/>
    </xf>
    <xf numFmtId="0" fontId="1" fillId="0" borderId="3" xfId="0" applyNumberFormat="1" applyFont="1" applyFill="1" applyBorder="1" applyAlignment="1" quotePrefix="1">
      <alignment horizontal="left" vertical="center"/>
    </xf>
    <xf numFmtId="49" fontId="1" fillId="0" borderId="3" xfId="0" applyNumberFormat="1" applyFont="1" applyFill="1" applyBorder="1" applyAlignment="1" quotePrefix="1">
      <alignment horizontal="left" vertical="center" wrapText="1"/>
    </xf>
    <xf numFmtId="49" fontId="2" fillId="0" borderId="3" xfId="0" applyNumberFormat="1" applyFont="1" applyFill="1" applyBorder="1" applyAlignment="1" quotePrefix="1">
      <alignment horizontal="left" vertical="center"/>
    </xf>
    <xf numFmtId="49" fontId="2" fillId="0" borderId="3" xfId="0" applyNumberFormat="1" applyFont="1" applyFill="1" applyBorder="1" applyAlignment="1" quotePrefix="1">
      <alignment horizontal="left" vertical="center" wrapText="1"/>
    </xf>
    <xf numFmtId="0" fontId="4" fillId="0" borderId="3" xfId="69" applyFont="1" applyFill="1" applyBorder="1" applyAlignment="1" quotePrefix="1">
      <alignment horizontal="center" vertical="center"/>
    </xf>
    <xf numFmtId="49" fontId="4" fillId="0" borderId="3" xfId="69" applyNumberFormat="1" applyFont="1" applyFill="1" applyBorder="1" applyAlignment="1" quotePrefix="1">
      <alignment horizontal="center" vertical="center" wrapText="1"/>
    </xf>
    <xf numFmtId="0" fontId="8" fillId="0" borderId="3" xfId="69" applyFont="1" applyFill="1" applyBorder="1" applyAlignment="1" quotePrefix="1">
      <alignment horizontal="center" vertical="center"/>
    </xf>
    <xf numFmtId="49" fontId="25" fillId="0" borderId="3" xfId="69" applyNumberFormat="1" applyFont="1" applyFill="1" applyBorder="1" applyAlignment="1" quotePrefix="1">
      <alignment horizontal="center" vertical="center" wrapText="1"/>
    </xf>
    <xf numFmtId="49" fontId="8" fillId="0" borderId="3" xfId="69" applyNumberFormat="1" applyFont="1" applyFill="1" applyBorder="1" applyAlignment="1" quotePrefix="1">
      <alignment horizontal="center" vertical="center" wrapText="1"/>
    </xf>
    <xf numFmtId="0" fontId="25" fillId="0" borderId="3" xfId="69" applyFont="1" applyFill="1" applyBorder="1" applyAlignment="1" quotePrefix="1">
      <alignment horizontal="center" vertical="center"/>
    </xf>
    <xf numFmtId="49" fontId="1" fillId="0" borderId="3" xfId="0" applyNumberFormat="1" applyFont="1" applyFill="1" applyBorder="1" applyAlignment="1" quotePrefix="1">
      <alignment horizontal="center" vertical="center" wrapText="1"/>
    </xf>
  </cellXfs>
  <cellStyles count="177">
    <cellStyle name="Normal" xfId="0" builtinId="0"/>
    <cellStyle name="Comma 12" xfId="1"/>
    <cellStyle name="Comma 3 2" xfId="2"/>
    <cellStyle name="Normal 2 9" xfId="3"/>
    <cellStyle name="Normal 5" xfId="4"/>
    <cellStyle name="Normal_J&amp;J_2" xfId="5"/>
    <cellStyle name="Normal 11" xfId="6"/>
    <cellStyle name="Comma [0] 4" xfId="7"/>
    <cellStyle name="%" xfId="8"/>
    <cellStyle name="Comma [0] 3" xfId="9"/>
    <cellStyle name="Comma 5 2" xfId="10"/>
    <cellStyle name="Comma 5 3" xfId="11"/>
    <cellStyle name="Comma 2 3" xfId="12"/>
    <cellStyle name="Comma 11" xfId="13"/>
    <cellStyle name="Comma 13" xfId="14"/>
    <cellStyle name="Comma 14" xfId="15"/>
    <cellStyle name="Comma 15" xfId="16"/>
    <cellStyle name="_x000d__x000a_JournalTemplate=C:\COMFO\CTALK\JOURSTD.TPL_x000d__x000a_LbStateAddress=3 3 0 251 1 89 2 311_x000d__x000a_LbStateJou" xfId="17"/>
    <cellStyle name="% 2" xfId="18"/>
    <cellStyle name="Normal_Samsung_1" xfId="19"/>
    <cellStyle name="Comma [0] 2" xfId="20"/>
    <cellStyle name="Comma [0] 2 2" xfId="21"/>
    <cellStyle name="Comma [0] 2 3" xfId="22"/>
    <cellStyle name="Normal_ESERVGLOBAL" xfId="23"/>
    <cellStyle name="Comma 2 2" xfId="24"/>
    <cellStyle name="Comma 2 4" xfId="25"/>
    <cellStyle name="Comma 2 5" xfId="26"/>
    <cellStyle name="Comma 6 2" xfId="27"/>
    <cellStyle name="Normal 15" xfId="28"/>
    <cellStyle name="Normal 20" xfId="29"/>
    <cellStyle name="Comma 2 6" xfId="30"/>
    <cellStyle name="Comma 2 7" xfId="31"/>
    <cellStyle name="Comma 5 2 2" xfId="32"/>
    <cellStyle name="Comma 2 8" xfId="33"/>
    <cellStyle name="Comma 5 2 3" xfId="34"/>
    <cellStyle name="Normal_FJI" xfId="35"/>
    <cellStyle name="Comma 3 3" xfId="36"/>
    <cellStyle name="Normal 6" xfId="37"/>
    <cellStyle name="Comma 3 4" xfId="38"/>
    <cellStyle name="Normal 7" xfId="39"/>
    <cellStyle name="Comma 7 2" xfId="40"/>
    <cellStyle name="Hyperlink 2" xfId="41"/>
    <cellStyle name="Hyperlink 3" xfId="42"/>
    <cellStyle name="Normal_Microsoft" xfId="43"/>
    <cellStyle name="Normal 10" xfId="44"/>
    <cellStyle name="Normal 10 2" xfId="45"/>
    <cellStyle name="Normal 4 4" xfId="46"/>
    <cellStyle name="Normal 12" xfId="47"/>
    <cellStyle name="Normal 13" xfId="48"/>
    <cellStyle name="Normal 14" xfId="49"/>
    <cellStyle name="Normal 17" xfId="50"/>
    <cellStyle name="Normal 22" xfId="51"/>
    <cellStyle name="Normal 2 6" xfId="52"/>
    <cellStyle name="Normal 2" xfId="53"/>
    <cellStyle name="Normal 2 2" xfId="54"/>
    <cellStyle name="Normal 2 2 2" xfId="55"/>
    <cellStyle name="Normal 2 3" xfId="56"/>
    <cellStyle name="Normal 2 4" xfId="57"/>
    <cellStyle name="Normal 2 5 2" xfId="58"/>
    <cellStyle name="Normal_PEFINDO (2)" xfId="59"/>
    <cellStyle name="Normal 3" xfId="60"/>
    <cellStyle name="Normal 2 7" xfId="61"/>
    <cellStyle name="Normal 2 5" xfId="62"/>
    <cellStyle name="Normal 6 2" xfId="63"/>
    <cellStyle name="Normal 7 2" xfId="64"/>
    <cellStyle name="Normal_Project_NPO" xfId="65"/>
    <cellStyle name="Normal 7 2 2" xfId="66"/>
    <cellStyle name="Normal_FJI_1" xfId="67"/>
    <cellStyle name="Normal 7 2 3" xfId="68"/>
    <cellStyle name="Normal 9" xfId="69"/>
    <cellStyle name="Normal_BEIERS" xfId="70"/>
    <cellStyle name="Normal_GSM TOWER" xfId="71"/>
    <cellStyle name="Normal_IHI" xfId="72"/>
    <cellStyle name="Normal_LippoMall" xfId="73"/>
    <cellStyle name="Normal_NOKIA_1" xfId="74"/>
    <cellStyle name="Normal_TNS" xfId="75"/>
    <cellStyle name="Percent 2" xfId="76"/>
    <cellStyle name="Normal 4 5" xfId="77"/>
    <cellStyle name="Style 1" xfId="78"/>
    <cellStyle name="Normal_Project_SF TIS_1" xfId="79"/>
    <cellStyle name="60% - Accent6" xfId="80" builtinId="52"/>
    <cellStyle name="Comma 5" xfId="81"/>
    <cellStyle name="60% - Accent1" xfId="82" builtinId="32"/>
    <cellStyle name="Accent6" xfId="83" builtinId="49"/>
    <cellStyle name="40% - Accent6" xfId="84" builtinId="51"/>
    <cellStyle name="Comma 9" xfId="85"/>
    <cellStyle name="60% - Accent5" xfId="86" builtinId="48"/>
    <cellStyle name="Normal 7 4" xfId="87"/>
    <cellStyle name="Normal_TNS_4" xfId="88"/>
    <cellStyle name="Comma 4" xfId="89"/>
    <cellStyle name="Accent5" xfId="90" builtinId="45"/>
    <cellStyle name="40% - Accent5" xfId="91" builtinId="47"/>
    <cellStyle name="Normal 4 2" xfId="92"/>
    <cellStyle name="Normal 8 2" xfId="93"/>
    <cellStyle name="20% - Accent5" xfId="94" builtinId="46"/>
    <cellStyle name="Comma 8" xfId="95"/>
    <cellStyle name="60% - Accent4" xfId="96" builtinId="44"/>
    <cellStyle name="Normal 4 2 3" xfId="97"/>
    <cellStyle name="Normal 7 3" xfId="98"/>
    <cellStyle name="Normal_TNS_3" xfId="99"/>
    <cellStyle name="Comma 3" xfId="100"/>
    <cellStyle name="Comma [0] 20" xfId="101"/>
    <cellStyle name="Currency[0]" xfId="102" builtinId="7"/>
    <cellStyle name="40% - Accent4" xfId="103" builtinId="43"/>
    <cellStyle name="Accent4" xfId="104" builtinId="41"/>
    <cellStyle name="Normal_Samsung" xfId="105"/>
    <cellStyle name="Normal_TNS_2" xfId="106"/>
    <cellStyle name="Normal_Marubeni" xfId="107"/>
    <cellStyle name="Linked Cell" xfId="108" builtinId="24"/>
    <cellStyle name="Comma 2" xfId="109"/>
    <cellStyle name="Normal 8 5" xfId="110"/>
    <cellStyle name="Accent3" xfId="111" builtinId="37"/>
    <cellStyle name="40% - Accent3" xfId="112" builtinId="39"/>
    <cellStyle name="Comma 6" xfId="113"/>
    <cellStyle name="Warning Text" xfId="114" builtinId="11"/>
    <cellStyle name="60% - Accent2" xfId="115" builtinId="36"/>
    <cellStyle name="Normal_TNS_1" xfId="116"/>
    <cellStyle name="Normal 8 4" xfId="117"/>
    <cellStyle name="Accent2" xfId="118" builtinId="33"/>
    <cellStyle name="40% - Accent2" xfId="119" builtinId="35"/>
    <cellStyle name="Normal 2 8" xfId="120"/>
    <cellStyle name="Normal 4" xfId="121"/>
    <cellStyle name="20% - Accent2" xfId="122" builtinId="34"/>
    <cellStyle name="Normal 8 3" xfId="123"/>
    <cellStyle name="20% - Accent6" xfId="124" builtinId="50"/>
    <cellStyle name="Accent1" xfId="125" builtinId="29"/>
    <cellStyle name="40% - Accent1" xfId="126" builtinId="31"/>
    <cellStyle name="Normal 3 2" xfId="127"/>
    <cellStyle name="Comma[0]" xfId="128" builtinId="6"/>
    <cellStyle name="Normal 8 2 3" xfId="129"/>
    <cellStyle name="Neutral" xfId="130" builtinId="28"/>
    <cellStyle name="Normal 9 2" xfId="131"/>
    <cellStyle name="Bad" xfId="132" builtinId="27"/>
    <cellStyle name="Normal_J&amp;J" xfId="133"/>
    <cellStyle name="20% - Accent4" xfId="134" builtinId="42"/>
    <cellStyle name="Normal_NOKIA" xfId="135"/>
    <cellStyle name="Total" xfId="136" builtinId="25"/>
    <cellStyle name="Normal 4 2 2" xfId="137"/>
    <cellStyle name="Output" xfId="138" builtinId="21"/>
    <cellStyle name="0,0_x000d__x000a_NA_x000d__x000a_" xfId="139"/>
    <cellStyle name="Currency" xfId="140" builtinId="4"/>
    <cellStyle name="20% - Accent3" xfId="141" builtinId="38"/>
    <cellStyle name="Note" xfId="142" builtinId="10"/>
    <cellStyle name="Comma 10" xfId="143"/>
    <cellStyle name="Input" xfId="144" builtinId="20"/>
    <cellStyle name="Percent" xfId="145" builtinId="5"/>
    <cellStyle name="Heading 4" xfId="146" builtinId="19"/>
    <cellStyle name="Normal 16" xfId="147"/>
    <cellStyle name="Normal 21" xfId="148"/>
    <cellStyle name="Calculation" xfId="149" builtinId="22"/>
    <cellStyle name="Good" xfId="150" builtinId="26"/>
    <cellStyle name="Normal_1" xfId="151"/>
    <cellStyle name="Heading 3" xfId="152" builtinId="18"/>
    <cellStyle name="CExplanatory Text" xfId="153" builtinId="53"/>
    <cellStyle name="Comma 7" xfId="154"/>
    <cellStyle name="60% - Accent3" xfId="155" builtinId="40"/>
    <cellStyle name="Heading 1" xfId="156" builtinId="16"/>
    <cellStyle name="0,0_x000d__x000a_NA_x000d__x000a_ 2" xfId="157"/>
    <cellStyle name="20% - Accent1" xfId="158" builtinId="30"/>
    <cellStyle name="Normal 4 3" xfId="159"/>
    <cellStyle name="Normal 8" xfId="160"/>
    <cellStyle name="Normal_PROTEL" xfId="161"/>
    <cellStyle name="Title" xfId="162" builtinId="15"/>
    <cellStyle name="Normal_Project_Support Admin" xfId="163"/>
    <cellStyle name="Normal 18" xfId="164"/>
    <cellStyle name="Normal 23" xfId="165"/>
    <cellStyle name="Hyperlink" xfId="166" builtinId="8"/>
    <cellStyle name="Normal_WINCOR" xfId="167"/>
    <cellStyle name="Followed Hyperlink" xfId="168" builtinId="9"/>
    <cellStyle name="Heading 2" xfId="169" builtinId="17"/>
    <cellStyle name="_x0007__x000b_" xfId="170"/>
    <cellStyle name="Comma" xfId="171" builtinId="3"/>
    <cellStyle name="Comma 5 4" xfId="172"/>
    <cellStyle name="Check Cell" xfId="173" builtinId="23"/>
    <cellStyle name="Normal 19" xfId="174"/>
    <cellStyle name="Normal 24" xfId="175"/>
    <cellStyle name="Normal 8 2 2" xfId="176"/>
  </cellStyles>
  <dxfs count="2346">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FF0000"/>
      </font>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9C0006"/>
      </font>
      <fill>
        <patternFill patternType="solid">
          <bgColor rgb="FFFFC7CE"/>
        </pattern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ill>
        <gradientFill type="path" left="0.5" right="0.5" top="0.5" bottom="0.5">
          <stop position="0">
            <color theme="6"/>
          </stop>
          <stop position="1">
            <color rgb="FFCCFF33"/>
          </stop>
        </gradientFill>
      </fill>
    </dxf>
    <dxf>
      <font>
        <b val="0"/>
        <i val="0"/>
        <color rgb="FFC00000"/>
      </font>
    </dxf>
    <dxf>
      <font>
        <b val="0"/>
        <i val="0"/>
        <color rgb="FF9C6500"/>
      </font>
      <fill>
        <patternFill patternType="solid">
          <bgColor rgb="FFFFEB9C"/>
        </patternFill>
      </fill>
    </dxf>
    <dxf>
      <font>
        <b val="0"/>
        <i val="0"/>
        <color rgb="FF9C0006"/>
      </font>
      <fill>
        <patternFill patternType="solid">
          <bgColor rgb="FFFFC7CE"/>
        </patternFill>
      </fill>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9C6500"/>
      </font>
      <fill>
        <patternFill patternType="solid">
          <bgColor rgb="FFFFEB9C"/>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BCDB1F"/>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BCDB1F"/>
          </stop>
        </gradientFill>
      </fill>
    </dxf>
    <dxf>
      <fill>
        <gradientFill type="path" left="0.5" right="0.5" top="0.5" bottom="0.5">
          <stop position="0">
            <color theme="6"/>
          </stop>
          <stop position="1">
            <color rgb="FFBCDB1F"/>
          </stop>
        </gradientFill>
      </fill>
    </dxf>
    <dxf>
      <font>
        <b val="0"/>
        <i val="0"/>
        <color rgb="FFC00000"/>
      </font>
    </dxf>
    <dxf>
      <fill>
        <gradientFill type="path" left="0.5" right="0.5" top="0.5" bottom="0.5">
          <stop position="0">
            <color theme="6"/>
          </stop>
          <stop position="1">
            <color rgb="FFBCDB1F"/>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0006"/>
      </font>
      <fill>
        <patternFill patternType="solid">
          <bgColor rgb="FFFFC7CE"/>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patternFill patternType="solid">
          <bgColor rgb="FFCCFF33"/>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C00000"/>
      </font>
    </dxf>
    <dxf>
      <font>
        <b val="0"/>
        <i val="0"/>
        <color rgb="FFC00000"/>
      </font>
    </dxf>
    <dxf>
      <font>
        <b val="0"/>
        <i val="0"/>
        <color rgb="FFC00000"/>
      </font>
    </dxf>
    <dxf>
      <font>
        <b val="0"/>
        <i val="0"/>
        <color rgb="FFC00000"/>
      </font>
    </dxf>
    <dxf>
      <fill>
        <gradientFill type="path" left="0.5" right="0.5" top="0.5" bottom="0.5">
          <stop position="0">
            <color theme="6"/>
          </stop>
          <stop position="1">
            <color rgb="FFCCFF33"/>
          </stop>
        </gradientFill>
      </fill>
    </dxf>
    <dxf>
      <font>
        <b val="0"/>
        <i val="0"/>
        <color rgb="FF9C6500"/>
      </font>
      <fill>
        <patternFill patternType="solid">
          <bgColor rgb="FFFFEB9C"/>
        </patternFill>
      </fill>
    </dxf>
    <dxf>
      <font>
        <b val="0"/>
        <i val="0"/>
        <color rgb="FFC00000"/>
      </font>
    </dxf>
    <dxf>
      <font>
        <b val="0"/>
        <i val="0"/>
        <color rgb="FFC00000"/>
      </font>
    </dxf>
    <dxf>
      <font>
        <b val="0"/>
        <i val="0"/>
        <color rgb="FF9C6500"/>
      </font>
      <fill>
        <patternFill patternType="solid">
          <bgColor rgb="FFFFEB9C"/>
        </patternFill>
      </fill>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C00000"/>
      </font>
    </dxf>
    <dxf>
      <font>
        <b val="0"/>
        <i val="0"/>
        <color rgb="FF9C6500"/>
      </font>
      <fill>
        <patternFill patternType="solid">
          <bgColor rgb="FFFFEB9C"/>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6" Type="http://schemas.openxmlformats.org/officeDocument/2006/relationships/sharedStrings" Target="sharedStrings.xml"/><Relationship Id="rId45" Type="http://schemas.openxmlformats.org/officeDocument/2006/relationships/styles" Target="styles.xml"/><Relationship Id="rId44" Type="http://schemas.openxmlformats.org/officeDocument/2006/relationships/theme" Target="theme/theme1.xml"/><Relationship Id="rId43" Type="http://schemas.openxmlformats.org/officeDocument/2006/relationships/externalLink" Target="externalLinks/externalLink4.xml"/><Relationship Id="rId42" Type="http://schemas.openxmlformats.org/officeDocument/2006/relationships/externalLink" Target="externalLinks/externalLink3.xml"/><Relationship Id="rId41" Type="http://schemas.openxmlformats.org/officeDocument/2006/relationships/externalLink" Target="externalLinks/externalLink2.xml"/><Relationship Id="rId40" Type="http://schemas.openxmlformats.org/officeDocument/2006/relationships/externalLink" Target="externalLinks/externalLink1.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0</xdr:colOff>
      <xdr:row>6</xdr:row>
      <xdr:rowOff>0</xdr:rowOff>
    </xdr:from>
    <xdr:to>
      <xdr:col>13</xdr:col>
      <xdr:colOff>304800</xdr:colOff>
      <xdr:row>7</xdr:row>
      <xdr:rowOff>38100</xdr:rowOff>
    </xdr:to>
    <xdr:sp>
      <xdr:nvSpPr>
        <xdr:cNvPr id="2367495" name="AutoShape 7" descr="reza CHR (Reza@corphr.com)"/>
        <xdr:cNvSpPr>
          <a:spLocks noChangeAspect="1" noChangeArrowheads="1"/>
        </xdr:cNvSpPr>
      </xdr:nvSpPr>
      <xdr:spPr>
        <a:xfrm>
          <a:off x="12178665" y="124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9</xdr:col>
      <xdr:colOff>0</xdr:colOff>
      <xdr:row>29</xdr:row>
      <xdr:rowOff>0</xdr:rowOff>
    </xdr:from>
    <xdr:ext cx="304800" cy="304800"/>
    <xdr:sp>
      <xdr:nvSpPr>
        <xdr:cNvPr id="3" name="AutoShape 7" descr="reza CHR (Reza@corphr.com)"/>
        <xdr:cNvSpPr>
          <a:spLocks noChangeAspect="1" noChangeArrowheads="1"/>
        </xdr:cNvSpPr>
      </xdr:nvSpPr>
      <xdr:spPr>
        <a:xfrm>
          <a:off x="8827135" y="554164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13</xdr:col>
      <xdr:colOff>0</xdr:colOff>
      <xdr:row>6</xdr:row>
      <xdr:rowOff>0</xdr:rowOff>
    </xdr:from>
    <xdr:to>
      <xdr:col>13</xdr:col>
      <xdr:colOff>304800</xdr:colOff>
      <xdr:row>7</xdr:row>
      <xdr:rowOff>38100</xdr:rowOff>
    </xdr:to>
    <xdr:sp>
      <xdr:nvSpPr>
        <xdr:cNvPr id="4" name="AutoShape 7" descr="reza CHR (Reza@corphr.com)"/>
        <xdr:cNvSpPr>
          <a:spLocks noChangeAspect="1" noChangeArrowheads="1"/>
        </xdr:cNvSpPr>
      </xdr:nvSpPr>
      <xdr:spPr>
        <a:xfrm>
          <a:off x="12178665" y="1247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47625</xdr:rowOff>
    </xdr:from>
    <xdr:to>
      <xdr:col>2</xdr:col>
      <xdr:colOff>333375</xdr:colOff>
      <xdr:row>3</xdr:row>
      <xdr:rowOff>95250</xdr:rowOff>
    </xdr:to>
    <xdr:pic>
      <xdr:nvPicPr>
        <xdr:cNvPr id="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47625" y="47625"/>
          <a:ext cx="1417320" cy="54102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38100</xdr:rowOff>
    </xdr:from>
    <xdr:to>
      <xdr:col>3</xdr:col>
      <xdr:colOff>323850</xdr:colOff>
      <xdr:row>3</xdr:row>
      <xdr:rowOff>38100</xdr:rowOff>
    </xdr:to>
    <xdr:pic>
      <xdr:nvPicPr>
        <xdr:cNvPr id="2154161" name="Picture 2" descr="C:\Documents and Settings\USER\Local Settings\Temporary Internet Files\Content.Word\chr logo baru.jpg"/>
        <xdr:cNvPicPr>
          <a:picLocks noChangeAspect="1" noChangeArrowheads="1"/>
        </xdr:cNvPicPr>
      </xdr:nvPicPr>
      <xdr:blipFill>
        <a:blip r:embed="rId1" cstate="print"/>
        <a:srcRect/>
        <a:stretch>
          <a:fillRect/>
        </a:stretch>
      </xdr:blipFill>
      <xdr:spPr>
        <a:xfrm>
          <a:off x="47625" y="38100"/>
          <a:ext cx="2256790" cy="4000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38100</xdr:rowOff>
    </xdr:from>
    <xdr:to>
      <xdr:col>2</xdr:col>
      <xdr:colOff>352425</xdr:colOff>
      <xdr:row>3</xdr:row>
      <xdr:rowOff>66675</xdr:rowOff>
    </xdr:to>
    <xdr:pic>
      <xdr:nvPicPr>
        <xdr:cNvPr id="2110235"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47625" y="38100"/>
          <a:ext cx="1490980" cy="52197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38100</xdr:rowOff>
    </xdr:from>
    <xdr:to>
      <xdr:col>2</xdr:col>
      <xdr:colOff>352425</xdr:colOff>
      <xdr:row>3</xdr:row>
      <xdr:rowOff>66675</xdr:rowOff>
    </xdr:to>
    <xdr:pic>
      <xdr:nvPicPr>
        <xdr:cNvPr id="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47625" y="38100"/>
          <a:ext cx="1490980" cy="52197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2</xdr:col>
      <xdr:colOff>485775</xdr:colOff>
      <xdr:row>3</xdr:row>
      <xdr:rowOff>19050</xdr:rowOff>
    </xdr:to>
    <xdr:pic>
      <xdr:nvPicPr>
        <xdr:cNvPr id="2164926"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57150" y="47625"/>
          <a:ext cx="1407795" cy="46482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2</xdr:col>
      <xdr:colOff>485775</xdr:colOff>
      <xdr:row>3</xdr:row>
      <xdr:rowOff>19050</xdr:rowOff>
    </xdr:to>
    <xdr:pic>
      <xdr:nvPicPr>
        <xdr:cNvPr id="2191388"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57150" y="47625"/>
          <a:ext cx="1418590" cy="46482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3</xdr:col>
      <xdr:colOff>76200</xdr:colOff>
      <xdr:row>3</xdr:row>
      <xdr:rowOff>19050</xdr:rowOff>
    </xdr:to>
    <xdr:pic>
      <xdr:nvPicPr>
        <xdr:cNvPr id="2159175"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57150" y="47625"/>
          <a:ext cx="1771015" cy="37147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2</xdr:col>
      <xdr:colOff>485775</xdr:colOff>
      <xdr:row>3</xdr:row>
      <xdr:rowOff>19050</xdr:rowOff>
    </xdr:to>
    <xdr:pic>
      <xdr:nvPicPr>
        <xdr:cNvPr id="219241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57150" y="0"/>
          <a:ext cx="1407795" cy="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2</xdr:col>
      <xdr:colOff>485775</xdr:colOff>
      <xdr:row>3</xdr:row>
      <xdr:rowOff>19050</xdr:rowOff>
    </xdr:to>
    <xdr:pic>
      <xdr:nvPicPr>
        <xdr:cNvPr id="1947754"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57150" y="47625"/>
          <a:ext cx="1636395" cy="46482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2</xdr:col>
      <xdr:colOff>342900</xdr:colOff>
      <xdr:row>3</xdr:row>
      <xdr:rowOff>57150</xdr:rowOff>
    </xdr:to>
    <xdr:pic>
      <xdr:nvPicPr>
        <xdr:cNvPr id="2078525" name="Picture 2" descr="C:\Documents and Settings\USER\Local Settings\Temporary Internet Files\Content.Word\chr logo baru.jpg"/>
        <xdr:cNvPicPr>
          <a:picLocks noChangeAspect="1" noChangeArrowheads="1"/>
        </xdr:cNvPicPr>
      </xdr:nvPicPr>
      <xdr:blipFill>
        <a:blip r:embed="rId1" cstate="print"/>
        <a:srcRect/>
        <a:stretch>
          <a:fillRect/>
        </a:stretch>
      </xdr:blipFill>
      <xdr:spPr>
        <a:xfrm>
          <a:off x="0" y="0"/>
          <a:ext cx="1474470" cy="4572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66675</xdr:colOff>
      <xdr:row>0</xdr:row>
      <xdr:rowOff>38100</xdr:rowOff>
    </xdr:from>
    <xdr:to>
      <xdr:col>2</xdr:col>
      <xdr:colOff>495300</xdr:colOff>
      <xdr:row>2</xdr:row>
      <xdr:rowOff>123825</xdr:rowOff>
    </xdr:to>
    <xdr:pic>
      <xdr:nvPicPr>
        <xdr:cNvPr id="218729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66675" y="38100"/>
          <a:ext cx="1505585" cy="41465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0</xdr:col>
      <xdr:colOff>38100</xdr:colOff>
      <xdr:row>0</xdr:row>
      <xdr:rowOff>47625</xdr:rowOff>
    </xdr:from>
    <xdr:to>
      <xdr:col>2</xdr:col>
      <xdr:colOff>171450</xdr:colOff>
      <xdr:row>3</xdr:row>
      <xdr:rowOff>66675</xdr:rowOff>
    </xdr:to>
    <xdr:pic>
      <xdr:nvPicPr>
        <xdr:cNvPr id="2042924"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38100" y="0"/>
          <a:ext cx="1417320" cy="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2</xdr:col>
      <xdr:colOff>485775</xdr:colOff>
      <xdr:row>3</xdr:row>
      <xdr:rowOff>19050</xdr:rowOff>
    </xdr:to>
    <xdr:pic>
      <xdr:nvPicPr>
        <xdr:cNvPr id="2171934"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57150" y="47625"/>
          <a:ext cx="1407795" cy="46482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0</xdr:row>
      <xdr:rowOff>47625</xdr:rowOff>
    </xdr:from>
    <xdr:to>
      <xdr:col>2</xdr:col>
      <xdr:colOff>609601</xdr:colOff>
      <xdr:row>4</xdr:row>
      <xdr:rowOff>28575</xdr:rowOff>
    </xdr:to>
    <xdr:pic>
      <xdr:nvPicPr>
        <xdr:cNvPr id="2" name="Picture 2" descr="C:\Documents and Settings\USER\Local Settings\Temporary Internet Files\Content.Word\chr logo baru.jpg"/>
        <xdr:cNvPicPr>
          <a:picLocks noChangeAspect="1" noChangeArrowheads="1"/>
        </xdr:cNvPicPr>
      </xdr:nvPicPr>
      <xdr:blipFill>
        <a:blip r:embed="rId1" cstate="print"/>
        <a:srcRect/>
        <a:stretch>
          <a:fillRect/>
        </a:stretch>
      </xdr:blipFill>
      <xdr:spPr>
        <a:xfrm>
          <a:off x="57150" y="47625"/>
          <a:ext cx="1651635" cy="5143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0</xdr:col>
      <xdr:colOff>66675</xdr:colOff>
      <xdr:row>0</xdr:row>
      <xdr:rowOff>57150</xdr:rowOff>
    </xdr:from>
    <xdr:to>
      <xdr:col>2</xdr:col>
      <xdr:colOff>304800</xdr:colOff>
      <xdr:row>3</xdr:row>
      <xdr:rowOff>28575</xdr:rowOff>
    </xdr:to>
    <xdr:pic>
      <xdr:nvPicPr>
        <xdr:cNvPr id="2194460"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66675" y="57150"/>
          <a:ext cx="1369695" cy="46482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0</xdr:col>
      <xdr:colOff>66675</xdr:colOff>
      <xdr:row>0</xdr:row>
      <xdr:rowOff>57150</xdr:rowOff>
    </xdr:from>
    <xdr:to>
      <xdr:col>2</xdr:col>
      <xdr:colOff>304800</xdr:colOff>
      <xdr:row>3</xdr:row>
      <xdr:rowOff>28575</xdr:rowOff>
    </xdr:to>
    <xdr:pic>
      <xdr:nvPicPr>
        <xdr:cNvPr id="2" name="Picture 2" descr="C:\Documents and Settings\USER\Local Settings\Temporary Internet Files\Content.Word\chr logo baru.jpg"/>
        <xdr:cNvPicPr>
          <a:picLocks noChangeAspect="1" noChangeArrowheads="1"/>
        </xdr:cNvPicPr>
      </xdr:nvPicPr>
      <xdr:blipFill>
        <a:blip r:embed="rId1" cstate="print"/>
        <a:srcRect/>
        <a:stretch>
          <a:fillRect/>
        </a:stretch>
      </xdr:blipFill>
      <xdr:spPr>
        <a:xfrm>
          <a:off x="66675" y="57150"/>
          <a:ext cx="1358900" cy="46482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47625</xdr:rowOff>
    </xdr:from>
    <xdr:to>
      <xdr:col>2</xdr:col>
      <xdr:colOff>333375</xdr:colOff>
      <xdr:row>3</xdr:row>
      <xdr:rowOff>95250</xdr:rowOff>
    </xdr:to>
    <xdr:pic>
      <xdr:nvPicPr>
        <xdr:cNvPr id="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47625" y="47625"/>
          <a:ext cx="1417320" cy="54102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0</xdr:col>
      <xdr:colOff>38100</xdr:colOff>
      <xdr:row>0</xdr:row>
      <xdr:rowOff>47625</xdr:rowOff>
    </xdr:from>
    <xdr:to>
      <xdr:col>2</xdr:col>
      <xdr:colOff>171450</xdr:colOff>
      <xdr:row>3</xdr:row>
      <xdr:rowOff>66675</xdr:rowOff>
    </xdr:to>
    <xdr:pic>
      <xdr:nvPicPr>
        <xdr:cNvPr id="285841"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38100" y="47625"/>
          <a:ext cx="1395730" cy="51244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66675</xdr:colOff>
      <xdr:row>1</xdr:row>
      <xdr:rowOff>38100</xdr:rowOff>
    </xdr:from>
    <xdr:to>
      <xdr:col>2</xdr:col>
      <xdr:colOff>495300</xdr:colOff>
      <xdr:row>4</xdr:row>
      <xdr:rowOff>0</xdr:rowOff>
    </xdr:to>
    <xdr:pic>
      <xdr:nvPicPr>
        <xdr:cNvPr id="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66675" y="202565"/>
          <a:ext cx="1505585" cy="45529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66675</xdr:colOff>
      <xdr:row>0</xdr:row>
      <xdr:rowOff>38100</xdr:rowOff>
    </xdr:from>
    <xdr:to>
      <xdr:col>2</xdr:col>
      <xdr:colOff>495300</xdr:colOff>
      <xdr:row>2</xdr:row>
      <xdr:rowOff>123825</xdr:rowOff>
    </xdr:to>
    <xdr:pic>
      <xdr:nvPicPr>
        <xdr:cNvPr id="2188316"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66675" y="38100"/>
          <a:ext cx="1505585" cy="4146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66675</xdr:colOff>
      <xdr:row>0</xdr:row>
      <xdr:rowOff>38100</xdr:rowOff>
    </xdr:from>
    <xdr:to>
      <xdr:col>2</xdr:col>
      <xdr:colOff>495300</xdr:colOff>
      <xdr:row>2</xdr:row>
      <xdr:rowOff>123825</xdr:rowOff>
    </xdr:to>
    <xdr:pic>
      <xdr:nvPicPr>
        <xdr:cNvPr id="2"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66675" y="38100"/>
          <a:ext cx="1505585" cy="4146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38100</xdr:rowOff>
    </xdr:from>
    <xdr:to>
      <xdr:col>2</xdr:col>
      <xdr:colOff>190500</xdr:colOff>
      <xdr:row>2</xdr:row>
      <xdr:rowOff>123825</xdr:rowOff>
    </xdr:to>
    <xdr:pic>
      <xdr:nvPicPr>
        <xdr:cNvPr id="2" name="Picture 2" descr="C:\Documents and Settings\USER\Local Settings\Temporary Internet Files\Content.Word\chr logo baru.jpg"/>
        <xdr:cNvPicPr>
          <a:picLocks noChangeAspect="1" noChangeArrowheads="1"/>
        </xdr:cNvPicPr>
      </xdr:nvPicPr>
      <xdr:blipFill>
        <a:blip r:embed="rId1" cstate="print"/>
        <a:srcRect/>
        <a:stretch>
          <a:fillRect/>
        </a:stretch>
      </xdr:blipFill>
      <xdr:spPr>
        <a:xfrm>
          <a:off x="47625" y="38100"/>
          <a:ext cx="1285875" cy="4476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38100</xdr:rowOff>
    </xdr:from>
    <xdr:to>
      <xdr:col>2</xdr:col>
      <xdr:colOff>476250</xdr:colOff>
      <xdr:row>2</xdr:row>
      <xdr:rowOff>123825</xdr:rowOff>
    </xdr:to>
    <xdr:pic>
      <xdr:nvPicPr>
        <xdr:cNvPr id="2189374"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47625" y="38100"/>
          <a:ext cx="1571625" cy="4476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2</xdr:col>
      <xdr:colOff>342900</xdr:colOff>
      <xdr:row>3</xdr:row>
      <xdr:rowOff>57150</xdr:rowOff>
    </xdr:to>
    <xdr:pic>
      <xdr:nvPicPr>
        <xdr:cNvPr id="2190419" name="Picture 2" descr="C:\Documents and Settings\USER\Local Settings\Temporary Internet Files\Content.Word\chr logo baru.jpg"/>
        <xdr:cNvPicPr>
          <a:picLocks noChangeAspect="1" noChangeArrowheads="1"/>
        </xdr:cNvPicPr>
      </xdr:nvPicPr>
      <xdr:blipFill>
        <a:blip r:embed="rId1" cstate="print"/>
        <a:srcRect/>
        <a:stretch>
          <a:fillRect/>
        </a:stretch>
      </xdr:blipFill>
      <xdr:spPr>
        <a:xfrm>
          <a:off x="0" y="0"/>
          <a:ext cx="1333500" cy="55054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47625</xdr:colOff>
      <xdr:row>0</xdr:row>
      <xdr:rowOff>47625</xdr:rowOff>
    </xdr:from>
    <xdr:to>
      <xdr:col>2</xdr:col>
      <xdr:colOff>333375</xdr:colOff>
      <xdr:row>3</xdr:row>
      <xdr:rowOff>95250</xdr:rowOff>
    </xdr:to>
    <xdr:pic>
      <xdr:nvPicPr>
        <xdr:cNvPr id="1593496" name="Picture 2" descr="C:\Documents and Settings\USER\Local Settings\Temporary Internet Files\Content.Word\chr logo baru.jpg"/>
        <xdr:cNvPicPr>
          <a:picLocks noChangeAspect="1" noChangeArrowheads="1"/>
        </xdr:cNvPicPr>
      </xdr:nvPicPr>
      <xdr:blipFill>
        <a:blip r:embed="rId1"/>
        <a:srcRect/>
        <a:stretch>
          <a:fillRect/>
        </a:stretch>
      </xdr:blipFill>
      <xdr:spPr>
        <a:xfrm>
          <a:off x="47625" y="47625"/>
          <a:ext cx="1417320" cy="54102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1/P11-2011/P11_2011 Reporting Template v1 2_new template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1/Employee transition/Dyka (Sept-Dec).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ome/warih/Documents/Chr_DashboardsC:\Users\Astrid\Downloads\Monthly Resource Allocation - 16 April 2018_Update by Johny Suhady.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ome/warih/Documents/Chr_DashboardsC:\Users\Astrid\Downloads\Rekap Performance Evaluation SEIN 2017 FINAL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gion (Direct)"/>
      <sheetName val="Region (Indirect)"/>
      <sheetName val="Extra Savings (Direct)"/>
      <sheetName val="Indirect Final Savings Group 1"/>
      <sheetName val="Indirect Case Savings Group 2"/>
      <sheetName val="Instructions"/>
      <sheetName val=" Definitions"/>
      <sheetName val="2010-2011 JT Mapping"/>
      <sheetName val="Currency Exchange Rates"/>
      <sheetName val="Drop down lists"/>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yka Aug11"/>
      <sheetName val="dyka Sep11"/>
      <sheetName val="dyka Oct11"/>
      <sheetName val="dyka Nov11"/>
      <sheetName val="dyka Dec11"/>
      <sheetName val="Sheet6"/>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roject_SF"/>
      <sheetName val="Project_TSEL"/>
      <sheetName val="Project_ISAT"/>
      <sheetName val="Project_xl"/>
      <sheetName val="GS_Project Support Admin"/>
      <sheetName val="GS_Project Shadowing FnC"/>
      <sheetName val="National Support"/>
    </sheetNames>
    <sheetDataSet>
      <sheetData sheetId="0" refreshError="1"/>
      <sheetData sheetId="1"/>
      <sheetData sheetId="2">
        <row r="3">
          <cell r="C3" t="str">
            <v>Daniel Darwis Krisharjanto</v>
          </cell>
          <cell r="D3">
            <v>28857</v>
          </cell>
          <cell r="E3" t="str">
            <v>Jakarta</v>
          </cell>
          <cell r="F3" t="str">
            <v>Network Maintenance</v>
          </cell>
          <cell r="G3">
            <v>41593</v>
          </cell>
          <cell r="H3">
            <v>43281</v>
          </cell>
          <cell r="I3">
            <v>73.4540160879624</v>
          </cell>
        </row>
        <row r="3">
          <cell r="K3" t="str">
            <v>Keep P6</v>
          </cell>
        </row>
        <row r="4">
          <cell r="C4" t="str">
            <v>Jupito Saragih</v>
          </cell>
          <cell r="D4">
            <v>31335</v>
          </cell>
          <cell r="E4" t="str">
            <v>Sumatera Utara</v>
          </cell>
          <cell r="F4" t="str">
            <v>BTS Engineer =&gt; Project Engineer</v>
          </cell>
          <cell r="G4">
            <v>41640</v>
          </cell>
          <cell r="H4">
            <v>43373</v>
          </cell>
          <cell r="I4">
            <v>165.454016087962</v>
          </cell>
        </row>
        <row r="4">
          <cell r="K4" t="str">
            <v>Extended until P9</v>
          </cell>
        </row>
        <row r="5">
          <cell r="C5" t="str">
            <v>Eko Ribudi Santoso</v>
          </cell>
          <cell r="D5" t="str">
            <v>Pati, 1 Maret 1982</v>
          </cell>
          <cell r="E5" t="str">
            <v>Palembang</v>
          </cell>
          <cell r="F5" t="str">
            <v>Field Project Coordination</v>
          </cell>
          <cell r="G5">
            <v>41702</v>
          </cell>
          <cell r="H5">
            <v>43373</v>
          </cell>
          <cell r="I5">
            <v>165.454016087962</v>
          </cell>
        </row>
        <row r="5">
          <cell r="K5" t="str">
            <v>Extended until P9</v>
          </cell>
        </row>
        <row r="6">
          <cell r="C6" t="str">
            <v>Arief Wicaksono</v>
          </cell>
          <cell r="D6" t="str">
            <v>Jakarta, 30 September 1983</v>
          </cell>
          <cell r="E6" t="str">
            <v>Jakarta</v>
          </cell>
          <cell r="F6" t="str">
            <v>Care Engineer</v>
          </cell>
          <cell r="G6">
            <v>42044</v>
          </cell>
          <cell r="H6">
            <v>43281</v>
          </cell>
          <cell r="I6">
            <v>73.4540160879624</v>
          </cell>
        </row>
        <row r="6">
          <cell r="K6" t="str">
            <v>Keep P6</v>
          </cell>
        </row>
        <row r="7">
          <cell r="C7" t="str">
            <v>Herry Heryana</v>
          </cell>
          <cell r="D7" t="str">
            <v>Jakarta, 14 April 1981</v>
          </cell>
          <cell r="E7" t="str">
            <v>Jakarta</v>
          </cell>
          <cell r="F7" t="str">
            <v>Care Engineer</v>
          </cell>
          <cell r="G7">
            <v>42065</v>
          </cell>
          <cell r="H7">
            <v>43281</v>
          </cell>
          <cell r="I7">
            <v>73.4540160879624</v>
          </cell>
        </row>
        <row r="7">
          <cell r="K7" t="str">
            <v>Keep P6</v>
          </cell>
        </row>
        <row r="8">
          <cell r="C8" t="str">
            <v>Julia Permata Sari</v>
          </cell>
          <cell r="D8" t="str">
            <v>Jakarta, 25 Juli 1989</v>
          </cell>
          <cell r="E8" t="str">
            <v>Jakarta</v>
          </cell>
          <cell r="F8" t="str">
            <v>Project Administartion Services</v>
          </cell>
          <cell r="G8">
            <v>41518</v>
          </cell>
          <cell r="H8">
            <v>43281</v>
          </cell>
          <cell r="I8">
            <v>73.4540160879624</v>
          </cell>
        </row>
        <row r="8">
          <cell r="K8" t="str">
            <v>Extended until P6</v>
          </cell>
        </row>
        <row r="9">
          <cell r="C9" t="str">
            <v>Helda Agustina</v>
          </cell>
          <cell r="D9" t="str">
            <v>Bogor, 18 aug 1986</v>
          </cell>
          <cell r="E9" t="str">
            <v>Jakarta</v>
          </cell>
          <cell r="F9" t="str">
            <v>PO - BAST Monitoring</v>
          </cell>
          <cell r="G9">
            <v>41518</v>
          </cell>
          <cell r="H9">
            <v>43281</v>
          </cell>
          <cell r="I9">
            <v>73.4540160879624</v>
          </cell>
        </row>
        <row r="9">
          <cell r="K9" t="str">
            <v>Extended until P6</v>
          </cell>
        </row>
        <row r="10">
          <cell r="C10" t="str">
            <v>Elly Hutauruk</v>
          </cell>
          <cell r="D10">
            <v>29496</v>
          </cell>
          <cell r="E10" t="str">
            <v>Pontianak</v>
          </cell>
          <cell r="F10" t="str">
            <v>Project Support</v>
          </cell>
          <cell r="G10">
            <v>41593</v>
          </cell>
          <cell r="H10">
            <v>43373</v>
          </cell>
          <cell r="I10">
            <v>165.454016087962</v>
          </cell>
        </row>
        <row r="10">
          <cell r="K10" t="str">
            <v>Extended until P9</v>
          </cell>
        </row>
        <row r="11">
          <cell r="C11" t="str">
            <v>Eko Santoso</v>
          </cell>
          <cell r="D11" t="str">
            <v>13 September 1982</v>
          </cell>
          <cell r="E11" t="str">
            <v>Jakarta</v>
          </cell>
          <cell r="F11" t="str">
            <v>Field Manager =&gt; Pre Assembly Engineer</v>
          </cell>
          <cell r="G11">
            <v>42278</v>
          </cell>
          <cell r="H11">
            <v>43373</v>
          </cell>
          <cell r="I11">
            <v>165.454016087962</v>
          </cell>
        </row>
        <row r="11">
          <cell r="K11" t="str">
            <v>Extended until P9</v>
          </cell>
        </row>
        <row r="12">
          <cell r="C12" t="str">
            <v>Toni Kusno Poniman</v>
          </cell>
          <cell r="D12" t="str">
            <v>Bandung, 25 Januari 1982</v>
          </cell>
          <cell r="E12" t="str">
            <v>Jabo Banten =&gt; Pekanbaru</v>
          </cell>
          <cell r="F12" t="str">
            <v>Project Coordinator =&gt; Coordinator =&gt; Project Engineer</v>
          </cell>
          <cell r="G12">
            <v>42522</v>
          </cell>
          <cell r="H12">
            <v>43281</v>
          </cell>
          <cell r="I12">
            <v>73.4540160879624</v>
          </cell>
        </row>
        <row r="12">
          <cell r="K12" t="str">
            <v>Keep P6</v>
          </cell>
        </row>
        <row r="13">
          <cell r="C13" t="str">
            <v>Salman Siregar</v>
          </cell>
          <cell r="D13" t="str">
            <v>Sitopayan, 9 Februari 1987</v>
          </cell>
          <cell r="E13" t="str">
            <v>Jabo Banten =&gt; Jakarta 1 Sep 2017</v>
          </cell>
          <cell r="F13" t="str">
            <v>Field Manager</v>
          </cell>
          <cell r="G13">
            <v>42552</v>
          </cell>
          <cell r="H13">
            <v>43281</v>
          </cell>
          <cell r="I13">
            <v>73.4540160879624</v>
          </cell>
        </row>
        <row r="13">
          <cell r="K13" t="str">
            <v>Keep P6</v>
          </cell>
        </row>
        <row r="14">
          <cell r="C14" t="str">
            <v>Indra Suroto</v>
          </cell>
          <cell r="D14">
            <v>30838</v>
          </cell>
          <cell r="E14" t="str">
            <v>Pekanbaru =&gt; Palembang 1 Sep 2017</v>
          </cell>
          <cell r="F14" t="str">
            <v>Project Engineer</v>
          </cell>
          <cell r="G14">
            <v>42738</v>
          </cell>
          <cell r="H14">
            <v>43281</v>
          </cell>
          <cell r="I14">
            <v>73.4540160879624</v>
          </cell>
        </row>
        <row r="14">
          <cell r="K14" t="str">
            <v>Extended until P6</v>
          </cell>
        </row>
        <row r="15">
          <cell r="C15" t="str">
            <v>Audi Iswahyudiono</v>
          </cell>
          <cell r="D15" t="str">
            <v>Surabaya, 06 Mei 1985</v>
          </cell>
          <cell r="E15" t="str">
            <v>Pontianak</v>
          </cell>
          <cell r="F15" t="str">
            <v>Project Engineer</v>
          </cell>
          <cell r="G15">
            <v>43018</v>
          </cell>
          <cell r="H15">
            <v>43263</v>
          </cell>
          <cell r="I15">
            <v>55.4540160879624</v>
          </cell>
        </row>
        <row r="15">
          <cell r="K15" t="str">
            <v>12 of June 2018</v>
          </cell>
        </row>
        <row r="16">
          <cell r="C16" t="str">
            <v>Sendy Setiawan</v>
          </cell>
        </row>
        <row r="16">
          <cell r="F16" t="str">
            <v>Project Engineer</v>
          </cell>
        </row>
        <row r="16">
          <cell r="H16">
            <v>43281</v>
          </cell>
          <cell r="I16">
            <v>73.4540160879624</v>
          </cell>
        </row>
        <row r="16">
          <cell r="K16" t="str">
            <v>Keep P6</v>
          </cell>
        </row>
        <row r="17">
          <cell r="C17" t="str">
            <v>Sugianto Haloho</v>
          </cell>
        </row>
        <row r="17">
          <cell r="F17" t="str">
            <v>Project Engineer</v>
          </cell>
        </row>
        <row r="17">
          <cell r="H17">
            <v>43325</v>
          </cell>
          <cell r="I17">
            <v>117.454016087962</v>
          </cell>
        </row>
        <row r="17">
          <cell r="K17" t="str">
            <v>6 months</v>
          </cell>
        </row>
        <row r="18">
          <cell r="C18" t="str">
            <v>Humam Alif Shubhi</v>
          </cell>
        </row>
        <row r="18">
          <cell r="E18" t="str">
            <v>Jakarta</v>
          </cell>
          <cell r="F18" t="str">
            <v>Project Controller</v>
          </cell>
        </row>
        <row r="18">
          <cell r="K18" t="str">
            <v>6 months start 16 April</v>
          </cell>
        </row>
        <row r="19">
          <cell r="C19" t="str">
            <v>Mashuri</v>
          </cell>
        </row>
        <row r="19">
          <cell r="E19" t="str">
            <v>Jakarta</v>
          </cell>
          <cell r="F19" t="str">
            <v>IP Engineer</v>
          </cell>
        </row>
        <row r="19">
          <cell r="H19">
            <v>43266</v>
          </cell>
        </row>
        <row r="19">
          <cell r="K19" t="str">
            <v>3 months start </v>
          </cell>
        </row>
      </sheetData>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General Comment"/>
      <sheetName val="Sheet3"/>
    </sheetNames>
    <sheetDataSet>
      <sheetData sheetId="0">
        <row r="6">
          <cell r="B6" t="str">
            <v>Putra Jumanda Siregar</v>
          </cell>
          <cell r="C6" t="str">
            <v>AV Master Trainer</v>
          </cell>
          <cell r="D6" t="str">
            <v>Yoga Samiaji</v>
          </cell>
          <cell r="E6">
            <v>8</v>
          </cell>
          <cell r="F6">
            <v>8</v>
          </cell>
          <cell r="G6">
            <v>8</v>
          </cell>
          <cell r="H6">
            <v>6</v>
          </cell>
          <cell r="I6">
            <v>8</v>
          </cell>
          <cell r="J6">
            <v>8</v>
          </cell>
          <cell r="K6">
            <v>8</v>
          </cell>
          <cell r="L6">
            <v>8</v>
          </cell>
          <cell r="M6">
            <v>8</v>
          </cell>
          <cell r="N6">
            <v>6</v>
          </cell>
          <cell r="O6">
            <v>7.6</v>
          </cell>
          <cell r="P6" t="str">
            <v>Need to step up the game not only in reporting but also need to be more strategic and business minded, need to expand the helicopter view. So one day he can lead a team, not only he will understand the training but will lead to impactfull business from training</v>
          </cell>
          <cell r="Q6">
            <v>42380</v>
          </cell>
          <cell r="R6">
            <v>15000000</v>
          </cell>
          <cell r="S6">
            <v>20000</v>
          </cell>
          <cell r="T6">
            <v>1300000</v>
          </cell>
          <cell r="U6">
            <v>150000</v>
          </cell>
        </row>
        <row r="6">
          <cell r="X6">
            <v>3.5</v>
          </cell>
          <cell r="Y6">
            <v>15525000</v>
          </cell>
        </row>
        <row r="7">
          <cell r="B7" t="str">
            <v>Nola Melissa</v>
          </cell>
          <cell r="C7" t="str">
            <v>Corporate Marketing Support</v>
          </cell>
          <cell r="D7" t="str">
            <v>Elvira Jakub</v>
          </cell>
          <cell r="E7">
            <v>6</v>
          </cell>
          <cell r="F7">
            <v>10</v>
          </cell>
          <cell r="G7">
            <v>6</v>
          </cell>
          <cell r="H7">
            <v>8</v>
          </cell>
          <cell r="I7">
            <v>10</v>
          </cell>
          <cell r="J7">
            <v>10</v>
          </cell>
          <cell r="K7">
            <v>10</v>
          </cell>
          <cell r="L7">
            <v>8</v>
          </cell>
          <cell r="M7">
            <v>6</v>
          </cell>
          <cell r="N7">
            <v>6</v>
          </cell>
          <cell r="O7">
            <v>8</v>
          </cell>
          <cell r="P7" t="str">
            <v>Works very fast, especially when it comes to SAP. We would expect her to improve her initiatives and her "can-do" attitude, so she can also expand her knowledge</v>
          </cell>
          <cell r="Q7">
            <v>42918</v>
          </cell>
          <cell r="R7">
            <v>3000000</v>
          </cell>
          <cell r="S7">
            <v>20000</v>
          </cell>
          <cell r="T7">
            <v>500000</v>
          </cell>
          <cell r="U7">
            <v>150000</v>
          </cell>
        </row>
        <row r="7">
          <cell r="X7">
            <v>5</v>
          </cell>
          <cell r="Y7">
            <v>3150000</v>
          </cell>
        </row>
        <row r="8">
          <cell r="B8" t="str">
            <v>Fahrur Roji</v>
          </cell>
          <cell r="C8" t="str">
            <v>Technical Support Engineer</v>
          </cell>
          <cell r="D8" t="str">
            <v>Trihadi Nugroho</v>
          </cell>
          <cell r="E8">
            <v>8</v>
          </cell>
          <cell r="F8">
            <v>8</v>
          </cell>
          <cell r="G8">
            <v>8</v>
          </cell>
          <cell r="H8">
            <v>6</v>
          </cell>
          <cell r="I8">
            <v>10</v>
          </cell>
          <cell r="J8">
            <v>10</v>
          </cell>
          <cell r="K8">
            <v>8</v>
          </cell>
          <cell r="L8">
            <v>10</v>
          </cell>
          <cell r="M8">
            <v>8</v>
          </cell>
          <cell r="N8">
            <v>8</v>
          </cell>
          <cell r="O8">
            <v>8.4</v>
          </cell>
          <cell r="P8" t="str">
            <v>Need improvement in internal comm between SEIN to SEIN and SEIN to customer. Overall working result in above average just need initiative for get better result with min sipervise employee must has abilities to decide. Need to increasing responsibilities to handling big issue, in and out Samsung environment</v>
          </cell>
          <cell r="Q8">
            <v>42779</v>
          </cell>
          <cell r="R8">
            <v>3800000</v>
          </cell>
          <cell r="S8">
            <v>20000</v>
          </cell>
          <cell r="T8">
            <v>700000</v>
          </cell>
          <cell r="U8">
            <v>131250</v>
          </cell>
        </row>
        <row r="8">
          <cell r="X8">
            <v>4</v>
          </cell>
          <cell r="Y8">
            <v>3952000</v>
          </cell>
        </row>
        <row r="9">
          <cell r="B9" t="str">
            <v>Fabry Fahlevi</v>
          </cell>
          <cell r="C9" t="str">
            <v>General Affair</v>
          </cell>
          <cell r="D9" t="str">
            <v>Agustinus Nugraha</v>
          </cell>
          <cell r="E9">
            <v>8</v>
          </cell>
          <cell r="F9">
            <v>8</v>
          </cell>
          <cell r="G9">
            <v>8</v>
          </cell>
          <cell r="H9">
            <v>8</v>
          </cell>
          <cell r="I9">
            <v>8</v>
          </cell>
          <cell r="J9">
            <v>8</v>
          </cell>
          <cell r="K9">
            <v>8</v>
          </cell>
          <cell r="L9">
            <v>8</v>
          </cell>
          <cell r="M9">
            <v>8</v>
          </cell>
          <cell r="N9">
            <v>8</v>
          </cell>
          <cell r="O9">
            <v>8</v>
          </cell>
        </row>
        <row r="9">
          <cell r="Q9">
            <v>42002</v>
          </cell>
          <cell r="R9">
            <v>8050000</v>
          </cell>
          <cell r="S9">
            <v>220000</v>
          </cell>
        </row>
        <row r="9">
          <cell r="X9">
            <v>4</v>
          </cell>
          <cell r="Y9">
            <v>8372000</v>
          </cell>
        </row>
        <row r="10">
          <cell r="B10" t="str">
            <v>Novianto Yudha Tri Widya</v>
          </cell>
          <cell r="C10" t="str">
            <v>Staff Procurement</v>
          </cell>
          <cell r="D10" t="str">
            <v>Joni Syam</v>
          </cell>
          <cell r="E10">
            <v>6</v>
          </cell>
          <cell r="F10">
            <v>8</v>
          </cell>
          <cell r="G10">
            <v>8</v>
          </cell>
          <cell r="H10">
            <v>8</v>
          </cell>
          <cell r="I10">
            <v>10</v>
          </cell>
          <cell r="J10">
            <v>10</v>
          </cell>
          <cell r="K10">
            <v>6</v>
          </cell>
          <cell r="L10">
            <v>8</v>
          </cell>
          <cell r="M10">
            <v>6</v>
          </cell>
          <cell r="N10">
            <v>6</v>
          </cell>
          <cell r="O10">
            <v>7.6</v>
          </cell>
          <cell r="P10" t="str">
            <v>Need more responsible to be leader (supervisor). Please make salary 10% up</v>
          </cell>
          <cell r="Q10">
            <v>42422</v>
          </cell>
          <cell r="R10">
            <v>15400000</v>
          </cell>
          <cell r="S10">
            <v>400000</v>
          </cell>
          <cell r="T10">
            <v>750000</v>
          </cell>
        </row>
        <row r="10">
          <cell r="X10">
            <v>3.5</v>
          </cell>
          <cell r="Y10">
            <v>15939000</v>
          </cell>
        </row>
        <row r="11">
          <cell r="B11" t="str">
            <v>Kinarto</v>
          </cell>
          <cell r="C11" t="str">
            <v>Staff Procurement</v>
          </cell>
          <cell r="D11" t="str">
            <v>Joni Syam</v>
          </cell>
          <cell r="E11">
            <v>10</v>
          </cell>
          <cell r="F11">
            <v>8</v>
          </cell>
          <cell r="G11">
            <v>10</v>
          </cell>
          <cell r="H11">
            <v>10</v>
          </cell>
          <cell r="I11">
            <v>10</v>
          </cell>
          <cell r="J11">
            <v>10</v>
          </cell>
          <cell r="K11">
            <v>10</v>
          </cell>
          <cell r="L11">
            <v>10</v>
          </cell>
          <cell r="M11">
            <v>10</v>
          </cell>
          <cell r="N11">
            <v>10</v>
          </cell>
          <cell r="O11">
            <v>9.8</v>
          </cell>
          <cell r="P11" t="str">
            <v>Need more learn job how specially BQMS system. Need more learn english</v>
          </cell>
          <cell r="Q11">
            <v>42826</v>
          </cell>
          <cell r="R11">
            <v>5250000</v>
          </cell>
          <cell r="S11">
            <v>440000</v>
          </cell>
          <cell r="T11">
            <v>500000</v>
          </cell>
          <cell r="U11">
            <v>130000</v>
          </cell>
        </row>
        <row r="11">
          <cell r="X11">
            <v>4</v>
          </cell>
          <cell r="Y11">
            <v>5460000</v>
          </cell>
        </row>
        <row r="12">
          <cell r="B12" t="str">
            <v>Ana Hernawati</v>
          </cell>
          <cell r="C12" t="str">
            <v>Staff Procurement</v>
          </cell>
          <cell r="D12" t="str">
            <v>Joni Syam</v>
          </cell>
          <cell r="E12">
            <v>8</v>
          </cell>
          <cell r="F12">
            <v>8</v>
          </cell>
          <cell r="G12">
            <v>8</v>
          </cell>
          <cell r="H12">
            <v>10</v>
          </cell>
          <cell r="I12">
            <v>8</v>
          </cell>
          <cell r="J12">
            <v>6</v>
          </cell>
          <cell r="K12">
            <v>6</v>
          </cell>
          <cell r="L12">
            <v>8</v>
          </cell>
          <cell r="M12">
            <v>10</v>
          </cell>
          <cell r="N12">
            <v>10</v>
          </cell>
          <cell r="O12">
            <v>8.2</v>
          </cell>
          <cell r="P12" t="str">
            <v>Need more learn job how specially BQMS system. Need more learn english</v>
          </cell>
          <cell r="Q12">
            <v>43003</v>
          </cell>
          <cell r="R12">
            <v>5500000</v>
          </cell>
          <cell r="S12">
            <v>20000</v>
          </cell>
          <cell r="T12">
            <v>750000</v>
          </cell>
          <cell r="U12">
            <v>150000</v>
          </cell>
        </row>
        <row r="12">
          <cell r="X12">
            <v>4</v>
          </cell>
          <cell r="Y12">
            <v>5720000</v>
          </cell>
        </row>
        <row r="13">
          <cell r="B13" t="str">
            <v>Jati Teguh Prakarsa</v>
          </cell>
          <cell r="C13" t="str">
            <v>Staff Procurement</v>
          </cell>
          <cell r="D13" t="str">
            <v>Joni Syam</v>
          </cell>
          <cell r="E13">
            <v>10</v>
          </cell>
          <cell r="F13">
            <v>8</v>
          </cell>
          <cell r="G13">
            <v>10</v>
          </cell>
          <cell r="H13">
            <v>10</v>
          </cell>
          <cell r="I13">
            <v>10</v>
          </cell>
          <cell r="J13">
            <v>10</v>
          </cell>
          <cell r="K13">
            <v>10</v>
          </cell>
          <cell r="L13">
            <v>10</v>
          </cell>
          <cell r="M13">
            <v>10</v>
          </cell>
          <cell r="N13">
            <v>10</v>
          </cell>
          <cell r="O13">
            <v>9.8</v>
          </cell>
          <cell r="P13" t="str">
            <v>Improve leadership</v>
          </cell>
          <cell r="Q13">
            <v>42826</v>
          </cell>
          <cell r="R13">
            <v>4000000</v>
          </cell>
          <cell r="S13">
            <v>440000</v>
          </cell>
          <cell r="T13">
            <v>500000</v>
          </cell>
          <cell r="U13">
            <v>130000</v>
          </cell>
        </row>
        <row r="13">
          <cell r="X13">
            <v>7.5</v>
          </cell>
          <cell r="Y13">
            <v>4300000</v>
          </cell>
        </row>
        <row r="14">
          <cell r="B14" t="str">
            <v>Yahya</v>
          </cell>
          <cell r="C14" t="str">
            <v>Staff Procurement</v>
          </cell>
          <cell r="D14" t="str">
            <v>Joni Syam</v>
          </cell>
          <cell r="E14">
            <v>6</v>
          </cell>
          <cell r="F14">
            <v>8</v>
          </cell>
          <cell r="G14">
            <v>8</v>
          </cell>
          <cell r="H14">
            <v>8</v>
          </cell>
          <cell r="I14">
            <v>8</v>
          </cell>
          <cell r="J14">
            <v>8</v>
          </cell>
          <cell r="K14">
            <v>8</v>
          </cell>
          <cell r="L14">
            <v>6</v>
          </cell>
          <cell r="M14">
            <v>8</v>
          </cell>
          <cell r="N14">
            <v>10</v>
          </cell>
          <cell r="O14">
            <v>7.8</v>
          </cell>
          <cell r="P14" t="str">
            <v>Need more improve his initiative and attitude toward supervision. Need more learn job how especially BQMS system</v>
          </cell>
          <cell r="Q14">
            <v>42826</v>
          </cell>
          <cell r="R14">
            <v>3990000</v>
          </cell>
          <cell r="S14">
            <v>440000</v>
          </cell>
          <cell r="T14">
            <v>500000</v>
          </cell>
          <cell r="U14">
            <v>130000</v>
          </cell>
        </row>
        <row r="14">
          <cell r="X14">
            <v>7</v>
          </cell>
          <cell r="Y14">
            <v>4269300</v>
          </cell>
        </row>
        <row r="15">
          <cell r="B15" t="str">
            <v>Aji Dewaning Ranau</v>
          </cell>
          <cell r="C15" t="str">
            <v>Admin AV Channel Marketing</v>
          </cell>
          <cell r="D15" t="str">
            <v>Mila Likumahua / Vega Susatyo Adi</v>
          </cell>
          <cell r="E15">
            <v>6</v>
          </cell>
          <cell r="F15">
            <v>6</v>
          </cell>
          <cell r="G15">
            <v>8</v>
          </cell>
          <cell r="H15">
            <v>8</v>
          </cell>
          <cell r="I15">
            <v>8</v>
          </cell>
          <cell r="J15">
            <v>8</v>
          </cell>
          <cell r="K15">
            <v>8</v>
          </cell>
          <cell r="L15">
            <v>6</v>
          </cell>
          <cell r="M15">
            <v>6</v>
          </cell>
          <cell r="N15">
            <v>8</v>
          </cell>
          <cell r="O15">
            <v>7.2</v>
          </cell>
          <cell r="P15" t="str">
            <v>Need to improve speed in managing workload</v>
          </cell>
          <cell r="Q15">
            <v>42439</v>
          </cell>
          <cell r="R15">
            <v>11000000</v>
          </cell>
          <cell r="S15">
            <v>220000</v>
          </cell>
        </row>
        <row r="15">
          <cell r="X15">
            <v>3.5</v>
          </cell>
          <cell r="Y15">
            <v>11385000</v>
          </cell>
        </row>
        <row r="16">
          <cell r="B16" t="str">
            <v>Agam Gahara</v>
          </cell>
          <cell r="C16" t="str">
            <v>Warehouse &amp; Inventory Analysis</v>
          </cell>
          <cell r="D16" t="str">
            <v>Decky Iman Faisar</v>
          </cell>
          <cell r="E16">
            <v>8</v>
          </cell>
          <cell r="F16">
            <v>6</v>
          </cell>
          <cell r="G16">
            <v>6</v>
          </cell>
          <cell r="H16">
            <v>6</v>
          </cell>
          <cell r="I16">
            <v>6</v>
          </cell>
          <cell r="J16">
            <v>6</v>
          </cell>
          <cell r="K16">
            <v>6</v>
          </cell>
          <cell r="L16">
            <v>8</v>
          </cell>
          <cell r="M16">
            <v>6</v>
          </cell>
          <cell r="N16">
            <v>6</v>
          </cell>
          <cell r="O16">
            <v>6.4</v>
          </cell>
          <cell r="P16" t="str">
            <v>Has shown good initiative to handle the job because this are a new job allocation, and has performed well so far</v>
          </cell>
          <cell r="Q16">
            <v>43003</v>
          </cell>
          <cell r="R16">
            <v>3000000</v>
          </cell>
          <cell r="S16">
            <v>20000</v>
          </cell>
          <cell r="T16">
            <v>750000</v>
          </cell>
          <cell r="U16">
            <v>150000</v>
          </cell>
        </row>
        <row r="16">
          <cell r="X16">
            <v>2.5</v>
          </cell>
          <cell r="Y16">
            <v>3075000</v>
          </cell>
        </row>
        <row r="17">
          <cell r="B17" t="str">
            <v>Moch Anugrah Putro Banindyo</v>
          </cell>
          <cell r="C17" t="str">
            <v>Monitor PM</v>
          </cell>
          <cell r="D17" t="str">
            <v>Albert Susilo</v>
          </cell>
          <cell r="E17">
            <v>4</v>
          </cell>
          <cell r="F17">
            <v>6</v>
          </cell>
          <cell r="G17">
            <v>6</v>
          </cell>
          <cell r="H17">
            <v>6</v>
          </cell>
          <cell r="I17">
            <v>10</v>
          </cell>
          <cell r="J17">
            <v>10</v>
          </cell>
          <cell r="K17">
            <v>6</v>
          </cell>
          <cell r="L17">
            <v>6</v>
          </cell>
          <cell r="M17">
            <v>6</v>
          </cell>
          <cell r="N17">
            <v>6</v>
          </cell>
          <cell r="O17">
            <v>6.6</v>
          </cell>
          <cell r="P17" t="str">
            <v>A good assistant, but he need improve more about his job, he has to be initiative &amp; more careful when he got a job to do, he need learn more how to communicate with in &amp; ext to avoid miss communications</v>
          </cell>
          <cell r="Q17">
            <v>42940</v>
          </cell>
          <cell r="R17">
            <v>5000000</v>
          </cell>
          <cell r="S17">
            <v>20000</v>
          </cell>
          <cell r="T17">
            <v>500000</v>
          </cell>
          <cell r="U17">
            <v>150000</v>
          </cell>
        </row>
        <row r="17">
          <cell r="X17">
            <v>3</v>
          </cell>
          <cell r="Y17">
            <v>5150000</v>
          </cell>
        </row>
        <row r="18">
          <cell r="B18" t="str">
            <v>Ignatius Dimas Wardhana</v>
          </cell>
          <cell r="C18" t="str">
            <v>Marketing Sample Admin</v>
          </cell>
          <cell r="D18" t="str">
            <v>Kim Byung Doo</v>
          </cell>
          <cell r="E18">
            <v>8</v>
          </cell>
          <cell r="F18">
            <v>8</v>
          </cell>
          <cell r="G18">
            <v>8</v>
          </cell>
          <cell r="H18">
            <v>6</v>
          </cell>
          <cell r="I18">
            <v>8</v>
          </cell>
          <cell r="J18">
            <v>8</v>
          </cell>
          <cell r="K18">
            <v>8</v>
          </cell>
          <cell r="L18">
            <v>8</v>
          </cell>
          <cell r="M18">
            <v>8</v>
          </cell>
          <cell r="N18">
            <v>8</v>
          </cell>
          <cell r="O18">
            <v>7.8</v>
          </cell>
          <cell r="P18" t="str">
            <v>Loyal, diligent, good responsibility. Need improvement in Communications and Relation</v>
          </cell>
          <cell r="Q18">
            <v>42340</v>
          </cell>
          <cell r="R18">
            <v>3300000</v>
          </cell>
          <cell r="S18">
            <v>220000</v>
          </cell>
        </row>
        <row r="18">
          <cell r="X18">
            <v>4</v>
          </cell>
          <cell r="Y18">
            <v>3432000</v>
          </cell>
        </row>
        <row r="19">
          <cell r="B19" t="str">
            <v>Muhammad Adam Bachtiar</v>
          </cell>
          <cell r="C19" t="str">
            <v>DA Retail Planner</v>
          </cell>
          <cell r="D19" t="str">
            <v>Millatina</v>
          </cell>
          <cell r="E19">
            <v>8</v>
          </cell>
          <cell r="F19">
            <v>8</v>
          </cell>
          <cell r="G19">
            <v>8</v>
          </cell>
          <cell r="H19">
            <v>6</v>
          </cell>
          <cell r="I19">
            <v>8</v>
          </cell>
          <cell r="J19">
            <v>8</v>
          </cell>
          <cell r="K19">
            <v>10</v>
          </cell>
          <cell r="L19">
            <v>6</v>
          </cell>
          <cell r="M19">
            <v>8</v>
          </cell>
          <cell r="N19">
            <v>10</v>
          </cell>
          <cell r="O19">
            <v>8</v>
          </cell>
          <cell r="P19" t="str">
            <v>Due to satiffaction of his performance, recommend to increase his salary</v>
          </cell>
          <cell r="Q19">
            <v>42863</v>
          </cell>
          <cell r="R19">
            <v>12000000</v>
          </cell>
          <cell r="S19">
            <v>20000</v>
          </cell>
          <cell r="T19">
            <v>1300000</v>
          </cell>
          <cell r="U19">
            <v>150000</v>
          </cell>
        </row>
        <row r="19">
          <cell r="X19">
            <v>2</v>
          </cell>
          <cell r="Y19">
            <v>12240000</v>
          </cell>
        </row>
        <row r="20">
          <cell r="B20" t="str">
            <v>Intan Kartika Ariana</v>
          </cell>
          <cell r="C20" t="str">
            <v>Senior Staff</v>
          </cell>
          <cell r="D20" t="str">
            <v>Zuhri</v>
          </cell>
          <cell r="E20">
            <v>10</v>
          </cell>
          <cell r="F20">
            <v>8</v>
          </cell>
          <cell r="G20">
            <v>8</v>
          </cell>
          <cell r="H20">
            <v>8</v>
          </cell>
          <cell r="I20">
            <v>10</v>
          </cell>
          <cell r="J20">
            <v>10</v>
          </cell>
          <cell r="K20">
            <v>10</v>
          </cell>
          <cell r="L20">
            <v>10</v>
          </cell>
          <cell r="M20">
            <v>8</v>
          </cell>
          <cell r="N20">
            <v>10</v>
          </cell>
          <cell r="O20">
            <v>9.2</v>
          </cell>
        </row>
        <row r="20">
          <cell r="Q20">
            <v>42866</v>
          </cell>
          <cell r="R20">
            <v>4250000</v>
          </cell>
          <cell r="S20">
            <v>420000</v>
          </cell>
          <cell r="T20">
            <v>500000</v>
          </cell>
          <cell r="U20">
            <v>131250</v>
          </cell>
        </row>
        <row r="20">
          <cell r="X20">
            <v>4</v>
          </cell>
          <cell r="Y20">
            <v>4420000</v>
          </cell>
        </row>
        <row r="21">
          <cell r="B21" t="str">
            <v>Rizky Prastya Udipta</v>
          </cell>
          <cell r="C21" t="str">
            <v>Logistic Cost Controller</v>
          </cell>
          <cell r="D21" t="str">
            <v>Adi Putera / M. Azhar</v>
          </cell>
          <cell r="E21">
            <v>8</v>
          </cell>
          <cell r="F21">
            <v>6</v>
          </cell>
          <cell r="G21">
            <v>8</v>
          </cell>
          <cell r="H21">
            <v>8</v>
          </cell>
          <cell r="I21">
            <v>8</v>
          </cell>
          <cell r="J21">
            <v>8</v>
          </cell>
          <cell r="K21">
            <v>6</v>
          </cell>
          <cell r="L21">
            <v>8</v>
          </cell>
          <cell r="M21">
            <v>6</v>
          </cell>
          <cell r="N21">
            <v>10</v>
          </cell>
          <cell r="O21">
            <v>7.6</v>
          </cell>
        </row>
        <row r="21">
          <cell r="Q21">
            <v>42338</v>
          </cell>
          <cell r="R21">
            <v>7864500</v>
          </cell>
          <cell r="S21">
            <v>440000</v>
          </cell>
          <cell r="T21">
            <v>750000</v>
          </cell>
          <cell r="U21">
            <v>150000</v>
          </cell>
        </row>
        <row r="21">
          <cell r="X21">
            <v>3.5</v>
          </cell>
          <cell r="Y21">
            <v>8139757.5</v>
          </cell>
        </row>
        <row r="22">
          <cell r="B22" t="str">
            <v>Fredy Salim</v>
          </cell>
          <cell r="C22" t="str">
            <v>Sales DA Medan</v>
          </cell>
          <cell r="D22" t="str">
            <v>andi.laucua</v>
          </cell>
          <cell r="E22">
            <v>10</v>
          </cell>
          <cell r="F22">
            <v>10</v>
          </cell>
          <cell r="G22">
            <v>10</v>
          </cell>
          <cell r="H22">
            <v>10</v>
          </cell>
          <cell r="I22">
            <v>10</v>
          </cell>
          <cell r="J22">
            <v>10</v>
          </cell>
          <cell r="K22">
            <v>10</v>
          </cell>
          <cell r="L22">
            <v>10</v>
          </cell>
          <cell r="M22">
            <v>10</v>
          </cell>
          <cell r="N22">
            <v>10</v>
          </cell>
          <cell r="O22">
            <v>10</v>
          </cell>
          <cell r="P22" t="str">
            <v>Need more training for leadership skill</v>
          </cell>
          <cell r="Q22">
            <v>42800</v>
          </cell>
          <cell r="R22">
            <v>10000000</v>
          </cell>
          <cell r="S22">
            <v>13500</v>
          </cell>
          <cell r="T22">
            <v>750000</v>
          </cell>
          <cell r="U22">
            <v>300000</v>
          </cell>
        </row>
        <row r="22">
          <cell r="W22">
            <v>1650000</v>
          </cell>
          <cell r="X22">
            <v>4</v>
          </cell>
          <cell r="Y22">
            <v>10400000</v>
          </cell>
        </row>
        <row r="23">
          <cell r="B23" t="str">
            <v>Dodi Supriatna</v>
          </cell>
          <cell r="C23" t="str">
            <v>Infrastructure Management</v>
          </cell>
          <cell r="D23" t="str">
            <v>Leo Yuwono</v>
          </cell>
          <cell r="E23">
            <v>8</v>
          </cell>
          <cell r="F23">
            <v>8</v>
          </cell>
          <cell r="G23">
            <v>8</v>
          </cell>
          <cell r="H23">
            <v>8</v>
          </cell>
          <cell r="I23">
            <v>8</v>
          </cell>
          <cell r="J23">
            <v>8</v>
          </cell>
          <cell r="K23">
            <v>8</v>
          </cell>
          <cell r="L23">
            <v>8</v>
          </cell>
          <cell r="M23">
            <v>8</v>
          </cell>
          <cell r="N23">
            <v>8</v>
          </cell>
          <cell r="O23">
            <v>8</v>
          </cell>
          <cell r="P23" t="str">
            <v>Had shown excellent work, his discipline, initiative &amp; details are valuabe to our team. He is also able to bring his skills &amp; experiences from previous job, applied here in his role. Good work</v>
          </cell>
          <cell r="Q23">
            <v>42919</v>
          </cell>
          <cell r="R23">
            <v>10000000</v>
          </cell>
          <cell r="S23">
            <v>20000</v>
          </cell>
          <cell r="T23">
            <v>750000</v>
          </cell>
          <cell r="U23">
            <v>150000</v>
          </cell>
        </row>
        <row r="23">
          <cell r="X23">
            <v>4</v>
          </cell>
          <cell r="Y23">
            <v>10400000</v>
          </cell>
        </row>
        <row r="24">
          <cell r="B24" t="str">
            <v>Andi Ishak</v>
          </cell>
          <cell r="C24" t="str">
            <v>Staff</v>
          </cell>
          <cell r="D24" t="str">
            <v>Eko Prasetyo</v>
          </cell>
          <cell r="E24">
            <v>8</v>
          </cell>
          <cell r="F24">
            <v>6</v>
          </cell>
          <cell r="G24">
            <v>8</v>
          </cell>
          <cell r="H24">
            <v>8</v>
          </cell>
          <cell r="I24">
            <v>8</v>
          </cell>
          <cell r="J24">
            <v>8</v>
          </cell>
          <cell r="K24">
            <v>8</v>
          </cell>
          <cell r="L24">
            <v>10</v>
          </cell>
          <cell r="M24">
            <v>8</v>
          </cell>
          <cell r="N24">
            <v>8</v>
          </cell>
          <cell r="O24">
            <v>8</v>
          </cell>
          <cell r="P24" t="str">
            <v>Quite helpful in managed given task. With his previous experience and his current position and job role, all report &amp; invoicing administration is set up orderly manner. Beside that, he also take initiative and every responsible in handling his task</v>
          </cell>
          <cell r="Q24">
            <v>42958</v>
          </cell>
          <cell r="R24">
            <v>7250000</v>
          </cell>
          <cell r="S24">
            <v>20000</v>
          </cell>
          <cell r="T24">
            <v>500000</v>
          </cell>
          <cell r="U24">
            <v>150000</v>
          </cell>
        </row>
        <row r="24">
          <cell r="X24">
            <v>4</v>
          </cell>
          <cell r="Y24">
            <v>7540000</v>
          </cell>
        </row>
        <row r="25">
          <cell r="B25" t="str">
            <v>Nadya Oktivianita</v>
          </cell>
          <cell r="C25" t="str">
            <v>Staff-IM Activation</v>
          </cell>
          <cell r="D25" t="str">
            <v>Eko Prasetyo</v>
          </cell>
          <cell r="E25">
            <v>10</v>
          </cell>
          <cell r="F25">
            <v>8</v>
          </cell>
          <cell r="G25">
            <v>10</v>
          </cell>
          <cell r="H25">
            <v>8</v>
          </cell>
          <cell r="I25">
            <v>8</v>
          </cell>
          <cell r="J25">
            <v>8</v>
          </cell>
          <cell r="K25">
            <v>8</v>
          </cell>
          <cell r="L25">
            <v>10</v>
          </cell>
          <cell r="M25">
            <v>8</v>
          </cell>
          <cell r="N25">
            <v>10</v>
          </cell>
          <cell r="O25">
            <v>8.8</v>
          </cell>
          <cell r="P25" t="str">
            <v>The main strength is her detail in project management &amp; budgeting &amp; very attached to the given project. And also show great responsibility &amp; always try to achieved the highest productivity and it's delivered very well to the field team</v>
          </cell>
          <cell r="Q25">
            <v>42826</v>
          </cell>
          <cell r="R25">
            <v>6500000</v>
          </cell>
          <cell r="S25">
            <v>440000</v>
          </cell>
          <cell r="T25">
            <v>500000</v>
          </cell>
          <cell r="U25">
            <v>131250</v>
          </cell>
        </row>
        <row r="25">
          <cell r="X25">
            <v>4</v>
          </cell>
          <cell r="Y25">
            <v>6760000</v>
          </cell>
        </row>
        <row r="26">
          <cell r="B26" t="str">
            <v>Richard Florend Papilaya</v>
          </cell>
          <cell r="C26" t="str">
            <v>TA</v>
          </cell>
          <cell r="D26" t="str">
            <v>Anastasha Amelia</v>
          </cell>
          <cell r="E26">
            <v>10</v>
          </cell>
          <cell r="F26">
            <v>8</v>
          </cell>
          <cell r="G26">
            <v>10</v>
          </cell>
          <cell r="H26">
            <v>8</v>
          </cell>
          <cell r="I26">
            <v>10</v>
          </cell>
          <cell r="J26">
            <v>8</v>
          </cell>
          <cell r="K26">
            <v>8</v>
          </cell>
          <cell r="L26">
            <v>8</v>
          </cell>
          <cell r="M26">
            <v>8</v>
          </cell>
          <cell r="N26">
            <v>10</v>
          </cell>
          <cell r="O26">
            <v>8.8</v>
          </cell>
          <cell r="P26" t="str">
            <v>Has shown a good discipline and responsibility on the assignments given. He has patient, good candidates approach and experience which support his role. For the future growth, he needs to sharpen his strategic thinking, adapt with speed of work and changes and leadership. Stand for his opinion for better ways of working</v>
          </cell>
          <cell r="Q26">
            <v>42989</v>
          </cell>
          <cell r="R26">
            <v>42000000</v>
          </cell>
          <cell r="S26">
            <v>20000</v>
          </cell>
          <cell r="T26">
            <v>2600000</v>
          </cell>
          <cell r="U26">
            <v>250000</v>
          </cell>
        </row>
        <row r="26">
          <cell r="X26">
            <v>4</v>
          </cell>
          <cell r="Y26">
            <v>43680000</v>
          </cell>
        </row>
        <row r="27">
          <cell r="B27" t="str">
            <v>Arlingga Wirawan Jayasaputra</v>
          </cell>
          <cell r="C27" t="str">
            <v>FTR</v>
          </cell>
          <cell r="D27" t="str">
            <v>Faried S</v>
          </cell>
          <cell r="E27">
            <v>8</v>
          </cell>
          <cell r="F27">
            <v>8</v>
          </cell>
          <cell r="G27">
            <v>8</v>
          </cell>
          <cell r="H27">
            <v>8</v>
          </cell>
          <cell r="I27">
            <v>8</v>
          </cell>
          <cell r="J27">
            <v>8</v>
          </cell>
          <cell r="K27">
            <v>8</v>
          </cell>
          <cell r="L27">
            <v>10</v>
          </cell>
          <cell r="M27">
            <v>8</v>
          </cell>
          <cell r="N27">
            <v>8</v>
          </cell>
          <cell r="O27">
            <v>8.2</v>
          </cell>
          <cell r="P27" t="str">
            <v>Good knowledge, reliability, good attitude and good discipline</v>
          </cell>
          <cell r="Q27">
            <v>42962</v>
          </cell>
          <cell r="R27">
            <v>5793400</v>
          </cell>
          <cell r="S27">
            <v>20000</v>
          </cell>
          <cell r="T27">
            <v>500000</v>
          </cell>
          <cell r="U27">
            <v>150000</v>
          </cell>
        </row>
        <row r="27">
          <cell r="X27">
            <v>4</v>
          </cell>
          <cell r="Y27">
            <v>6025136</v>
          </cell>
        </row>
        <row r="28">
          <cell r="B28" t="str">
            <v>Shinta Henggaringtias Prabowo</v>
          </cell>
          <cell r="C28" t="str">
            <v>Staff Procurement</v>
          </cell>
          <cell r="D28" t="str">
            <v>Joni Syam</v>
          </cell>
          <cell r="E28">
            <v>8</v>
          </cell>
          <cell r="F28">
            <v>10</v>
          </cell>
          <cell r="G28">
            <v>10</v>
          </cell>
          <cell r="H28">
            <v>10</v>
          </cell>
          <cell r="I28">
            <v>8</v>
          </cell>
          <cell r="J28">
            <v>10</v>
          </cell>
          <cell r="K28">
            <v>10</v>
          </cell>
          <cell r="L28">
            <v>10</v>
          </cell>
          <cell r="M28">
            <v>10</v>
          </cell>
          <cell r="N28">
            <v>10</v>
          </cell>
          <cell r="O28">
            <v>9.6</v>
          </cell>
          <cell r="P28" t="str">
            <v>Need more learn job how specially BQMS system</v>
          </cell>
          <cell r="Q28">
            <v>42826</v>
          </cell>
          <cell r="R28">
            <v>4500000</v>
          </cell>
          <cell r="S28">
            <v>440000</v>
          </cell>
          <cell r="T28">
            <v>500000</v>
          </cell>
          <cell r="U28">
            <v>130000</v>
          </cell>
        </row>
        <row r="28">
          <cell r="X28">
            <v>4</v>
          </cell>
          <cell r="Y28">
            <v>4680000</v>
          </cell>
        </row>
        <row r="29">
          <cell r="B29" t="str">
            <v>Irma Suryani</v>
          </cell>
          <cell r="C29" t="str">
            <v>HCBP Support</v>
          </cell>
          <cell r="D29" t="str">
            <v>Dany Anastasha</v>
          </cell>
          <cell r="E29">
            <v>8</v>
          </cell>
          <cell r="F29">
            <v>6</v>
          </cell>
          <cell r="G29">
            <v>10</v>
          </cell>
          <cell r="H29">
            <v>10</v>
          </cell>
          <cell r="I29">
            <v>8</v>
          </cell>
          <cell r="J29">
            <v>8</v>
          </cell>
          <cell r="K29">
            <v>8</v>
          </cell>
          <cell r="L29">
            <v>8</v>
          </cell>
          <cell r="M29">
            <v>8</v>
          </cell>
          <cell r="N29">
            <v>8</v>
          </cell>
          <cell r="O29">
            <v>8.2</v>
          </cell>
          <cell r="P29" t="str">
            <v>Shows good initiative in doing her job. However she need to improve her english capabilities to support her role</v>
          </cell>
          <cell r="Q29">
            <v>42933</v>
          </cell>
          <cell r="R29">
            <v>5400000</v>
          </cell>
          <cell r="S29">
            <v>20000</v>
          </cell>
          <cell r="T29">
            <v>500000</v>
          </cell>
          <cell r="U29">
            <v>150000</v>
          </cell>
        </row>
        <row r="29">
          <cell r="X29">
            <v>4</v>
          </cell>
          <cell r="Y29">
            <v>5616000</v>
          </cell>
        </row>
        <row r="30">
          <cell r="B30" t="str">
            <v>Dewi Sulistiyowati</v>
          </cell>
          <cell r="C30" t="str">
            <v>IM Brand Activation</v>
          </cell>
          <cell r="D30" t="str">
            <v>Eko Prasetyo</v>
          </cell>
          <cell r="E30">
            <v>10</v>
          </cell>
          <cell r="F30">
            <v>8</v>
          </cell>
          <cell r="G30">
            <v>10</v>
          </cell>
          <cell r="H30">
            <v>8</v>
          </cell>
          <cell r="I30">
            <v>10</v>
          </cell>
          <cell r="J30">
            <v>8</v>
          </cell>
          <cell r="K30">
            <v>8</v>
          </cell>
          <cell r="L30">
            <v>8</v>
          </cell>
          <cell r="M30">
            <v>10</v>
          </cell>
          <cell r="N30">
            <v>10</v>
          </cell>
          <cell r="O30">
            <v>9</v>
          </cell>
          <cell r="P30" t="str">
            <v>The main strength of her is her attention to detail &amp; she is very attached to the given project. And also show great responsibility &amp; always try to achieved the highrst productivity &amp; it's deliveres very well to the field team</v>
          </cell>
          <cell r="Q30">
            <v>42982</v>
          </cell>
          <cell r="R30">
            <v>12500000</v>
          </cell>
          <cell r="S30">
            <v>20000</v>
          </cell>
          <cell r="T30">
            <v>750000</v>
          </cell>
          <cell r="U30">
            <v>150000</v>
          </cell>
        </row>
        <row r="30">
          <cell r="X30">
            <v>4</v>
          </cell>
          <cell r="Y30">
            <v>13000000</v>
          </cell>
        </row>
        <row r="31">
          <cell r="B31" t="str">
            <v>Achmad Wiyandani</v>
          </cell>
          <cell r="C31" t="str">
            <v>Retail Development Manager-East Region</v>
          </cell>
          <cell r="D31" t="str">
            <v>Yossie Harria Agung</v>
          </cell>
          <cell r="E31">
            <v>10</v>
          </cell>
          <cell r="F31">
            <v>10</v>
          </cell>
          <cell r="G31">
            <v>10</v>
          </cell>
          <cell r="H31">
            <v>8</v>
          </cell>
          <cell r="I31">
            <v>10</v>
          </cell>
          <cell r="J31">
            <v>10</v>
          </cell>
          <cell r="K31">
            <v>8</v>
          </cell>
          <cell r="L31">
            <v>10</v>
          </cell>
          <cell r="M31">
            <v>10</v>
          </cell>
          <cell r="N31">
            <v>10</v>
          </cell>
          <cell r="O31">
            <v>9.6</v>
          </cell>
          <cell r="P31" t="str">
            <v>Has given his outmost in his 2017 performance and exceed the initial expectation of Retail Development expansion plan. The result is highly acknowledge and appreciated by sales team and overall SEIN stakeholders, including all HODs. It is completely shown by Market Share and Sell Out growth in his region. He is also keen to details &amp; well manage his operation budget. He covered most of our agencies role, in order to deliver his KPIs. He needs to stay to work for Samsung, as his region has become more important in 2018.</v>
          </cell>
          <cell r="Q31">
            <v>42779</v>
          </cell>
          <cell r="R31">
            <v>17050000</v>
          </cell>
          <cell r="S31">
            <v>20000</v>
          </cell>
          <cell r="T31">
            <v>1300000</v>
          </cell>
          <cell r="U31">
            <v>150000</v>
          </cell>
        </row>
        <row r="31">
          <cell r="X31">
            <v>4</v>
          </cell>
          <cell r="Y31">
            <v>17732000</v>
          </cell>
        </row>
        <row r="32">
          <cell r="B32" t="str">
            <v>Rio Maretzky Al Mudatsir</v>
          </cell>
          <cell r="C32" t="str">
            <v>Retail Development Manager-Outer Islands Region</v>
          </cell>
          <cell r="D32" t="str">
            <v>Yossie Harria Agung</v>
          </cell>
          <cell r="E32">
            <v>10</v>
          </cell>
          <cell r="F32">
            <v>8</v>
          </cell>
          <cell r="G32">
            <v>10</v>
          </cell>
          <cell r="H32">
            <v>8</v>
          </cell>
          <cell r="I32">
            <v>10</v>
          </cell>
          <cell r="J32">
            <v>10</v>
          </cell>
          <cell r="K32">
            <v>10</v>
          </cell>
          <cell r="L32">
            <v>10</v>
          </cell>
          <cell r="M32">
            <v>10</v>
          </cell>
          <cell r="N32">
            <v>10</v>
          </cell>
          <cell r="O32">
            <v>9.6</v>
          </cell>
          <cell r="P32" t="str">
            <v>He is one of the key persons to go into details. He understands well on what he’s working on. His responsibility walks along his attitude to work with sales team and dealers. He delivered his target in time, aligned with the stakeholders’ expectations. We need Rio to continue managing his region in 2018.</v>
          </cell>
          <cell r="Q32">
            <v>42786</v>
          </cell>
          <cell r="R32">
            <v>17000000</v>
          </cell>
          <cell r="S32">
            <v>15000</v>
          </cell>
          <cell r="T32">
            <v>1300000</v>
          </cell>
          <cell r="U32">
            <v>150000</v>
          </cell>
        </row>
        <row r="32">
          <cell r="X32">
            <v>4</v>
          </cell>
          <cell r="Y32">
            <v>17680000</v>
          </cell>
        </row>
        <row r="33">
          <cell r="B33" t="str">
            <v>Thomas Madya Bestari</v>
          </cell>
          <cell r="C33" t="str">
            <v>Retail Development Manager-West Region</v>
          </cell>
          <cell r="D33" t="str">
            <v>Yossie Harria Agung</v>
          </cell>
          <cell r="E33">
            <v>10</v>
          </cell>
          <cell r="F33">
            <v>10</v>
          </cell>
          <cell r="G33">
            <v>10</v>
          </cell>
          <cell r="H33">
            <v>10</v>
          </cell>
          <cell r="I33">
            <v>8</v>
          </cell>
          <cell r="J33">
            <v>10</v>
          </cell>
          <cell r="K33">
            <v>8</v>
          </cell>
          <cell r="L33">
            <v>10</v>
          </cell>
          <cell r="M33">
            <v>10</v>
          </cell>
          <cell r="N33">
            <v>10</v>
          </cell>
          <cell r="O33">
            <v>9.6</v>
          </cell>
          <cell r="P33" t="str">
            <v>He has an outstanding retail development performance during 2017. His works has been acknowledged by most Head of Departments, as well as Vice President’s level. The trust from our sales team and partners gained easily by his humble approach, to win Samsung retail presence right at the targeted key dealers to push our sell out. The speed of execution has always the key factor for his performance. The only thing he might focus for next level is budget management. But overall, keeping him in my team would be a priority for 2018.</v>
          </cell>
          <cell r="Q33">
            <v>42795</v>
          </cell>
          <cell r="R33">
            <v>20000000</v>
          </cell>
          <cell r="S33">
            <v>13500</v>
          </cell>
          <cell r="T33">
            <v>1300000</v>
          </cell>
          <cell r="U33">
            <v>150000</v>
          </cell>
        </row>
        <row r="33">
          <cell r="X33">
            <v>4</v>
          </cell>
          <cell r="Y33">
            <v>20800000</v>
          </cell>
        </row>
        <row r="34">
          <cell r="B34" t="str">
            <v>Caesar Mujahid</v>
          </cell>
          <cell r="C34" t="str">
            <v>KAO Makassar</v>
          </cell>
          <cell r="D34" t="str">
            <v>Bondan Roemandi</v>
          </cell>
          <cell r="E34">
            <v>6</v>
          </cell>
          <cell r="F34">
            <v>8</v>
          </cell>
          <cell r="G34">
            <v>10</v>
          </cell>
          <cell r="H34">
            <v>8</v>
          </cell>
          <cell r="I34">
            <v>8</v>
          </cell>
          <cell r="J34">
            <v>8</v>
          </cell>
          <cell r="K34">
            <v>8</v>
          </cell>
          <cell r="L34">
            <v>6</v>
          </cell>
          <cell r="M34">
            <v>6</v>
          </cell>
          <cell r="N34">
            <v>8</v>
          </cell>
          <cell r="O34">
            <v>7.6</v>
          </cell>
          <cell r="P34" t="str">
            <v>Need account management training, continue contract for next period (1 year)</v>
          </cell>
          <cell r="Q34">
            <v>42979</v>
          </cell>
          <cell r="R34">
            <v>6500000</v>
          </cell>
          <cell r="S34">
            <v>15000</v>
          </cell>
          <cell r="T34">
            <v>750000</v>
          </cell>
          <cell r="U34">
            <v>315000</v>
          </cell>
        </row>
        <row r="34">
          <cell r="W34">
            <v>1650000</v>
          </cell>
          <cell r="X34">
            <v>3.5</v>
          </cell>
          <cell r="Y34">
            <v>6727500</v>
          </cell>
        </row>
        <row r="35">
          <cell r="B35" t="str">
            <v>Andrie Ranto Sitorus</v>
          </cell>
          <cell r="C35" t="str">
            <v>GA Staff</v>
          </cell>
          <cell r="D35" t="str">
            <v>Agustinus Nugraha</v>
          </cell>
          <cell r="E35">
            <v>8</v>
          </cell>
          <cell r="F35">
            <v>8</v>
          </cell>
          <cell r="G35">
            <v>6</v>
          </cell>
          <cell r="H35">
            <v>8</v>
          </cell>
          <cell r="I35">
            <v>8</v>
          </cell>
          <cell r="J35">
            <v>6</v>
          </cell>
          <cell r="K35">
            <v>6</v>
          </cell>
          <cell r="L35">
            <v>6</v>
          </cell>
          <cell r="M35">
            <v>6</v>
          </cell>
          <cell r="N35">
            <v>6</v>
          </cell>
          <cell r="O35">
            <v>6.8</v>
          </cell>
        </row>
        <row r="35">
          <cell r="Q35">
            <v>42569</v>
          </cell>
          <cell r="R35">
            <v>7500000</v>
          </cell>
          <cell r="S35">
            <v>220000</v>
          </cell>
          <cell r="T35" t="str">
            <v/>
          </cell>
          <cell r="U35" t="str">
            <v/>
          </cell>
        </row>
        <row r="35">
          <cell r="X35">
            <v>3.5</v>
          </cell>
          <cell r="Y35">
            <v>7762500</v>
          </cell>
        </row>
        <row r="36">
          <cell r="B36" t="str">
            <v>Ayu Septika Witriani</v>
          </cell>
          <cell r="C36" t="str">
            <v>Receptionist</v>
          </cell>
          <cell r="D36" t="str">
            <v>Christine Josephine</v>
          </cell>
          <cell r="E36">
            <v>8</v>
          </cell>
          <cell r="F36">
            <v>8</v>
          </cell>
          <cell r="G36">
            <v>8</v>
          </cell>
          <cell r="H36">
            <v>8</v>
          </cell>
          <cell r="I36">
            <v>6</v>
          </cell>
          <cell r="J36">
            <v>10</v>
          </cell>
          <cell r="K36">
            <v>6</v>
          </cell>
          <cell r="L36">
            <v>8</v>
          </cell>
          <cell r="M36">
            <v>8</v>
          </cell>
          <cell r="N36">
            <v>8</v>
          </cell>
          <cell r="O36">
            <v>7.8</v>
          </cell>
          <cell r="P36" t="str">
            <v>Has shown good performance, she can manage her tasks well. She needs to keep her good job</v>
          </cell>
          <cell r="Q36">
            <v>42275</v>
          </cell>
          <cell r="R36">
            <v>4320000</v>
          </cell>
          <cell r="S36">
            <v>220000</v>
          </cell>
          <cell r="T36" t="str">
            <v/>
          </cell>
          <cell r="U36" t="str">
            <v/>
          </cell>
        </row>
        <row r="36">
          <cell r="X36">
            <v>4</v>
          </cell>
          <cell r="Y36">
            <v>4492800</v>
          </cell>
        </row>
        <row r="37">
          <cell r="B37" t="str">
            <v>Putri Rizky Ramadhani</v>
          </cell>
          <cell r="C37" t="str">
            <v>Receptionist</v>
          </cell>
          <cell r="D37" t="str">
            <v>Christine Josephine</v>
          </cell>
          <cell r="E37">
            <v>6</v>
          </cell>
          <cell r="F37">
            <v>6</v>
          </cell>
          <cell r="G37">
            <v>8</v>
          </cell>
          <cell r="H37">
            <v>8</v>
          </cell>
          <cell r="I37">
            <v>6</v>
          </cell>
          <cell r="J37">
            <v>8</v>
          </cell>
          <cell r="K37">
            <v>6</v>
          </cell>
          <cell r="L37">
            <v>6</v>
          </cell>
          <cell r="M37">
            <v>6</v>
          </cell>
          <cell r="N37">
            <v>8</v>
          </cell>
          <cell r="O37">
            <v>6.8</v>
          </cell>
          <cell r="P37" t="str">
            <v>Has positive learn attitude. She want to listen and can be developed better. She has the potential to grow. She needs to manage her time better</v>
          </cell>
          <cell r="Q37">
            <v>42842</v>
          </cell>
          <cell r="R37">
            <v>3850000</v>
          </cell>
          <cell r="S37">
            <v>220000</v>
          </cell>
          <cell r="T37" t="str">
            <v/>
          </cell>
          <cell r="U37" t="str">
            <v/>
          </cell>
        </row>
        <row r="37">
          <cell r="X37">
            <v>2</v>
          </cell>
          <cell r="Y37">
            <v>3927000</v>
          </cell>
        </row>
        <row r="38">
          <cell r="B38" t="str">
            <v>Stephany Virginia Tanasa</v>
          </cell>
          <cell r="C38" t="str">
            <v>Assist. Manager-Marketing/EPP Business</v>
          </cell>
          <cell r="D38" t="str">
            <v>Hadi Wijaya</v>
          </cell>
          <cell r="E38">
            <v>10</v>
          </cell>
          <cell r="F38">
            <v>10</v>
          </cell>
          <cell r="G38">
            <v>10</v>
          </cell>
          <cell r="H38">
            <v>8</v>
          </cell>
          <cell r="I38">
            <v>10</v>
          </cell>
          <cell r="J38">
            <v>10</v>
          </cell>
          <cell r="K38">
            <v>10</v>
          </cell>
          <cell r="L38">
            <v>8</v>
          </cell>
          <cell r="M38">
            <v>8</v>
          </cell>
          <cell r="N38">
            <v>10</v>
          </cell>
          <cell r="O38">
            <v>9.4</v>
          </cell>
          <cell r="P38" t="str">
            <v>She has proven her self worth to our team. She has initiatives, loyal, discipline, very reliable, willing to learn and work really hard. She has become the key person to EPP project at SEIN (help scale the business from the beginning 0-100.000$ GMV per month)</v>
          </cell>
          <cell r="Q38">
            <v>42954</v>
          </cell>
          <cell r="R38">
            <v>14500000</v>
          </cell>
          <cell r="S38">
            <v>20000</v>
          </cell>
          <cell r="T38">
            <v>1300000</v>
          </cell>
          <cell r="U38">
            <v>315000</v>
          </cell>
        </row>
        <row r="38">
          <cell r="X38">
            <v>8</v>
          </cell>
          <cell r="Y38">
            <v>15660000</v>
          </cell>
        </row>
        <row r="39">
          <cell r="B39" t="str">
            <v>Wenny Kartika</v>
          </cell>
          <cell r="C39" t="str">
            <v>IM RE Strategy &amp; Planning Staff</v>
          </cell>
          <cell r="D39" t="str">
            <v>Leo H.M</v>
          </cell>
          <cell r="E39">
            <v>8</v>
          </cell>
          <cell r="F39">
            <v>8</v>
          </cell>
          <cell r="G39">
            <v>8</v>
          </cell>
          <cell r="H39">
            <v>6</v>
          </cell>
          <cell r="I39">
            <v>8</v>
          </cell>
          <cell r="J39">
            <v>8</v>
          </cell>
          <cell r="K39">
            <v>8</v>
          </cell>
          <cell r="L39">
            <v>8</v>
          </cell>
          <cell r="M39">
            <v>8</v>
          </cell>
          <cell r="N39">
            <v>10</v>
          </cell>
          <cell r="O39">
            <v>8</v>
          </cell>
          <cell r="P39" t="str">
            <v>Overall good performance. Need to try to do more things &amp; gain more experience &amp; more confidence</v>
          </cell>
          <cell r="Q39">
            <v>42850</v>
          </cell>
          <cell r="R39">
            <v>8000000</v>
          </cell>
          <cell r="S39">
            <v>20000</v>
          </cell>
          <cell r="T39">
            <v>1300000</v>
          </cell>
          <cell r="U39">
            <v>150000</v>
          </cell>
        </row>
        <row r="39">
          <cell r="X39">
            <v>4</v>
          </cell>
          <cell r="Y39">
            <v>8320000</v>
          </cell>
        </row>
        <row r="40">
          <cell r="B40" t="str">
            <v>Roma Gumalag</v>
          </cell>
          <cell r="C40" t="str">
            <v>KAO  </v>
          </cell>
          <cell r="D40" t="str">
            <v>Jemie Ronaldo</v>
          </cell>
          <cell r="E40">
            <v>8</v>
          </cell>
          <cell r="F40">
            <v>8</v>
          </cell>
          <cell r="G40">
            <v>8</v>
          </cell>
          <cell r="H40">
            <v>8</v>
          </cell>
          <cell r="I40">
            <v>8</v>
          </cell>
          <cell r="J40">
            <v>8</v>
          </cell>
          <cell r="K40">
            <v>8</v>
          </cell>
          <cell r="L40">
            <v>8</v>
          </cell>
          <cell r="M40">
            <v>8</v>
          </cell>
          <cell r="N40">
            <v>8</v>
          </cell>
          <cell r="O40">
            <v>8</v>
          </cell>
          <cell r="P40" t="str">
            <v>Secara keseluruhan memahami tugasnya, untuk beberapa kekurangan, mungkin harus ikut training</v>
          </cell>
          <cell r="Q40">
            <v>42947</v>
          </cell>
          <cell r="R40">
            <v>5000000</v>
          </cell>
          <cell r="S40">
            <v>15000</v>
          </cell>
          <cell r="T40">
            <v>750000</v>
          </cell>
          <cell r="U40">
            <v>315000</v>
          </cell>
        </row>
        <row r="40">
          <cell r="W40">
            <v>1650000</v>
          </cell>
          <cell r="X40">
            <v>4</v>
          </cell>
          <cell r="Y40">
            <v>5200000</v>
          </cell>
        </row>
        <row r="41">
          <cell r="B41" t="str">
            <v>Rahajeng Maheswari Ayuningtyas</v>
          </cell>
          <cell r="C41" t="str">
            <v>Trainer</v>
          </cell>
          <cell r="D41" t="str">
            <v>Ratu Ita Gopita</v>
          </cell>
          <cell r="E41">
            <v>8</v>
          </cell>
          <cell r="F41">
            <v>8</v>
          </cell>
          <cell r="G41">
            <v>8</v>
          </cell>
          <cell r="H41">
            <v>6</v>
          </cell>
          <cell r="I41">
            <v>2</v>
          </cell>
          <cell r="J41">
            <v>6</v>
          </cell>
          <cell r="K41">
            <v>8</v>
          </cell>
          <cell r="L41">
            <v>8</v>
          </cell>
          <cell r="M41">
            <v>6</v>
          </cell>
          <cell r="N41">
            <v>8</v>
          </cell>
          <cell r="O41">
            <v>6.8</v>
          </cell>
          <cell r="P41" t="str">
            <v>Need commitment and discipline improvement</v>
          </cell>
          <cell r="Q41">
            <v>42191</v>
          </cell>
          <cell r="R41">
            <v>6825000</v>
          </cell>
          <cell r="S41">
            <v>220000</v>
          </cell>
        </row>
        <row r="41">
          <cell r="X41">
            <v>2.5</v>
          </cell>
          <cell r="Y41">
            <v>6995625</v>
          </cell>
        </row>
        <row r="42">
          <cell r="B42" t="str">
            <v>Dery Ismantoro</v>
          </cell>
          <cell r="C42" t="str">
            <v>B2B SAC Engineer</v>
          </cell>
          <cell r="D42" t="str">
            <v>Basuki Siswo Utomo</v>
          </cell>
          <cell r="E42">
            <v>8</v>
          </cell>
          <cell r="F42">
            <v>6</v>
          </cell>
          <cell r="G42">
            <v>8</v>
          </cell>
          <cell r="H42">
            <v>8</v>
          </cell>
          <cell r="I42">
            <v>6</v>
          </cell>
          <cell r="J42">
            <v>8</v>
          </cell>
          <cell r="K42">
            <v>8</v>
          </cell>
          <cell r="L42">
            <v>8</v>
          </cell>
          <cell r="M42">
            <v>6</v>
          </cell>
          <cell r="N42">
            <v>8</v>
          </cell>
          <cell r="O42">
            <v>7.4</v>
          </cell>
          <cell r="P42" t="str">
            <v>Improve internal communication &amp; discipline. Be more proactive in organization</v>
          </cell>
          <cell r="Q42">
            <v>42779</v>
          </cell>
          <cell r="R42">
            <v>2800000</v>
          </cell>
          <cell r="S42">
            <v>420000</v>
          </cell>
          <cell r="T42">
            <v>700000</v>
          </cell>
          <cell r="U42">
            <v>131250</v>
          </cell>
        </row>
        <row r="42">
          <cell r="X42">
            <v>6</v>
          </cell>
          <cell r="Y42">
            <v>2968000</v>
          </cell>
        </row>
        <row r="43">
          <cell r="B43" t="str">
            <v>Yulianti Tiurma</v>
          </cell>
          <cell r="C43" t="str">
            <v>Supply Chain Management</v>
          </cell>
          <cell r="D43" t="str">
            <v>Lee Min Soo</v>
          </cell>
          <cell r="E43">
            <v>10</v>
          </cell>
          <cell r="F43">
            <v>10</v>
          </cell>
          <cell r="G43">
            <v>10</v>
          </cell>
          <cell r="H43">
            <v>10</v>
          </cell>
          <cell r="I43">
            <v>10</v>
          </cell>
          <cell r="J43">
            <v>10</v>
          </cell>
          <cell r="K43">
            <v>10</v>
          </cell>
          <cell r="L43">
            <v>10</v>
          </cell>
          <cell r="M43">
            <v>10</v>
          </cell>
          <cell r="N43">
            <v>10</v>
          </cell>
          <cell r="O43">
            <v>10</v>
          </cell>
          <cell r="P43" t="str">
            <v>Always try to work well with strong responsibility &amp; outstanding performance. Has a good attitude &amp; keep good relationship with co-workers</v>
          </cell>
          <cell r="Q43">
            <v>42674</v>
          </cell>
          <cell r="R43">
            <v>14000000</v>
          </cell>
          <cell r="S43">
            <v>20000</v>
          </cell>
          <cell r="T43">
            <v>1300000</v>
          </cell>
          <cell r="U43">
            <v>150000</v>
          </cell>
        </row>
        <row r="43">
          <cell r="X43">
            <v>4</v>
          </cell>
          <cell r="Y43">
            <v>14560000</v>
          </cell>
        </row>
        <row r="44">
          <cell r="B44" t="str">
            <v>Hansel Surya Wijaya</v>
          </cell>
          <cell r="C44" t="str">
            <v>E-Promotor Online</v>
          </cell>
          <cell r="D44" t="str">
            <v>Purnama Santy</v>
          </cell>
          <cell r="E44">
            <v>4</v>
          </cell>
          <cell r="F44">
            <v>4</v>
          </cell>
          <cell r="G44">
            <v>8</v>
          </cell>
          <cell r="H44">
            <v>6</v>
          </cell>
          <cell r="I44">
            <v>8</v>
          </cell>
          <cell r="J44">
            <v>8</v>
          </cell>
          <cell r="K44">
            <v>8</v>
          </cell>
          <cell r="L44">
            <v>8</v>
          </cell>
          <cell r="M44">
            <v>8</v>
          </cell>
          <cell r="N44">
            <v>6</v>
          </cell>
          <cell r="O44">
            <v>6.8</v>
          </cell>
          <cell r="P44" t="str">
            <v>Be more pro-active &amp; communicate clearly with needed detail etc. especially in conjunction &amp; developing the e-promotors projecta &amp; monitoring the performances</v>
          </cell>
          <cell r="Q44">
            <v>42867</v>
          </cell>
          <cell r="R44">
            <v>4000000</v>
          </cell>
          <cell r="S44">
            <v>20000</v>
          </cell>
          <cell r="T44">
            <v>500000</v>
          </cell>
          <cell r="U44">
            <v>131250</v>
          </cell>
        </row>
        <row r="44">
          <cell r="X44">
            <v>2.5</v>
          </cell>
          <cell r="Y44">
            <v>4100000</v>
          </cell>
        </row>
        <row r="45">
          <cell r="B45" t="str">
            <v>Roselyn Fiona</v>
          </cell>
          <cell r="C45" t="str">
            <v>Operations-B2B Market Intelligence</v>
          </cell>
          <cell r="D45" t="str">
            <v>Hadi Wijaya </v>
          </cell>
          <cell r="E45">
            <v>6</v>
          </cell>
          <cell r="F45">
            <v>8</v>
          </cell>
          <cell r="G45">
            <v>8</v>
          </cell>
          <cell r="H45">
            <v>6</v>
          </cell>
          <cell r="I45">
            <v>8</v>
          </cell>
          <cell r="J45">
            <v>8</v>
          </cell>
          <cell r="K45">
            <v>8</v>
          </cell>
          <cell r="L45">
            <v>6</v>
          </cell>
          <cell r="M45">
            <v>6</v>
          </cell>
          <cell r="N45">
            <v>10</v>
          </cell>
          <cell r="O45">
            <v>7.4</v>
          </cell>
          <cell r="P45" t="str">
            <v>She is a very good employee. Her discipline &amp; responsibility are excellent. Which has made her really reliable. We can always count on her although she's still considered a raw talent. But need someone to develop her</v>
          </cell>
          <cell r="Q45">
            <v>42905</v>
          </cell>
          <cell r="R45">
            <v>10000000</v>
          </cell>
          <cell r="S45">
            <v>20000</v>
          </cell>
          <cell r="T45">
            <v>500000</v>
          </cell>
          <cell r="U45">
            <v>131250</v>
          </cell>
        </row>
        <row r="45">
          <cell r="X45">
            <v>4</v>
          </cell>
          <cell r="Y45">
            <v>10400000</v>
          </cell>
        </row>
        <row r="46">
          <cell r="B46" t="str">
            <v>Muhammad Arif</v>
          </cell>
          <cell r="C46" t="str">
            <v>Procurement Staff</v>
          </cell>
          <cell r="D46" t="str">
            <v>Joni Syam</v>
          </cell>
          <cell r="E46">
            <v>10</v>
          </cell>
          <cell r="F46">
            <v>10</v>
          </cell>
          <cell r="G46">
            <v>10</v>
          </cell>
          <cell r="H46">
            <v>10</v>
          </cell>
          <cell r="I46">
            <v>10</v>
          </cell>
          <cell r="J46">
            <v>10</v>
          </cell>
          <cell r="K46">
            <v>10</v>
          </cell>
          <cell r="L46">
            <v>10</v>
          </cell>
          <cell r="M46">
            <v>10</v>
          </cell>
          <cell r="N46">
            <v>10</v>
          </cell>
          <cell r="O46">
            <v>10</v>
          </cell>
          <cell r="P46" t="str">
            <v>Please make salary increase 30%</v>
          </cell>
          <cell r="Q46">
            <v>42961</v>
          </cell>
          <cell r="R46">
            <v>3500000</v>
          </cell>
          <cell r="S46">
            <v>20000</v>
          </cell>
          <cell r="T46">
            <v>500000</v>
          </cell>
          <cell r="U46">
            <v>131250</v>
          </cell>
        </row>
        <row r="46">
          <cell r="X46">
            <v>4</v>
          </cell>
          <cell r="Y46">
            <v>3640000</v>
          </cell>
        </row>
        <row r="47">
          <cell r="B47" t="str">
            <v>Geaffary Aji Nugraha</v>
          </cell>
          <cell r="C47" t="str">
            <v>KAO</v>
          </cell>
          <cell r="D47" t="str">
            <v>Nayaka Buana</v>
          </cell>
          <cell r="E47">
            <v>6</v>
          </cell>
          <cell r="F47">
            <v>6</v>
          </cell>
          <cell r="G47">
            <v>8</v>
          </cell>
          <cell r="H47">
            <v>8</v>
          </cell>
          <cell r="I47">
            <v>8</v>
          </cell>
          <cell r="J47">
            <v>8</v>
          </cell>
          <cell r="K47">
            <v>8</v>
          </cell>
          <cell r="L47">
            <v>8</v>
          </cell>
          <cell r="M47">
            <v>6</v>
          </cell>
          <cell r="N47">
            <v>8</v>
          </cell>
          <cell r="O47">
            <v>7.4</v>
          </cell>
          <cell r="P47" t="str">
            <v>Good with operational thing. But since he's now as KAO, job function should not only for operational but also have to think strategically potential is there, but still need to be improved &amp; developed. For communication skill, he needs to know how to have a effective &amp; proper communication with supervisor, superior, partner or external. Still nedd to be guided &amp; developed regarding way of thinking, behaviour &amp; communication skill</v>
          </cell>
          <cell r="Q47">
            <v>42961</v>
          </cell>
          <cell r="R47">
            <v>5000000</v>
          </cell>
          <cell r="S47">
            <v>220000</v>
          </cell>
          <cell r="T47">
            <v>750000</v>
          </cell>
        </row>
        <row r="47">
          <cell r="X47">
            <v>3.5</v>
          </cell>
          <cell r="Y47">
            <v>5175000</v>
          </cell>
        </row>
        <row r="48">
          <cell r="B48" t="str">
            <v>Mohamad Budi Fitriansyah</v>
          </cell>
          <cell r="C48" t="str">
            <v>Retail Excellent</v>
          </cell>
          <cell r="D48" t="str">
            <v>Efan</v>
          </cell>
          <cell r="E48">
            <v>6</v>
          </cell>
          <cell r="F48">
            <v>8</v>
          </cell>
          <cell r="G48">
            <v>8</v>
          </cell>
          <cell r="H48">
            <v>10</v>
          </cell>
          <cell r="I48">
            <v>6</v>
          </cell>
          <cell r="J48">
            <v>8</v>
          </cell>
          <cell r="K48">
            <v>8</v>
          </cell>
          <cell r="L48">
            <v>6</v>
          </cell>
          <cell r="M48">
            <v>8</v>
          </cell>
          <cell r="N48">
            <v>8</v>
          </cell>
          <cell r="O48">
            <v>7.6</v>
          </cell>
          <cell r="P48" t="str">
            <v>Perbanyak inisiatif, jangan takut untuk propose ide baru ke team. Improve dari sisi know how &amp; skill excel, agar bisa bekerja lebih cepat &amp; efektif. Perdalam analisis &amp; sensing agar bisa menghasilkan action plan yang meaningful</v>
          </cell>
          <cell r="Q48">
            <v>42975</v>
          </cell>
          <cell r="R48">
            <v>8000000</v>
          </cell>
          <cell r="S48">
            <v>20000</v>
          </cell>
          <cell r="T48">
            <v>750000</v>
          </cell>
          <cell r="U48">
            <v>150000</v>
          </cell>
        </row>
        <row r="48">
          <cell r="X48">
            <v>3.5</v>
          </cell>
          <cell r="Y48">
            <v>8280000</v>
          </cell>
        </row>
        <row r="49">
          <cell r="B49" t="str">
            <v>Nisrina Tarisa Widarsa</v>
          </cell>
          <cell r="C49" t="str">
            <v>Retail Excellent</v>
          </cell>
          <cell r="D49" t="str">
            <v>Efan</v>
          </cell>
          <cell r="E49">
            <v>8</v>
          </cell>
          <cell r="F49">
            <v>8</v>
          </cell>
          <cell r="G49">
            <v>8</v>
          </cell>
          <cell r="H49">
            <v>10</v>
          </cell>
          <cell r="I49">
            <v>8</v>
          </cell>
          <cell r="J49">
            <v>8</v>
          </cell>
          <cell r="K49">
            <v>8</v>
          </cell>
          <cell r="L49">
            <v>6</v>
          </cell>
          <cell r="M49">
            <v>8</v>
          </cell>
          <cell r="N49">
            <v>8</v>
          </cell>
          <cell r="O49">
            <v>8</v>
          </cell>
          <cell r="P49" t="str">
            <v>Improve dari sisi know how &amp; skill excell dan PPT agar bisa bekerja lebih cepat &amp; efektif. Perdalam analisis &amp; sensing agar bisa menghasilkan action plan yang meaningful</v>
          </cell>
          <cell r="Q49">
            <v>42996</v>
          </cell>
          <cell r="R49">
            <v>7000000</v>
          </cell>
          <cell r="S49">
            <v>20000</v>
          </cell>
          <cell r="T49">
            <v>750000</v>
          </cell>
          <cell r="U49">
            <v>150000</v>
          </cell>
        </row>
        <row r="49">
          <cell r="X49">
            <v>4</v>
          </cell>
          <cell r="Y49">
            <v>7280000</v>
          </cell>
        </row>
        <row r="50">
          <cell r="B50" t="str">
            <v>Dedi Irwanto</v>
          </cell>
          <cell r="C50" t="str">
            <v>Web Specialist</v>
          </cell>
          <cell r="D50" t="str">
            <v>Ferez Yudha Buana</v>
          </cell>
          <cell r="E50">
            <v>8</v>
          </cell>
          <cell r="F50">
            <v>8</v>
          </cell>
          <cell r="G50">
            <v>8</v>
          </cell>
          <cell r="H50">
            <v>8</v>
          </cell>
          <cell r="I50">
            <v>8</v>
          </cell>
          <cell r="J50">
            <v>10</v>
          </cell>
          <cell r="K50">
            <v>8</v>
          </cell>
          <cell r="L50">
            <v>8</v>
          </cell>
          <cell r="M50">
            <v>8</v>
          </cell>
          <cell r="N50">
            <v>8</v>
          </cell>
          <cell r="O50">
            <v>8.2</v>
          </cell>
          <cell r="P50" t="str">
            <v>Good, keep it up</v>
          </cell>
          <cell r="Q50">
            <v>42758</v>
          </cell>
          <cell r="R50">
            <v>8000000</v>
          </cell>
          <cell r="S50">
            <v>420000</v>
          </cell>
          <cell r="T50">
            <v>500000</v>
          </cell>
          <cell r="U50">
            <v>125000</v>
          </cell>
        </row>
        <row r="50">
          <cell r="X50">
            <v>4</v>
          </cell>
          <cell r="Y50">
            <v>8320000</v>
          </cell>
        </row>
        <row r="51">
          <cell r="B51" t="str">
            <v>Felicia Nanda Ariesa</v>
          </cell>
          <cell r="C51" t="str">
            <v>Training Content &amp; Development</v>
          </cell>
          <cell r="D51" t="str">
            <v>Yadi Prayitno</v>
          </cell>
          <cell r="E51">
            <v>10</v>
          </cell>
          <cell r="F51">
            <v>10</v>
          </cell>
          <cell r="G51">
            <v>10</v>
          </cell>
          <cell r="H51">
            <v>10</v>
          </cell>
          <cell r="I51">
            <v>10</v>
          </cell>
          <cell r="J51">
            <v>10</v>
          </cell>
          <cell r="K51">
            <v>10</v>
          </cell>
          <cell r="L51">
            <v>10</v>
          </cell>
          <cell r="M51">
            <v>10</v>
          </cell>
          <cell r="N51">
            <v>10</v>
          </cell>
          <cell r="O51">
            <v>10</v>
          </cell>
          <cell r="P51" t="str">
            <v>Overall she shows a good performance in every task always complete and on time</v>
          </cell>
          <cell r="Q51">
            <v>42948</v>
          </cell>
          <cell r="R51">
            <v>6500000</v>
          </cell>
          <cell r="S51">
            <v>20000</v>
          </cell>
          <cell r="T51">
            <v>750000</v>
          </cell>
          <cell r="U51">
            <v>150000</v>
          </cell>
        </row>
        <row r="51">
          <cell r="X51">
            <v>4.5</v>
          </cell>
          <cell r="Y51">
            <v>6792500</v>
          </cell>
        </row>
        <row r="52">
          <cell r="B52" t="str">
            <v>Leonardo Christie</v>
          </cell>
          <cell r="C52" t="str">
            <v>Training Data Analyst</v>
          </cell>
          <cell r="D52" t="str">
            <v>Yadi Prayitno</v>
          </cell>
          <cell r="E52">
            <v>8</v>
          </cell>
          <cell r="F52">
            <v>8</v>
          </cell>
          <cell r="G52">
            <v>10</v>
          </cell>
          <cell r="H52">
            <v>8</v>
          </cell>
          <cell r="I52">
            <v>10</v>
          </cell>
          <cell r="J52">
            <v>8</v>
          </cell>
          <cell r="K52">
            <v>10</v>
          </cell>
          <cell r="L52">
            <v>10</v>
          </cell>
          <cell r="M52">
            <v>10</v>
          </cell>
          <cell r="N52">
            <v>10</v>
          </cell>
          <cell r="O52">
            <v>9.2</v>
          </cell>
          <cell r="P52" t="str">
            <v>Overall he shows a good performance every task always complete and on time</v>
          </cell>
          <cell r="Q52">
            <v>43005</v>
          </cell>
          <cell r="R52">
            <v>11000000</v>
          </cell>
          <cell r="S52">
            <v>20000</v>
          </cell>
          <cell r="T52">
            <v>1300000</v>
          </cell>
          <cell r="U52">
            <v>150000</v>
          </cell>
        </row>
        <row r="52">
          <cell r="X52">
            <v>4</v>
          </cell>
          <cell r="Y52">
            <v>11440000</v>
          </cell>
        </row>
        <row r="53">
          <cell r="B53" t="str">
            <v>Juang Sulung</v>
          </cell>
          <cell r="C53" t="str">
            <v>HHP Technical Support</v>
          </cell>
          <cell r="D53" t="str">
            <v>Cecep Setiawan</v>
          </cell>
          <cell r="E53">
            <v>8</v>
          </cell>
          <cell r="F53">
            <v>8</v>
          </cell>
          <cell r="G53">
            <v>8</v>
          </cell>
          <cell r="H53">
            <v>10</v>
          </cell>
          <cell r="I53">
            <v>10</v>
          </cell>
          <cell r="J53">
            <v>10</v>
          </cell>
          <cell r="K53">
            <v>10</v>
          </cell>
          <cell r="L53">
            <v>10</v>
          </cell>
          <cell r="M53">
            <v>10</v>
          </cell>
          <cell r="N53">
            <v>8</v>
          </cell>
          <cell r="O53">
            <v>9.2</v>
          </cell>
        </row>
        <row r="53">
          <cell r="Q53">
            <v>42646</v>
          </cell>
          <cell r="R53">
            <v>5000000</v>
          </cell>
          <cell r="S53">
            <v>20000</v>
          </cell>
          <cell r="T53">
            <v>750000</v>
          </cell>
          <cell r="U53">
            <v>150000</v>
          </cell>
        </row>
        <row r="53">
          <cell r="X53">
            <v>4</v>
          </cell>
          <cell r="Y53">
            <v>5200000</v>
          </cell>
        </row>
        <row r="54">
          <cell r="B54" t="str">
            <v>Ahmad Syarif</v>
          </cell>
          <cell r="C54" t="str">
            <v>Technical Support Coordinator</v>
          </cell>
          <cell r="D54" t="str">
            <v>Cecep Setiawan</v>
          </cell>
          <cell r="E54">
            <v>8</v>
          </cell>
          <cell r="F54">
            <v>8</v>
          </cell>
          <cell r="G54">
            <v>8</v>
          </cell>
          <cell r="H54">
            <v>8</v>
          </cell>
          <cell r="I54">
            <v>8</v>
          </cell>
          <cell r="J54">
            <v>8</v>
          </cell>
          <cell r="K54">
            <v>8</v>
          </cell>
          <cell r="L54">
            <v>8</v>
          </cell>
          <cell r="M54">
            <v>8</v>
          </cell>
          <cell r="N54">
            <v>8</v>
          </cell>
          <cell r="O54">
            <v>8</v>
          </cell>
        </row>
        <row r="54">
          <cell r="Q54">
            <v>42989</v>
          </cell>
          <cell r="R54">
            <v>11000000</v>
          </cell>
          <cell r="S54">
            <v>20000</v>
          </cell>
          <cell r="T54">
            <v>1300000</v>
          </cell>
          <cell r="U54">
            <v>150000</v>
          </cell>
        </row>
        <row r="54">
          <cell r="X54">
            <v>4</v>
          </cell>
          <cell r="Y54">
            <v>11440000</v>
          </cell>
        </row>
        <row r="55">
          <cell r="B55" t="str">
            <v>Ismail Fauzan  Hoeruman</v>
          </cell>
          <cell r="C55" t="str">
            <v>AV Technical Support</v>
          </cell>
          <cell r="D55" t="str">
            <v>Cecep Setiawan</v>
          </cell>
          <cell r="E55">
            <v>6</v>
          </cell>
          <cell r="F55">
            <v>8</v>
          </cell>
          <cell r="G55">
            <v>8</v>
          </cell>
          <cell r="H55">
            <v>8</v>
          </cell>
          <cell r="I55">
            <v>8</v>
          </cell>
          <cell r="J55">
            <v>8</v>
          </cell>
          <cell r="K55">
            <v>8</v>
          </cell>
          <cell r="L55">
            <v>8</v>
          </cell>
          <cell r="M55">
            <v>8</v>
          </cell>
          <cell r="N55">
            <v>6</v>
          </cell>
          <cell r="O55">
            <v>7.6</v>
          </cell>
        </row>
        <row r="55">
          <cell r="Q55">
            <v>42850</v>
          </cell>
          <cell r="R55">
            <v>3200000</v>
          </cell>
          <cell r="S55">
            <v>20000</v>
          </cell>
          <cell r="T55">
            <v>500000</v>
          </cell>
          <cell r="U55">
            <v>131250</v>
          </cell>
        </row>
        <row r="55">
          <cell r="X55">
            <v>3.5</v>
          </cell>
          <cell r="Y55">
            <v>3312000</v>
          </cell>
        </row>
        <row r="56">
          <cell r="B56" t="str">
            <v>Erwin Budiono</v>
          </cell>
          <cell r="C56" t="str">
            <v>IM Trainer Assist. Manager</v>
          </cell>
          <cell r="D56" t="str">
            <v>Yadi Prayitno</v>
          </cell>
          <cell r="E56">
            <v>10</v>
          </cell>
          <cell r="F56">
            <v>10</v>
          </cell>
          <cell r="G56">
            <v>10</v>
          </cell>
          <cell r="H56">
            <v>8</v>
          </cell>
          <cell r="I56">
            <v>10</v>
          </cell>
          <cell r="J56">
            <v>10</v>
          </cell>
          <cell r="K56">
            <v>10</v>
          </cell>
          <cell r="L56">
            <v>8</v>
          </cell>
          <cell r="M56">
            <v>10</v>
          </cell>
          <cell r="N56">
            <v>10</v>
          </cell>
          <cell r="O56">
            <v>9.6</v>
          </cell>
          <cell r="P56" t="str">
            <v>Memberikan dan menjalankan pekerjaan dengan baik. Team yang ada juga sudah diberikan pengarahan dan pemahaman yang lebih baik dari sebelumnya. Komunikasi dengan team lainnya harus ditingkatkan</v>
          </cell>
          <cell r="Q56">
            <v>42751</v>
          </cell>
          <cell r="R56">
            <v>15000000</v>
          </cell>
          <cell r="S56">
            <v>20000</v>
          </cell>
          <cell r="T56">
            <v>1300000</v>
          </cell>
          <cell r="U56">
            <v>150000</v>
          </cell>
        </row>
        <row r="56">
          <cell r="X56">
            <v>4</v>
          </cell>
          <cell r="Y56">
            <v>15600000</v>
          </cell>
        </row>
        <row r="57">
          <cell r="B57" t="str">
            <v>Aldino Satrio Widodo</v>
          </cell>
          <cell r="C57" t="str">
            <v>Content &amp; Trainer</v>
          </cell>
          <cell r="D57" t="str">
            <v>Yadi Prayitno</v>
          </cell>
          <cell r="E57">
            <v>10</v>
          </cell>
          <cell r="F57">
            <v>10</v>
          </cell>
          <cell r="G57">
            <v>10</v>
          </cell>
          <cell r="H57">
            <v>8</v>
          </cell>
          <cell r="I57">
            <v>10</v>
          </cell>
          <cell r="J57">
            <v>8</v>
          </cell>
          <cell r="K57">
            <v>10</v>
          </cell>
          <cell r="L57">
            <v>10</v>
          </cell>
          <cell r="M57">
            <v>10</v>
          </cell>
          <cell r="N57">
            <v>10</v>
          </cell>
          <cell r="O57">
            <v>9.6</v>
          </cell>
          <cell r="P57" t="str">
            <v>Secara keseluruhan sudah memberikan dan menyelesaikan pekerjaannya dengan baik. Hanya ada beberapa yang harus ditingkatkan komunikasi dengan team lainnya</v>
          </cell>
          <cell r="Q57">
            <v>42569</v>
          </cell>
          <cell r="R57">
            <v>6000000</v>
          </cell>
          <cell r="S57">
            <v>220000</v>
          </cell>
          <cell r="T57" t="str">
            <v/>
          </cell>
          <cell r="U57" t="str">
            <v/>
          </cell>
        </row>
        <row r="57">
          <cell r="X57">
            <v>4</v>
          </cell>
          <cell r="Y57">
            <v>6240000</v>
          </cell>
        </row>
        <row r="58">
          <cell r="B58" t="str">
            <v>Apri Satria MR</v>
          </cell>
          <cell r="C58" t="str">
            <v>CS Regional Officer/Palembang</v>
          </cell>
          <cell r="D58" t="str">
            <v>Trihadi Nugroho</v>
          </cell>
          <cell r="E58">
            <v>8</v>
          </cell>
          <cell r="F58">
            <v>8</v>
          </cell>
          <cell r="G58">
            <v>8</v>
          </cell>
          <cell r="H58">
            <v>8</v>
          </cell>
          <cell r="I58">
            <v>8</v>
          </cell>
          <cell r="J58">
            <v>8</v>
          </cell>
          <cell r="K58">
            <v>8</v>
          </cell>
          <cell r="L58">
            <v>8</v>
          </cell>
          <cell r="M58">
            <v>8</v>
          </cell>
          <cell r="N58">
            <v>8</v>
          </cell>
          <cell r="O58">
            <v>8</v>
          </cell>
        </row>
        <row r="58">
          <cell r="Q58">
            <v>43066</v>
          </cell>
          <cell r="R58">
            <v>2580660</v>
          </cell>
          <cell r="S58">
            <v>15000</v>
          </cell>
          <cell r="T58">
            <v>500000</v>
          </cell>
          <cell r="U58">
            <v>150000</v>
          </cell>
        </row>
        <row r="58">
          <cell r="X58">
            <v>6</v>
          </cell>
          <cell r="Y58">
            <v>2735500</v>
          </cell>
        </row>
        <row r="59">
          <cell r="B59" t="str">
            <v>Eko Budi Satria</v>
          </cell>
          <cell r="C59" t="str">
            <v>CS Regional Officer/Bandung</v>
          </cell>
          <cell r="D59" t="str">
            <v>Trihadi Nugroho</v>
          </cell>
          <cell r="E59">
            <v>8</v>
          </cell>
          <cell r="F59">
            <v>8</v>
          </cell>
          <cell r="G59">
            <v>8</v>
          </cell>
          <cell r="H59">
            <v>8</v>
          </cell>
          <cell r="I59">
            <v>8</v>
          </cell>
          <cell r="J59">
            <v>8</v>
          </cell>
          <cell r="K59">
            <v>8</v>
          </cell>
          <cell r="L59">
            <v>8</v>
          </cell>
          <cell r="M59">
            <v>8</v>
          </cell>
          <cell r="N59">
            <v>8</v>
          </cell>
          <cell r="O59">
            <v>8</v>
          </cell>
        </row>
        <row r="59">
          <cell r="Q59">
            <v>43066</v>
          </cell>
          <cell r="R59">
            <v>2972856</v>
          </cell>
          <cell r="S59">
            <v>14000</v>
          </cell>
          <cell r="T59">
            <v>750000</v>
          </cell>
          <cell r="U59">
            <v>150000</v>
          </cell>
        </row>
        <row r="59">
          <cell r="X59">
            <v>6</v>
          </cell>
          <cell r="Y59">
            <v>3151227</v>
          </cell>
        </row>
        <row r="60">
          <cell r="B60" t="str">
            <v>Eka Trilestari Rajabiyah</v>
          </cell>
          <cell r="C60" t="str">
            <v>IM Activation Staff</v>
          </cell>
          <cell r="D60" t="str">
            <v>Vebbyna Kaunang</v>
          </cell>
          <cell r="E60">
            <v>10</v>
          </cell>
          <cell r="F60">
            <v>8</v>
          </cell>
          <cell r="G60">
            <v>8</v>
          </cell>
          <cell r="H60">
            <v>10</v>
          </cell>
          <cell r="I60">
            <v>10</v>
          </cell>
          <cell r="J60">
            <v>10</v>
          </cell>
          <cell r="K60">
            <v>8</v>
          </cell>
          <cell r="L60">
            <v>10</v>
          </cell>
          <cell r="M60">
            <v>8</v>
          </cell>
          <cell r="N60">
            <v>10</v>
          </cell>
          <cell r="O60">
            <v>9.2</v>
          </cell>
          <cell r="P60" t="str">
            <v>Eka has shown super performance in her daily work in</v>
          </cell>
          <cell r="Q60">
            <v>42338</v>
          </cell>
          <cell r="R60">
            <v>4119500</v>
          </cell>
          <cell r="S60">
            <v>220000</v>
          </cell>
        </row>
        <row r="60">
          <cell r="X60">
            <v>4</v>
          </cell>
          <cell r="Y60">
            <v>4284280</v>
          </cell>
        </row>
        <row r="61">
          <cell r="P61" t="str">
            <v>supporting all administration for IM Marketing. Very </v>
          </cell>
        </row>
        <row r="62">
          <cell r="P62" t="str">
            <v>responsibel in her task and show great discipline.</v>
          </cell>
        </row>
        <row r="63">
          <cell r="B63" t="str">
            <v>Ridho Haryson</v>
          </cell>
          <cell r="C63" t="str">
            <v>FF Budget</v>
          </cell>
          <cell r="D63" t="str">
            <v>Yadi Prayitno</v>
          </cell>
          <cell r="E63">
            <v>8</v>
          </cell>
          <cell r="F63">
            <v>8</v>
          </cell>
          <cell r="G63">
            <v>10</v>
          </cell>
          <cell r="H63">
            <v>10</v>
          </cell>
          <cell r="I63">
            <v>8</v>
          </cell>
          <cell r="J63">
            <v>10</v>
          </cell>
          <cell r="K63">
            <v>10</v>
          </cell>
          <cell r="L63">
            <v>10</v>
          </cell>
          <cell r="M63">
            <v>8</v>
          </cell>
          <cell r="N63">
            <v>10</v>
          </cell>
          <cell r="O63">
            <v>9.2</v>
          </cell>
          <cell r="P63" t="str">
            <v>Has come valuable member to the team and provide good performance. Has sells and good attitude. Combine with good determine prove that achiving every task &amp; goals. </v>
          </cell>
          <cell r="Q63" t="str">
            <v>11 Agus 17</v>
          </cell>
          <cell r="R63">
            <v>11300000</v>
          </cell>
          <cell r="S63">
            <v>20000</v>
          </cell>
          <cell r="T63">
            <v>750000</v>
          </cell>
          <cell r="U63">
            <v>150000</v>
          </cell>
        </row>
        <row r="63">
          <cell r="X63">
            <v>4</v>
          </cell>
          <cell r="Y63">
            <v>11752000</v>
          </cell>
        </row>
        <row r="64">
          <cell r="B64" t="str">
            <v>Adnan Ismail</v>
          </cell>
          <cell r="C64" t="str">
            <v>Information System Management Senior Staff</v>
          </cell>
          <cell r="D64" t="str">
            <v>Riki K.</v>
          </cell>
          <cell r="E64">
            <v>8</v>
          </cell>
          <cell r="F64">
            <v>8</v>
          </cell>
          <cell r="G64">
            <v>8</v>
          </cell>
          <cell r="H64">
            <v>8</v>
          </cell>
          <cell r="I64">
            <v>8</v>
          </cell>
          <cell r="J64">
            <v>8</v>
          </cell>
          <cell r="K64">
            <v>8</v>
          </cell>
          <cell r="L64">
            <v>8</v>
          </cell>
          <cell r="M64">
            <v>8</v>
          </cell>
          <cell r="N64">
            <v>8</v>
          </cell>
          <cell r="O64">
            <v>8</v>
          </cell>
          <cell r="P64" t="str">
            <v>Remove to IndoHR per 1 Mar '18 from IMS. First join at SEIN 11 Jul 2017</v>
          </cell>
          <cell r="Q64">
            <v>43143</v>
          </cell>
          <cell r="R64">
            <v>6500000</v>
          </cell>
          <cell r="S64">
            <v>220000</v>
          </cell>
        </row>
        <row r="64">
          <cell r="X64">
            <v>4</v>
          </cell>
          <cell r="Y64">
            <v>6760000</v>
          </cell>
        </row>
        <row r="65">
          <cell r="B65" t="str">
            <v>Ade Arial Sandi</v>
          </cell>
          <cell r="C65" t="str">
            <v>Visual Display Planner</v>
          </cell>
          <cell r="D65" t="str">
            <v>Andriyawan DS</v>
          </cell>
          <cell r="E65">
            <v>8</v>
          </cell>
          <cell r="F65">
            <v>10</v>
          </cell>
          <cell r="G65">
            <v>10</v>
          </cell>
          <cell r="H65">
            <v>10</v>
          </cell>
          <cell r="I65">
            <v>8</v>
          </cell>
          <cell r="J65">
            <v>10</v>
          </cell>
          <cell r="K65">
            <v>8</v>
          </cell>
          <cell r="L65">
            <v>10</v>
          </cell>
          <cell r="M65">
            <v>10</v>
          </cell>
          <cell r="N65">
            <v>10</v>
          </cell>
          <cell r="O65">
            <v>9.4</v>
          </cell>
          <cell r="P65" t="str">
            <v>Need adjusment regarding new job desc</v>
          </cell>
          <cell r="Q65" t="str">
            <v>11 Agu 16</v>
          </cell>
          <cell r="R65">
            <v>11500000</v>
          </cell>
          <cell r="S65">
            <v>20000</v>
          </cell>
          <cell r="T65">
            <v>1300000</v>
          </cell>
          <cell r="U65">
            <v>150000</v>
          </cell>
        </row>
        <row r="65">
          <cell r="X65">
            <v>4.5</v>
          </cell>
          <cell r="Y65">
            <v>12017500</v>
          </cell>
        </row>
        <row r="66">
          <cell r="B66" t="str">
            <v>Mario Wahyu Haposan</v>
          </cell>
          <cell r="C66" t="str">
            <v>IM Retail Brand Marketing</v>
          </cell>
          <cell r="D66" t="str">
            <v>Prasti</v>
          </cell>
          <cell r="E66">
            <v>10</v>
          </cell>
          <cell r="F66">
            <v>8</v>
          </cell>
          <cell r="G66">
            <v>10</v>
          </cell>
          <cell r="H66">
            <v>10</v>
          </cell>
          <cell r="I66">
            <v>8</v>
          </cell>
          <cell r="J66">
            <v>10</v>
          </cell>
          <cell r="K66">
            <v>8</v>
          </cell>
          <cell r="L66">
            <v>10</v>
          </cell>
          <cell r="M66">
            <v>8</v>
          </cell>
          <cell r="N66">
            <v>10</v>
          </cell>
          <cell r="O66">
            <v>9.2</v>
          </cell>
          <cell r="P66" t="str">
            <v>Has demonstrated commitment towards his work. Always takes innitiative and able to communicate with vendors &amp; internal team to get the job done in timely manner. Always bring ideas &amp; open feedback. He learns a lot in work org &amp; excel goals.</v>
          </cell>
          <cell r="Q66">
            <v>42982</v>
          </cell>
          <cell r="R66">
            <v>11000000</v>
          </cell>
          <cell r="S66">
            <v>20000</v>
          </cell>
          <cell r="T66">
            <v>1300000</v>
          </cell>
          <cell r="U66">
            <v>315000</v>
          </cell>
        </row>
        <row r="66">
          <cell r="X66">
            <v>4</v>
          </cell>
          <cell r="Y66">
            <v>11440000</v>
          </cell>
        </row>
        <row r="67">
          <cell r="B67" t="str">
            <v>Trifo Meinorys</v>
          </cell>
          <cell r="C67" t="str">
            <v>Salesman Secondary Padang</v>
          </cell>
          <cell r="D67" t="str">
            <v>Suparno</v>
          </cell>
          <cell r="E67">
            <v>8</v>
          </cell>
          <cell r="F67">
            <v>8</v>
          </cell>
          <cell r="G67">
            <v>8</v>
          </cell>
          <cell r="H67">
            <v>8</v>
          </cell>
          <cell r="I67">
            <v>8</v>
          </cell>
          <cell r="J67">
            <v>8</v>
          </cell>
          <cell r="K67">
            <v>8</v>
          </cell>
          <cell r="L67">
            <v>8</v>
          </cell>
          <cell r="M67">
            <v>8</v>
          </cell>
          <cell r="N67">
            <v>6</v>
          </cell>
          <cell r="O67">
            <v>7.8</v>
          </cell>
        </row>
        <row r="67">
          <cell r="Q67">
            <v>42835</v>
          </cell>
          <cell r="R67">
            <v>3500000</v>
          </cell>
          <cell r="S67">
            <v>13500</v>
          </cell>
          <cell r="T67">
            <v>750000</v>
          </cell>
          <cell r="U67">
            <v>315000</v>
          </cell>
        </row>
        <row r="67">
          <cell r="X67">
            <v>3</v>
          </cell>
          <cell r="Y67">
            <v>3605000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 Type="http://schemas.openxmlformats.org/officeDocument/2006/relationships/hyperlink" Target="mailto:anursetiawan134@gmail.com" TargetMode="External"/><Relationship Id="rId98" Type="http://schemas.openxmlformats.org/officeDocument/2006/relationships/hyperlink" Target="mailto:GALANGYURI@GMAIL.COM" TargetMode="External"/><Relationship Id="rId97" Type="http://schemas.openxmlformats.org/officeDocument/2006/relationships/hyperlink" Target="mailto:aidilhandriandamanik@gmail.com" TargetMode="External"/><Relationship Id="rId96" Type="http://schemas.openxmlformats.org/officeDocument/2006/relationships/hyperlink" Target="mailto:syafrizal009@gmail.com" TargetMode="External"/><Relationship Id="rId95" Type="http://schemas.openxmlformats.org/officeDocument/2006/relationships/hyperlink" Target="mailto:muh.saltut@gmail.com" TargetMode="External"/><Relationship Id="rId94" Type="http://schemas.openxmlformats.org/officeDocument/2006/relationships/hyperlink" Target="mailto:rohembae123@gmail.com" TargetMode="External"/><Relationship Id="rId93" Type="http://schemas.openxmlformats.org/officeDocument/2006/relationships/hyperlink" Target="mailto:eko18afriyanto@gmail.com" TargetMode="External"/><Relationship Id="rId92" Type="http://schemas.openxmlformats.org/officeDocument/2006/relationships/hyperlink" Target="mailto:bustanil1985@gmail.com" TargetMode="External"/><Relationship Id="rId91" Type="http://schemas.openxmlformats.org/officeDocument/2006/relationships/hyperlink" Target="mailto:fithraritonga@gmail.com" TargetMode="External"/><Relationship Id="rId90" Type="http://schemas.openxmlformats.org/officeDocument/2006/relationships/hyperlink" Target="mailto:danuyusfireza@gmail.com" TargetMode="External"/><Relationship Id="rId9" Type="http://schemas.openxmlformats.org/officeDocument/2006/relationships/hyperlink" Target="mailto:andry.hidayat95@gmail.com" TargetMode="External"/><Relationship Id="rId89" Type="http://schemas.openxmlformats.org/officeDocument/2006/relationships/hyperlink" Target="mailto:bennysyahputra246@gmail.com" TargetMode="External"/><Relationship Id="rId88" Type="http://schemas.openxmlformats.org/officeDocument/2006/relationships/hyperlink" Target="mailto:defio7823@gmail.com" TargetMode="External"/><Relationship Id="rId87" Type="http://schemas.openxmlformats.org/officeDocument/2006/relationships/hyperlink" Target="mailto:dian.sandiana87@gmail.com" TargetMode="External"/><Relationship Id="rId86" Type="http://schemas.openxmlformats.org/officeDocument/2006/relationships/hyperlink" Target="mailto:Benicorong@gmail.com" TargetMode="External"/><Relationship Id="rId85" Type="http://schemas.openxmlformats.org/officeDocument/2006/relationships/hyperlink" Target="mailto:Akhdakusuma@yahoo.com" TargetMode="External"/><Relationship Id="rId84" Type="http://schemas.openxmlformats.org/officeDocument/2006/relationships/hyperlink" Target="mailto:ukarnation420@gmail.com" TargetMode="External"/><Relationship Id="rId83" Type="http://schemas.openxmlformats.org/officeDocument/2006/relationships/hyperlink" Target="mailto:adeaprisetyawan@gmail.com" TargetMode="External"/><Relationship Id="rId82" Type="http://schemas.openxmlformats.org/officeDocument/2006/relationships/hyperlink" Target="mailto:zihadzulkarnain@gmail.com" TargetMode="External"/><Relationship Id="rId81" Type="http://schemas.openxmlformats.org/officeDocument/2006/relationships/hyperlink" Target="mailto:ratuloly.faisal@gmail.com" TargetMode="External"/><Relationship Id="rId80" Type="http://schemas.openxmlformats.org/officeDocument/2006/relationships/hyperlink" Target="mailto:dwipa.buana@gmail.com" TargetMode="External"/><Relationship Id="rId8" Type="http://schemas.openxmlformats.org/officeDocument/2006/relationships/hyperlink" Target="mailto:mas.azis95@gmail.com" TargetMode="External"/><Relationship Id="rId79" Type="http://schemas.openxmlformats.org/officeDocument/2006/relationships/hyperlink" Target="mailto:Abhusalim@gmail.com" TargetMode="External"/><Relationship Id="rId78" Type="http://schemas.openxmlformats.org/officeDocument/2006/relationships/hyperlink" Target="mailto:ronifadly88405@gmail.com" TargetMode="External"/><Relationship Id="rId77" Type="http://schemas.openxmlformats.org/officeDocument/2006/relationships/hyperlink" Target="mailto:ms.prasetyo04@gmail.com" TargetMode="External"/><Relationship Id="rId76" Type="http://schemas.openxmlformats.org/officeDocument/2006/relationships/hyperlink" Target="mailto:Jokolasmana2@gmail.com" TargetMode="External"/><Relationship Id="rId75" Type="http://schemas.openxmlformats.org/officeDocument/2006/relationships/hyperlink" Target="mailto:idrul.najri@yahoo.com" TargetMode="External"/><Relationship Id="rId74" Type="http://schemas.openxmlformats.org/officeDocument/2006/relationships/hyperlink" Target="mailto:imamregar5@gmail.com" TargetMode="External"/><Relationship Id="rId73" Type="http://schemas.openxmlformats.org/officeDocument/2006/relationships/hyperlink" Target="mailto:putratamboen67@gmail.com" TargetMode="External"/><Relationship Id="rId72" Type="http://schemas.openxmlformats.org/officeDocument/2006/relationships/hyperlink" Target="mailto:sarjidiyanto@gmail.com" TargetMode="External"/><Relationship Id="rId71" Type="http://schemas.openxmlformats.org/officeDocument/2006/relationships/hyperlink" Target="mailto:arikin.e3a@gmail.com" TargetMode="External"/><Relationship Id="rId70" Type="http://schemas.openxmlformats.org/officeDocument/2006/relationships/hyperlink" Target="mailto:rusdihariadi1212naya@gmail.com" TargetMode="External"/><Relationship Id="rId7" Type="http://schemas.openxmlformats.org/officeDocument/2006/relationships/hyperlink" Target="mailto:erwinevodia22marbun@gmail.com" TargetMode="External"/><Relationship Id="rId69" Type="http://schemas.openxmlformats.org/officeDocument/2006/relationships/hyperlink" Target="mailto:parisonehansyari@gmail.com" TargetMode="External"/><Relationship Id="rId68" Type="http://schemas.openxmlformats.org/officeDocument/2006/relationships/hyperlink" Target="mailto:mhd.nasrul@gmail.com" TargetMode="External"/><Relationship Id="rId67" Type="http://schemas.openxmlformats.org/officeDocument/2006/relationships/hyperlink" Target="mailto:khairil010101@gmail.com" TargetMode="External"/><Relationship Id="rId66" Type="http://schemas.openxmlformats.org/officeDocument/2006/relationships/hyperlink" Target="mailto:andrefebriansyah1992@gmail.com" TargetMode="External"/><Relationship Id="rId65" Type="http://schemas.openxmlformats.org/officeDocument/2006/relationships/hyperlink" Target="mailto:abymifthahhussalam23@gmail.com" TargetMode="External"/><Relationship Id="rId64" Type="http://schemas.openxmlformats.org/officeDocument/2006/relationships/hyperlink" Target="mailto:uditbox@gmail.com" TargetMode="External"/><Relationship Id="rId63" Type="http://schemas.openxmlformats.org/officeDocument/2006/relationships/hyperlink" Target="mailto:Ariez.ajee@gmail.com" TargetMode="External"/><Relationship Id="rId62" Type="http://schemas.openxmlformats.org/officeDocument/2006/relationships/hyperlink" Target="mailto:tinomusmulyadi85@gmail.com" TargetMode="External"/><Relationship Id="rId61" Type="http://schemas.openxmlformats.org/officeDocument/2006/relationships/hyperlink" Target="mailto:citraeliisabet@gmail.com" TargetMode="External"/><Relationship Id="rId60" Type="http://schemas.openxmlformats.org/officeDocument/2006/relationships/hyperlink" Target="mailto:dadang.syp@gmail.com" TargetMode="External"/><Relationship Id="rId6" Type="http://schemas.openxmlformats.org/officeDocument/2006/relationships/hyperlink" Target="mailto:brekele_agoes@yahoo.co.id" TargetMode="External"/><Relationship Id="rId59" Type="http://schemas.openxmlformats.org/officeDocument/2006/relationships/hyperlink" Target="mailto:wahyujurianto123@gmail.com" TargetMode="External"/><Relationship Id="rId58" Type="http://schemas.openxmlformats.org/officeDocument/2006/relationships/hyperlink" Target="mailto:b.drysmile@gmail.com" TargetMode="External"/><Relationship Id="rId57" Type="http://schemas.openxmlformats.org/officeDocument/2006/relationships/hyperlink" Target="mailto:rismadewi139@gmail.com" TargetMode="External"/><Relationship Id="rId56" Type="http://schemas.openxmlformats.org/officeDocument/2006/relationships/hyperlink" Target="mailto:abayazah@gmail.com" TargetMode="External"/><Relationship Id="rId55" Type="http://schemas.openxmlformats.org/officeDocument/2006/relationships/hyperlink" Target="mailto:didinmahmudin99@yahoo.com" TargetMode="External"/><Relationship Id="rId54" Type="http://schemas.openxmlformats.org/officeDocument/2006/relationships/hyperlink" Target="mailto:ikha.girsang@gmail.com" TargetMode="External"/><Relationship Id="rId53" Type="http://schemas.openxmlformats.org/officeDocument/2006/relationships/hyperlink" Target="mailto:Oniboccis945@gmail.com;" TargetMode="External"/><Relationship Id="rId52" Type="http://schemas.openxmlformats.org/officeDocument/2006/relationships/hyperlink" Target="mailto:adityawarmangci@gmail.com" TargetMode="External"/><Relationship Id="rId51" Type="http://schemas.openxmlformats.org/officeDocument/2006/relationships/hyperlink" Target="mailto:andri.joe88@gmail.com" TargetMode="External"/><Relationship Id="rId50" Type="http://schemas.openxmlformats.org/officeDocument/2006/relationships/hyperlink" Target="mailto:suciati.yunita21@gmail.com" TargetMode="External"/><Relationship Id="rId5" Type="http://schemas.openxmlformats.org/officeDocument/2006/relationships/hyperlink" Target="mailto:Mohammadkhoir89@gmail.com" TargetMode="External"/><Relationship Id="rId49" Type="http://schemas.openxmlformats.org/officeDocument/2006/relationships/hyperlink" Target="mailto:abayazali@gmail.com" TargetMode="External"/><Relationship Id="rId48" Type="http://schemas.openxmlformats.org/officeDocument/2006/relationships/hyperlink" Target="mailto:ilham.panjaitan70@yahoo.com" TargetMode="External"/><Relationship Id="rId47" Type="http://schemas.openxmlformats.org/officeDocument/2006/relationships/hyperlink" Target="mailto:achmadrizkiantor@gmail.com" TargetMode="External"/><Relationship Id="rId46" Type="http://schemas.openxmlformats.org/officeDocument/2006/relationships/hyperlink" Target="mailto:Willi1982.via@gmail.com" TargetMode="External"/><Relationship Id="rId45" Type="http://schemas.openxmlformats.org/officeDocument/2006/relationships/hyperlink" Target="mailto:rafli.farichi01@gmail.com" TargetMode="External"/><Relationship Id="rId44" Type="http://schemas.openxmlformats.org/officeDocument/2006/relationships/hyperlink" Target="mailto:zainrahman258@gmail.com" TargetMode="External"/><Relationship Id="rId43" Type="http://schemas.openxmlformats.org/officeDocument/2006/relationships/hyperlink" Target="mailto:panjiputra2001@gmail.com" TargetMode="External"/><Relationship Id="rId42" Type="http://schemas.openxmlformats.org/officeDocument/2006/relationships/hyperlink" Target="mailto:alinasution42@gmail.com" TargetMode="External"/><Relationship Id="rId41" Type="http://schemas.openxmlformats.org/officeDocument/2006/relationships/hyperlink" Target="mailto:msjumadi@gmail.com" TargetMode="External"/><Relationship Id="rId40" Type="http://schemas.openxmlformats.org/officeDocument/2006/relationships/hyperlink" Target="mailto:sa4511614@gmail.com" TargetMode="External"/><Relationship Id="rId4" Type="http://schemas.openxmlformats.org/officeDocument/2006/relationships/hyperlink" Target="mailto:safiiimam627@gmail.com" TargetMode="External"/><Relationship Id="rId39" Type="http://schemas.openxmlformats.org/officeDocument/2006/relationships/hyperlink" Target="mailto:Vanthus@Engineer.com" TargetMode="External"/><Relationship Id="rId38" Type="http://schemas.openxmlformats.org/officeDocument/2006/relationships/hyperlink" Target="mailto:bobby.ir4w4n@gmail.com" TargetMode="External"/><Relationship Id="rId37" Type="http://schemas.openxmlformats.org/officeDocument/2006/relationships/hyperlink" Target="mailto:mubarakbarak097@gmail.com" TargetMode="External"/><Relationship Id="rId36" Type="http://schemas.openxmlformats.org/officeDocument/2006/relationships/hyperlink" Target="mailto:riduwan.rez4@gmail.com" TargetMode="External"/><Relationship Id="rId35" Type="http://schemas.openxmlformats.org/officeDocument/2006/relationships/hyperlink" Target="mailto:bahari.ard03@gmail.com" TargetMode="External"/><Relationship Id="rId34" Type="http://schemas.openxmlformats.org/officeDocument/2006/relationships/hyperlink" Target="mailto:adilhuawei89@gmail.com" TargetMode="External"/><Relationship Id="rId33" Type="http://schemas.openxmlformats.org/officeDocument/2006/relationships/hyperlink" Target="mailto:eyiebatara@gmail.com" TargetMode="External"/><Relationship Id="rId32" Type="http://schemas.openxmlformats.org/officeDocument/2006/relationships/hyperlink" Target="mailto:ganendrabraja09@gmail.com" TargetMode="External"/><Relationship Id="rId31" Type="http://schemas.openxmlformats.org/officeDocument/2006/relationships/hyperlink" Target="mailto:ksukadi3@gmail.com" TargetMode="External"/><Relationship Id="rId30" Type="http://schemas.openxmlformats.org/officeDocument/2006/relationships/hyperlink" Target="mailto:syaifulbahri253@gmail.com" TargetMode="External"/><Relationship Id="rId3" Type="http://schemas.openxmlformats.org/officeDocument/2006/relationships/hyperlink" Target="mailto:satria.adjieputri@gmail.com" TargetMode="External"/><Relationship Id="rId29" Type="http://schemas.openxmlformats.org/officeDocument/2006/relationships/hyperlink" Target="mailto:fernandosingarimbun118@gmail.com" TargetMode="External"/><Relationship Id="rId28" Type="http://schemas.openxmlformats.org/officeDocument/2006/relationships/hyperlink" Target="mailto:dian.hariyadi76@gmail.com" TargetMode="External"/><Relationship Id="rId27" Type="http://schemas.openxmlformats.org/officeDocument/2006/relationships/hyperlink" Target="mailto:marnus160@gmail.com" TargetMode="External"/><Relationship Id="rId26" Type="http://schemas.openxmlformats.org/officeDocument/2006/relationships/hyperlink" Target="mailto:seno.doank99@gmail.com" TargetMode="External"/><Relationship Id="rId25" Type="http://schemas.openxmlformats.org/officeDocument/2006/relationships/hyperlink" Target="mailto:hairulhadi20@gmail.com" TargetMode="External"/><Relationship Id="rId24" Type="http://schemas.openxmlformats.org/officeDocument/2006/relationships/hyperlink" Target="mailto:abilslow21@gmail.com" TargetMode="External"/><Relationship Id="rId23" Type="http://schemas.openxmlformats.org/officeDocument/2006/relationships/hyperlink" Target="mailto:Muttaqin_DJ@yahoo.com" TargetMode="External"/><Relationship Id="rId22" Type="http://schemas.openxmlformats.org/officeDocument/2006/relationships/hyperlink" Target="mailto:candra_wibawa89@yahoo.co.id" TargetMode="External"/><Relationship Id="rId21" Type="http://schemas.openxmlformats.org/officeDocument/2006/relationships/hyperlink" Target="mailto:Ramdanimunggahari415@gmail.com" TargetMode="External"/><Relationship Id="rId20" Type="http://schemas.openxmlformats.org/officeDocument/2006/relationships/hyperlink" Target="mailto:zulkifliptk5@gmail.com" TargetMode="External"/><Relationship Id="rId2" Type="http://schemas.openxmlformats.org/officeDocument/2006/relationships/vmlDrawing" Target="../drawings/vmlDrawing1.vml"/><Relationship Id="rId19" Type="http://schemas.openxmlformats.org/officeDocument/2006/relationships/hyperlink" Target="mailto:WAWAN.GCT@GMAIL.COM" TargetMode="External"/><Relationship Id="rId18" Type="http://schemas.openxmlformats.org/officeDocument/2006/relationships/hyperlink" Target="mailto:azhar.dirgantara@gmail.com" TargetMode="External"/><Relationship Id="rId17" Type="http://schemas.openxmlformats.org/officeDocument/2006/relationships/hyperlink" Target="mailto:DJAMIANACHMAD@GMAIL.COM" TargetMode="External"/><Relationship Id="rId16" Type="http://schemas.openxmlformats.org/officeDocument/2006/relationships/hyperlink" Target="mailto:adryhubeth87@gmail.com" TargetMode="External"/><Relationship Id="rId15" Type="http://schemas.openxmlformats.org/officeDocument/2006/relationships/hyperlink" Target="mailto:gustiirman66@gmail.com" TargetMode="External"/><Relationship Id="rId14" Type="http://schemas.openxmlformats.org/officeDocument/2006/relationships/hyperlink" Target="mailto:wendaara2@gmail.com" TargetMode="External"/><Relationship Id="rId13" Type="http://schemas.openxmlformats.org/officeDocument/2006/relationships/hyperlink" Target="mailto:ywak77@gmail.com" TargetMode="External"/><Relationship Id="rId126" Type="http://schemas.openxmlformats.org/officeDocument/2006/relationships/hyperlink" Target="mailto:REZKI.FAHRIZA@YAHOO.COM" TargetMode="External"/><Relationship Id="rId125" Type="http://schemas.openxmlformats.org/officeDocument/2006/relationships/hyperlink" Target="mailto:langitsadhewa88@gmail.com" TargetMode="External"/><Relationship Id="rId124" Type="http://schemas.openxmlformats.org/officeDocument/2006/relationships/hyperlink" Target="mailto:saputra.bungsu557@gmail.com" TargetMode="External"/><Relationship Id="rId123" Type="http://schemas.openxmlformats.org/officeDocument/2006/relationships/hyperlink" Target="mailto:akbaraydi@gmail.com" TargetMode="External"/><Relationship Id="rId122" Type="http://schemas.openxmlformats.org/officeDocument/2006/relationships/hyperlink" Target="mailto:salsyabilac.f@gmail.com" TargetMode="External"/><Relationship Id="rId121" Type="http://schemas.openxmlformats.org/officeDocument/2006/relationships/hyperlink" Target="mailto:Aidilwaris21@gmail.com" TargetMode="External"/><Relationship Id="rId120" Type="http://schemas.openxmlformats.org/officeDocument/2006/relationships/hyperlink" Target="mailto:rianhidayat931989@gmail.com" TargetMode="External"/><Relationship Id="rId12" Type="http://schemas.openxmlformats.org/officeDocument/2006/relationships/hyperlink" Target="mailto:tll386277@gmail.com" TargetMode="External"/><Relationship Id="rId119" Type="http://schemas.openxmlformats.org/officeDocument/2006/relationships/hyperlink" Target="mailto:bahranjamil66@gmail.com" TargetMode="External"/><Relationship Id="rId118" Type="http://schemas.openxmlformats.org/officeDocument/2006/relationships/hyperlink" Target="mailto:arie.bhocah@gmail.com" TargetMode="External"/><Relationship Id="rId117" Type="http://schemas.openxmlformats.org/officeDocument/2006/relationships/hyperlink" Target="mailto:hadi.supian@gmail.com" TargetMode="External"/><Relationship Id="rId116" Type="http://schemas.openxmlformats.org/officeDocument/2006/relationships/hyperlink" Target="mailto:kinahbunny@yahoo.co.id" TargetMode="External"/><Relationship Id="rId115" Type="http://schemas.openxmlformats.org/officeDocument/2006/relationships/hyperlink" Target="mailto:idanaditia@gmail.com" TargetMode="External"/><Relationship Id="rId114" Type="http://schemas.openxmlformats.org/officeDocument/2006/relationships/hyperlink" Target="mailto:durahman999@gmail.com" TargetMode="External"/><Relationship Id="rId113" Type="http://schemas.openxmlformats.org/officeDocument/2006/relationships/hyperlink" Target="mailto:supry29091991@gmail.com" TargetMode="External"/><Relationship Id="rId112" Type="http://schemas.openxmlformats.org/officeDocument/2006/relationships/hyperlink" Target="mailto:rizno.ahmad@gmail.com" TargetMode="External"/><Relationship Id="rId111" Type="http://schemas.openxmlformats.org/officeDocument/2006/relationships/hyperlink" Target="mailto:sukma_arie@ymail.com" TargetMode="External"/><Relationship Id="rId110" Type="http://schemas.openxmlformats.org/officeDocument/2006/relationships/hyperlink" Target="mailto:ihsan.muhammad21@yahoo.com" TargetMode="External"/><Relationship Id="rId11" Type="http://schemas.openxmlformats.org/officeDocument/2006/relationships/hyperlink" Target="mailto:argaputra300995@gmail.com" TargetMode="External"/><Relationship Id="rId109" Type="http://schemas.openxmlformats.org/officeDocument/2006/relationships/hyperlink" Target="mailto:syaiful.sajja@gmail.com" TargetMode="External"/><Relationship Id="rId108" Type="http://schemas.openxmlformats.org/officeDocument/2006/relationships/hyperlink" Target="mailto:harzansm@gmail.com" TargetMode="External"/><Relationship Id="rId107" Type="http://schemas.openxmlformats.org/officeDocument/2006/relationships/hyperlink" Target="mailto:choinam1130@gmail.com" TargetMode="External"/><Relationship Id="rId106" Type="http://schemas.openxmlformats.org/officeDocument/2006/relationships/hyperlink" Target="mailto:arif.lsm2017@gmail.com" TargetMode="External"/><Relationship Id="rId105" Type="http://schemas.openxmlformats.org/officeDocument/2006/relationships/hyperlink" Target="mailto:fatoni46hidayat@gmail.com" TargetMode="External"/><Relationship Id="rId104" Type="http://schemas.openxmlformats.org/officeDocument/2006/relationships/hyperlink" Target="mailto:ervinpipin@gmail.com" TargetMode="External"/><Relationship Id="rId103" Type="http://schemas.openxmlformats.org/officeDocument/2006/relationships/hyperlink" Target="mailto:almiebahar@gmail.com" TargetMode="External"/><Relationship Id="rId102" Type="http://schemas.openxmlformats.org/officeDocument/2006/relationships/hyperlink" Target="mailto:ssafari513@gmail.com" TargetMode="External"/><Relationship Id="rId101" Type="http://schemas.openxmlformats.org/officeDocument/2006/relationships/hyperlink" Target="mailto:andybimq7x@gmail.com" TargetMode="External"/><Relationship Id="rId100" Type="http://schemas.openxmlformats.org/officeDocument/2006/relationships/hyperlink" Target="mailto:Silalahimidian27@gmail.com" TargetMode="External"/><Relationship Id="rId10" Type="http://schemas.openxmlformats.org/officeDocument/2006/relationships/hyperlink" Target="mailto:fandirohmat999@gmail.com" TargetMode="Externa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6" Type="http://schemas.openxmlformats.org/officeDocument/2006/relationships/hyperlink" Target="mailto:humamalif9@gmail.com" TargetMode="External"/><Relationship Id="rId5" Type="http://schemas.openxmlformats.org/officeDocument/2006/relationships/hyperlink" Target="mailto:haloho.sugi@gmail.com" TargetMode="External"/><Relationship Id="rId4" Type="http://schemas.openxmlformats.org/officeDocument/2006/relationships/hyperlink" Target="mailto:always.sendy88@gmail.com" TargetMode="External"/><Relationship Id="rId3" Type="http://schemas.openxmlformats.org/officeDocument/2006/relationships/hyperlink" Target="mailto:roy.suzman@gmail.com"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8" Type="http://schemas.openxmlformats.org/officeDocument/2006/relationships/hyperlink" Target="mailto:evelindasigalingging@yahoo.com" TargetMode="External"/><Relationship Id="rId7" Type="http://schemas.openxmlformats.org/officeDocument/2006/relationships/hyperlink" Target="mailto:loginto_firman@yahoo.co.id" TargetMode="External"/><Relationship Id="rId6" Type="http://schemas.openxmlformats.org/officeDocument/2006/relationships/hyperlink" Target="mailto:indabelgrade@gmail.com" TargetMode="External"/><Relationship Id="rId5" Type="http://schemas.openxmlformats.org/officeDocument/2006/relationships/hyperlink" Target="mailto:THORIQ.IKHWAN@GMAIL.COM" TargetMode="External"/><Relationship Id="rId4" Type="http://schemas.openxmlformats.org/officeDocument/2006/relationships/hyperlink" Target="mailto:daim_nnuralip@yahoo.co.id" TargetMode="External"/><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8" Type="http://schemas.openxmlformats.org/officeDocument/2006/relationships/hyperlink" Target="mailto:rajibgandi1989@gmail.com" TargetMode="External"/><Relationship Id="rId7" Type="http://schemas.openxmlformats.org/officeDocument/2006/relationships/hyperlink" Target="mailto:Sharadita92@gmail.com" TargetMode="External"/><Relationship Id="rId6" Type="http://schemas.openxmlformats.org/officeDocument/2006/relationships/hyperlink" Target="mailto:poepan21@gmail.com" TargetMode="External"/><Relationship Id="rId5" Type="http://schemas.openxmlformats.org/officeDocument/2006/relationships/hyperlink" Target="mailto:racheljuniel93@gmail.com" TargetMode="External"/><Relationship Id="rId4" Type="http://schemas.openxmlformats.org/officeDocument/2006/relationships/hyperlink" Target="mailto:ulumb1544@gmail.com" TargetMode="External"/><Relationship Id="rId3" Type="http://schemas.openxmlformats.org/officeDocument/2006/relationships/hyperlink" Target="mailto:citradona@rocketmail.com" TargetMode="External"/><Relationship Id="rId2" Type="http://schemas.openxmlformats.org/officeDocument/2006/relationships/hyperlink" Target="mailto:shantyoktavia29@gmail.com" TargetMode="External"/><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9" Type="http://schemas.openxmlformats.org/officeDocument/2006/relationships/hyperlink" Target="mailto:RIAN.MARIANTI@DIEBOLDNIXDORF.COM" TargetMode="External"/><Relationship Id="rId8" Type="http://schemas.openxmlformats.org/officeDocument/2006/relationships/hyperlink" Target="mailto:NURHAKIM207@GMAIL.COM" TargetMode="External"/><Relationship Id="rId7" Type="http://schemas.openxmlformats.org/officeDocument/2006/relationships/hyperlink" Target="mailto:MERRY.MARYAM013@GMAIL.COM" TargetMode="External"/><Relationship Id="rId6" Type="http://schemas.openxmlformats.org/officeDocument/2006/relationships/hyperlink" Target="mailto:DWY.SUSANTO@DIEBOLDNIXDORF.COM" TargetMode="External"/><Relationship Id="rId5" Type="http://schemas.openxmlformats.org/officeDocument/2006/relationships/hyperlink" Target="mailto:RIIAHENINGSIH@GMAIL.COM" TargetMode="External"/><Relationship Id="rId4" Type="http://schemas.openxmlformats.org/officeDocument/2006/relationships/hyperlink" Target="mailto:NOVIEELIZA21@GMAIL.COM" TargetMode="External"/><Relationship Id="rId31" Type="http://schemas.openxmlformats.org/officeDocument/2006/relationships/hyperlink" Target="mailto:SALMANRAFAEL@GMAIL.COM" TargetMode="External"/><Relationship Id="rId30" Type="http://schemas.openxmlformats.org/officeDocument/2006/relationships/hyperlink" Target="mailto:adhityo.k.w@gmail.com" TargetMode="External"/><Relationship Id="rId3" Type="http://schemas.openxmlformats.org/officeDocument/2006/relationships/hyperlink" Target="mailto:SARAH.MABELLE@GMAIL.COM" TargetMode="External"/><Relationship Id="rId29" Type="http://schemas.openxmlformats.org/officeDocument/2006/relationships/hyperlink" Target="mailto:fajri.ikhsan90@gmail.com" TargetMode="External"/><Relationship Id="rId28" Type="http://schemas.openxmlformats.org/officeDocument/2006/relationships/hyperlink" Target="mailto:KHALIMI040173@GMAIL.COM" TargetMode="External"/><Relationship Id="rId27" Type="http://schemas.openxmlformats.org/officeDocument/2006/relationships/hyperlink" Target="mailto:BIANHASSAN7723@GMAIL.COM" TargetMode="External"/><Relationship Id="rId26" Type="http://schemas.openxmlformats.org/officeDocument/2006/relationships/hyperlink" Target="mailto:DEVI_SUPRIADI@YMAIL.COM" TargetMode="External"/><Relationship Id="rId25" Type="http://schemas.openxmlformats.org/officeDocument/2006/relationships/hyperlink" Target="mailto:ISKANDARROIS24@GMAIL.COM" TargetMode="External"/><Relationship Id="rId24" Type="http://schemas.openxmlformats.org/officeDocument/2006/relationships/hyperlink" Target="mailto:HASANAHNURYATUN@GMAIL.COM" TargetMode="External"/><Relationship Id="rId23" Type="http://schemas.openxmlformats.org/officeDocument/2006/relationships/hyperlink" Target="mailto:RIAN.ADDICT@YAHOO.COM" TargetMode="External"/><Relationship Id="rId22" Type="http://schemas.openxmlformats.org/officeDocument/2006/relationships/hyperlink" Target="mailto:JACOBBOYBO222@GMAIL.COM" TargetMode="External"/><Relationship Id="rId21" Type="http://schemas.openxmlformats.org/officeDocument/2006/relationships/hyperlink" Target="mailto:UJANG.SUPRIATNA@DIEBOLDNIXDORF.COM" TargetMode="External"/><Relationship Id="rId20" Type="http://schemas.openxmlformats.org/officeDocument/2006/relationships/hyperlink" Target="mailto:IJUNAHMAD@GMAIL.COM" TargetMode="External"/><Relationship Id="rId2" Type="http://schemas.openxmlformats.org/officeDocument/2006/relationships/hyperlink" Target="mailto:SATRIA.ANGGORO@YMAIL.COM" TargetMode="External"/><Relationship Id="rId19" Type="http://schemas.openxmlformats.org/officeDocument/2006/relationships/hyperlink" Target="mailto:nurfajria2016@yahoo.com" TargetMode="External"/><Relationship Id="rId18" Type="http://schemas.openxmlformats.org/officeDocument/2006/relationships/hyperlink" Target="mailto:ndrix14@yahoo.com" TargetMode="External"/><Relationship Id="rId17" Type="http://schemas.openxmlformats.org/officeDocument/2006/relationships/hyperlink" Target="mailto:anggraeni.puspitaningrum@dieboldnixdorf.com" TargetMode="External"/><Relationship Id="rId16" Type="http://schemas.openxmlformats.org/officeDocument/2006/relationships/hyperlink" Target="mailto:REY.DEPOK@GMAIL.COM" TargetMode="External"/><Relationship Id="rId15" Type="http://schemas.openxmlformats.org/officeDocument/2006/relationships/hyperlink" Target="mailto:HADIYATI89@GMAIL.COM" TargetMode="External"/><Relationship Id="rId14" Type="http://schemas.openxmlformats.org/officeDocument/2006/relationships/hyperlink" Target="mailto:faisalabdillah150490@gmail.com" TargetMode="External"/><Relationship Id="rId13" Type="http://schemas.openxmlformats.org/officeDocument/2006/relationships/hyperlink" Target="mailto:RIHANDIANNEDYAPRATAMA@GMAIL.COM" TargetMode="External"/><Relationship Id="rId12" Type="http://schemas.openxmlformats.org/officeDocument/2006/relationships/hyperlink" Target="mailto:KTRISNINGTYAS@YAHOO.COM" TargetMode="External"/><Relationship Id="rId11" Type="http://schemas.openxmlformats.org/officeDocument/2006/relationships/hyperlink" Target="mailto:YUSRAN.HAKIM10@GMAIL.COM" TargetMode="External"/><Relationship Id="rId10" Type="http://schemas.openxmlformats.org/officeDocument/2006/relationships/hyperlink" Target="mailto:MOCHUMARSYARIFUDDIN@GMAIL.COM" TargetMode="External"/><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5" Type="http://schemas.openxmlformats.org/officeDocument/2006/relationships/hyperlink" Target="mailto:mrch.fairuz@gmail.com" TargetMode="External"/><Relationship Id="rId4" Type="http://schemas.openxmlformats.org/officeDocument/2006/relationships/hyperlink" Target="mailto:deaelodia@gmail.com" TargetMode="External"/><Relationship Id="rId3" Type="http://schemas.openxmlformats.org/officeDocument/2006/relationships/vmlDrawing" Target="../drawings/vmlDrawing10.vml"/><Relationship Id="rId2" Type="http://schemas.openxmlformats.org/officeDocument/2006/relationships/drawing" Target="../drawings/drawing8.x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9" Type="http://schemas.openxmlformats.org/officeDocument/2006/relationships/hyperlink" Target="mailto:jeinevania54@gmail.com" TargetMode="External"/><Relationship Id="rId8" Type="http://schemas.openxmlformats.org/officeDocument/2006/relationships/hyperlink" Target="mailto:bonabonabonari@gmail.com" TargetMode="External"/><Relationship Id="rId7" Type="http://schemas.openxmlformats.org/officeDocument/2006/relationships/hyperlink" Target="mailto:backpacker_ajeed@yahoo.com" TargetMode="External"/><Relationship Id="rId6" Type="http://schemas.openxmlformats.org/officeDocument/2006/relationships/hyperlink" Target="mailto:ijunjunaidi65@gmail.com" TargetMode="External"/><Relationship Id="rId5" Type="http://schemas.openxmlformats.org/officeDocument/2006/relationships/hyperlink" Target="mailto:syafrudin@gmail.com" TargetMode="External"/><Relationship Id="rId4" Type="http://schemas.openxmlformats.org/officeDocument/2006/relationships/hyperlink" Target="mailto:ahmadyani3469@gmail.com" TargetMode="External"/><Relationship Id="rId33" Type="http://schemas.openxmlformats.org/officeDocument/2006/relationships/hyperlink" Target="mailto:satria0611@gmail.com" TargetMode="External"/><Relationship Id="rId32" Type="http://schemas.openxmlformats.org/officeDocument/2006/relationships/hyperlink" Target="mailto:rioprahara85@gmail.com" TargetMode="External"/><Relationship Id="rId31" Type="http://schemas.openxmlformats.org/officeDocument/2006/relationships/hyperlink" Target="mailto:ahmad.fachrulrozi@gmail.com" TargetMode="External"/><Relationship Id="rId30" Type="http://schemas.openxmlformats.org/officeDocument/2006/relationships/hyperlink" Target="mailto:anakpantai772@gmail.com" TargetMode="External"/><Relationship Id="rId3" Type="http://schemas.openxmlformats.org/officeDocument/2006/relationships/hyperlink" Target="mailto:Ngurah2000@yahoo.com" TargetMode="External"/><Relationship Id="rId29" Type="http://schemas.openxmlformats.org/officeDocument/2006/relationships/hyperlink" Target="mailto:Auliafernandes1980@gmail.com/aulia.fernandes@corphr-nokia.com" TargetMode="External"/><Relationship Id="rId28" Type="http://schemas.openxmlformats.org/officeDocument/2006/relationships/hyperlink" Target="mailto:jana15verticalteam@gmail.com" TargetMode="External"/><Relationship Id="rId27" Type="http://schemas.openxmlformats.org/officeDocument/2006/relationships/hyperlink" Target="mailto:mr.yoga.sanjaya@gmail.com" TargetMode="External"/><Relationship Id="rId26" Type="http://schemas.openxmlformats.org/officeDocument/2006/relationships/hyperlink" Target="mailto:Firdausrulliansyah@gmail.com" TargetMode="External"/><Relationship Id="rId25" Type="http://schemas.openxmlformats.org/officeDocument/2006/relationships/hyperlink" Target="mailto:ervanmuvianto@gmail.com" TargetMode="External"/><Relationship Id="rId24" Type="http://schemas.openxmlformats.org/officeDocument/2006/relationships/hyperlink" Target="mailto:dedimantoo@gmail.com" TargetMode="External"/><Relationship Id="rId23" Type="http://schemas.openxmlformats.org/officeDocument/2006/relationships/hyperlink" Target="mailto:rudy.pangihutan@gmail.com" TargetMode="External"/><Relationship Id="rId22" Type="http://schemas.openxmlformats.org/officeDocument/2006/relationships/hyperlink" Target="mailto:azizpujo17@gmail.com" TargetMode="External"/><Relationship Id="rId21" Type="http://schemas.openxmlformats.org/officeDocument/2006/relationships/hyperlink" Target="mailto:ruben_jait@yahoo.com" TargetMode="External"/><Relationship Id="rId20" Type="http://schemas.openxmlformats.org/officeDocument/2006/relationships/hyperlink" Target="mailto:tonilubis1992@gmail.com" TargetMode="External"/><Relationship Id="rId2" Type="http://schemas.openxmlformats.org/officeDocument/2006/relationships/vmlDrawing" Target="../drawings/vmlDrawing2.vml"/><Relationship Id="rId19" Type="http://schemas.openxmlformats.org/officeDocument/2006/relationships/hyperlink" Target="mailto:dito.gatot2007@gmail.com" TargetMode="External"/><Relationship Id="rId18" Type="http://schemas.openxmlformats.org/officeDocument/2006/relationships/hyperlink" Target="mailto:muhammadparwin00@gmail.com" TargetMode="External"/><Relationship Id="rId17" Type="http://schemas.openxmlformats.org/officeDocument/2006/relationships/hyperlink" Target="mailto:danielgazali2016@gmail.com" TargetMode="External"/><Relationship Id="rId16" Type="http://schemas.openxmlformats.org/officeDocument/2006/relationships/hyperlink" Target="mailto:aryn.arifin@gmail.com" TargetMode="External"/><Relationship Id="rId15" Type="http://schemas.openxmlformats.org/officeDocument/2006/relationships/hyperlink" Target="mailto:dahrulilmi30@gmail.com" TargetMode="External"/><Relationship Id="rId14" Type="http://schemas.openxmlformats.org/officeDocument/2006/relationships/hyperlink" Target="mailto:pasitumeangroberto@gmail.com" TargetMode="External"/><Relationship Id="rId13" Type="http://schemas.openxmlformats.org/officeDocument/2006/relationships/hyperlink" Target="mailto:nopisafari0@gmail.com" TargetMode="External"/><Relationship Id="rId12" Type="http://schemas.openxmlformats.org/officeDocument/2006/relationships/hyperlink" Target="mailto:Lanadoank46@gmail.com" TargetMode="External"/><Relationship Id="rId11" Type="http://schemas.openxmlformats.org/officeDocument/2006/relationships/hyperlink" Target="mailto:sumastyatmo@gmail.com" TargetMode="External"/><Relationship Id="rId10" Type="http://schemas.openxmlformats.org/officeDocument/2006/relationships/hyperlink" Target="mailto:egiandi48@gmail.com" TargetMode="Externa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9.xml"/><Relationship Id="rId1"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3.xml.rels><?xml version="1.0" encoding="UTF-8" standalone="yes"?>
<Relationships xmlns="http://schemas.openxmlformats.org/package/2006/relationships"><Relationship Id="rId9" Type="http://schemas.openxmlformats.org/officeDocument/2006/relationships/hyperlink" Target="mailto:afia_ramadhani@yahoo.co.id" TargetMode="External"/><Relationship Id="rId8" Type="http://schemas.openxmlformats.org/officeDocument/2006/relationships/hyperlink" Target="mailto:Refi.hasriani@gmail.com" TargetMode="External"/><Relationship Id="rId7" Type="http://schemas.openxmlformats.org/officeDocument/2006/relationships/hyperlink" Target="mailto:yosephine.devina.t@gmail.com" TargetMode="External"/><Relationship Id="rId6" Type="http://schemas.openxmlformats.org/officeDocument/2006/relationships/hyperlink" Target="mailto:wilonaok@gmail.com" TargetMode="External"/><Relationship Id="rId5" Type="http://schemas.openxmlformats.org/officeDocument/2006/relationships/hyperlink" Target="mailto:HANIEF.RACHMANU21@GMAIL.COM" TargetMode="External"/><Relationship Id="rId4" Type="http://schemas.openxmlformats.org/officeDocument/2006/relationships/hyperlink" Target="mailto:samiranadeen@gmail.com" TargetMode="External"/><Relationship Id="rId3" Type="http://schemas.openxmlformats.org/officeDocument/2006/relationships/vmlDrawing" Target="../drawings/vmlDrawing12.vml"/><Relationship Id="rId2" Type="http://schemas.openxmlformats.org/officeDocument/2006/relationships/drawing" Target="../drawings/drawing11.xml"/><Relationship Id="rId10" Type="http://schemas.openxmlformats.org/officeDocument/2006/relationships/hyperlink" Target="mailto:ferdioren.andrianto@gmail.com" TargetMode="External"/><Relationship Id="rId1" Type="http://schemas.openxmlformats.org/officeDocument/2006/relationships/comments" Target="../comments1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comments" Target="../comments13.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comments" Target="../comments14.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comments" Target="../comments15.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5.xml"/><Relationship Id="rId1" Type="http://schemas.openxmlformats.org/officeDocument/2006/relationships/comments" Target="../comments16.xml"/></Relationships>
</file>

<file path=xl/worksheets/_rels/sheet28.xml.rels><?xml version="1.0" encoding="UTF-8" standalone="yes"?>
<Relationships xmlns="http://schemas.openxmlformats.org/package/2006/relationships"><Relationship Id="rId9" Type="http://schemas.openxmlformats.org/officeDocument/2006/relationships/hyperlink" Target="mailto:lwinny@its.jnj.com" TargetMode="External"/><Relationship Id="rId8" Type="http://schemas.openxmlformats.org/officeDocument/2006/relationships/hyperlink" Target="mailto:ihutape1@its.jnj.com" TargetMode="External"/><Relationship Id="rId7" Type="http://schemas.openxmlformats.org/officeDocument/2006/relationships/hyperlink" Target="mailto:miswanismail@yahoo.com" TargetMode="External"/><Relationship Id="rId6" Type="http://schemas.openxmlformats.org/officeDocument/2006/relationships/hyperlink" Target="mailto:SRUDYANT@its.jnj.com" TargetMode="External"/><Relationship Id="rId5" Type="http://schemas.openxmlformats.org/officeDocument/2006/relationships/hyperlink" Target="mailto:detisalsiah@gmail.com" TargetMode="External"/><Relationship Id="rId4" Type="http://schemas.openxmlformats.org/officeDocument/2006/relationships/hyperlink" Target="mailto:lsimbolo@its.jnj.com" TargetMode="External"/><Relationship Id="rId3" Type="http://schemas.openxmlformats.org/officeDocument/2006/relationships/vmlDrawing" Target="../drawings/vmlDrawing17.vml"/><Relationship Id="rId2" Type="http://schemas.openxmlformats.org/officeDocument/2006/relationships/drawing" Target="../drawings/drawing16.xml"/><Relationship Id="rId13" Type="http://schemas.openxmlformats.org/officeDocument/2006/relationships/hyperlink" Target="mailto:frederikania@gmail.com" TargetMode="External"/><Relationship Id="rId12" Type="http://schemas.openxmlformats.org/officeDocument/2006/relationships/hyperlink" Target="mailto:ferdyfirdaus85@gmail.com" TargetMode="External"/><Relationship Id="rId11" Type="http://schemas.openxmlformats.org/officeDocument/2006/relationships/hyperlink" Target="mailto:ajaeni@its.jnj.com" TargetMode="External"/><Relationship Id="rId10" Type="http://schemas.openxmlformats.org/officeDocument/2006/relationships/hyperlink" Target="mailto:jsaputr@its.jnj.com" TargetMode="External"/><Relationship Id="rId1" Type="http://schemas.openxmlformats.org/officeDocument/2006/relationships/comments" Target="../comments1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0.xml.rels><?xml version="1.0" encoding="UTF-8" standalone="yes"?>
<Relationships xmlns="http://schemas.openxmlformats.org/package/2006/relationships"><Relationship Id="rId4" Type="http://schemas.openxmlformats.org/officeDocument/2006/relationships/hyperlink" Target="mailto:ian.anindia@gmail.com" TargetMode="External"/><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comments" Target="../comments18.xml"/></Relationships>
</file>

<file path=xl/worksheets/_rels/sheet31.xml.rels><?xml version="1.0" encoding="UTF-8" standalone="yes"?>
<Relationships xmlns="http://schemas.openxmlformats.org/package/2006/relationships"><Relationship Id="rId9" Type="http://schemas.openxmlformats.org/officeDocument/2006/relationships/hyperlink" Target="mailto:NISA.SYARIFA26@GMAIL.COM" TargetMode="External"/><Relationship Id="rId8" Type="http://schemas.openxmlformats.org/officeDocument/2006/relationships/hyperlink" Target="mailto:FININRYNTI@GMAIL.COM" TargetMode="External"/><Relationship Id="rId7" Type="http://schemas.openxmlformats.org/officeDocument/2006/relationships/hyperlink" Target="mailto:billaasyifa@gmail.com" TargetMode="External"/><Relationship Id="rId6" Type="http://schemas.openxmlformats.org/officeDocument/2006/relationships/hyperlink" Target="mailto:TATA.LUKYTA@GMAIL.COM" TargetMode="External"/><Relationship Id="rId5" Type="http://schemas.openxmlformats.org/officeDocument/2006/relationships/hyperlink" Target="mailto:itbahbaniibrahim@gmail.com" TargetMode="External"/><Relationship Id="rId4" Type="http://schemas.openxmlformats.org/officeDocument/2006/relationships/hyperlink" Target="mailto:untoro.dnp@yahoo.co.id" TargetMode="External"/><Relationship Id="rId3" Type="http://schemas.openxmlformats.org/officeDocument/2006/relationships/vmlDrawing" Target="../drawings/vmlDrawing19.vml"/><Relationship Id="rId28" Type="http://schemas.openxmlformats.org/officeDocument/2006/relationships/hyperlink" Target="mailto:ricardobono7@gmail.com" TargetMode="External"/><Relationship Id="rId27" Type="http://schemas.openxmlformats.org/officeDocument/2006/relationships/hyperlink" Target="mailto:apriliaayuningputri@gmail.com" TargetMode="External"/><Relationship Id="rId26" Type="http://schemas.openxmlformats.org/officeDocument/2006/relationships/hyperlink" Target="mailto:silmilathifan@gmail.com;" TargetMode="External"/><Relationship Id="rId25" Type="http://schemas.openxmlformats.org/officeDocument/2006/relationships/hyperlink" Target="mailto:david.golung@hotmail.com" TargetMode="External"/><Relationship Id="rId24" Type="http://schemas.openxmlformats.org/officeDocument/2006/relationships/hyperlink" Target="mailto:rikamisnawati655@gmail.com" TargetMode="External"/><Relationship Id="rId23" Type="http://schemas.openxmlformats.org/officeDocument/2006/relationships/hyperlink" Target="mailto:PRILLYPUTRI@GMAIL.COM" TargetMode="External"/><Relationship Id="rId22" Type="http://schemas.openxmlformats.org/officeDocument/2006/relationships/hyperlink" Target="mailto:egigemilang8@gmail.com" TargetMode="External"/><Relationship Id="rId21" Type="http://schemas.openxmlformats.org/officeDocument/2006/relationships/hyperlink" Target="mailto:aminahsaf@gmail.com" TargetMode="External"/><Relationship Id="rId20" Type="http://schemas.openxmlformats.org/officeDocument/2006/relationships/hyperlink" Target="mailto:istianarochmah@gmail.com" TargetMode="External"/><Relationship Id="rId2" Type="http://schemas.openxmlformats.org/officeDocument/2006/relationships/drawing" Target="../drawings/drawing19.xml"/><Relationship Id="rId19" Type="http://schemas.openxmlformats.org/officeDocument/2006/relationships/hyperlink" Target="mailto:kelvinchristian25@yahoo.co.id" TargetMode="External"/><Relationship Id="rId18" Type="http://schemas.openxmlformats.org/officeDocument/2006/relationships/hyperlink" Target="mailto:p.mega0256@gmail.com" TargetMode="External"/><Relationship Id="rId17" Type="http://schemas.openxmlformats.org/officeDocument/2006/relationships/hyperlink" Target="mailto:vadheliqbal@gmail.com" TargetMode="External"/><Relationship Id="rId16" Type="http://schemas.openxmlformats.org/officeDocument/2006/relationships/hyperlink" Target="mailto:gresyliajimmy@gmail.com" TargetMode="External"/><Relationship Id="rId15" Type="http://schemas.openxmlformats.org/officeDocument/2006/relationships/hyperlink" Target="mailto:dianandiani07@gmail.com" TargetMode="External"/><Relationship Id="rId14" Type="http://schemas.openxmlformats.org/officeDocument/2006/relationships/hyperlink" Target="mailto:cicilestari874@gmail.com" TargetMode="External"/><Relationship Id="rId13" Type="http://schemas.openxmlformats.org/officeDocument/2006/relationships/hyperlink" Target="mailto:indang.s.n@gmail.com" TargetMode="External"/><Relationship Id="rId12" Type="http://schemas.openxmlformats.org/officeDocument/2006/relationships/hyperlink" Target="mailto:susiscaa@gmail.com" TargetMode="External"/><Relationship Id="rId11" Type="http://schemas.openxmlformats.org/officeDocument/2006/relationships/hyperlink" Target="mailto:PEN120397@GMAIL.COM" TargetMode="External"/><Relationship Id="rId10" Type="http://schemas.openxmlformats.org/officeDocument/2006/relationships/hyperlink" Target="mailto:PANJAITANYOHANNA19@GMAIL.COM" TargetMode="External"/><Relationship Id="rId1" Type="http://schemas.openxmlformats.org/officeDocument/2006/relationships/comments" Target="../comments19.xml"/></Relationships>
</file>

<file path=xl/worksheets/_rels/sheet32.xml.rels><?xml version="1.0" encoding="UTF-8" standalone="yes"?>
<Relationships xmlns="http://schemas.openxmlformats.org/package/2006/relationships"><Relationship Id="rId6" Type="http://schemas.openxmlformats.org/officeDocument/2006/relationships/hyperlink" Target="mailto:fanteraregina@gmail.com" TargetMode="External"/><Relationship Id="rId5" Type="http://schemas.openxmlformats.org/officeDocument/2006/relationships/hyperlink" Target="mailto:watirasna75@gmail.com" TargetMode="External"/><Relationship Id="rId4" Type="http://schemas.openxmlformats.org/officeDocument/2006/relationships/hyperlink" Target="mailto:AURELIAUSHA@GMAIL.COM" TargetMode="External"/><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comments" Target="../comments20.xml"/></Relationships>
</file>

<file path=xl/worksheets/_rels/sheet33.xml.rels><?xml version="1.0" encoding="UTF-8" standalone="yes"?>
<Relationships xmlns="http://schemas.openxmlformats.org/package/2006/relationships"><Relationship Id="rId9" Type="http://schemas.openxmlformats.org/officeDocument/2006/relationships/hyperlink" Target="mailto:TRIHADI.N@SAMSUNG.COM" TargetMode="External"/><Relationship Id="rId8" Type="http://schemas.openxmlformats.org/officeDocument/2006/relationships/hyperlink" Target="mailto:r.papilaya@partner.samsung.com" TargetMode="External"/><Relationship Id="rId7" Type="http://schemas.openxmlformats.org/officeDocument/2006/relationships/hyperlink" Target="mailto:lee.minsoo@samsung.com" TargetMode="External"/><Relationship Id="rId67" Type="http://schemas.openxmlformats.org/officeDocument/2006/relationships/hyperlink" Target="mailto:danu.h@samsung.com" TargetMode="External"/><Relationship Id="rId66" Type="http://schemas.openxmlformats.org/officeDocument/2006/relationships/hyperlink" Target="mailto:ricky.b@samsung.com" TargetMode="External"/><Relationship Id="rId65" Type="http://schemas.openxmlformats.org/officeDocument/2006/relationships/hyperlink" Target="mailto:richikencana@gmail.com" TargetMode="External"/><Relationship Id="rId64" Type="http://schemas.openxmlformats.org/officeDocument/2006/relationships/hyperlink" Target="mailto:rizal.t@samsung.com" TargetMode="External"/><Relationship Id="rId63" Type="http://schemas.openxmlformats.org/officeDocument/2006/relationships/hyperlink" Target="mailto:Agoeng_30@Yahoo.com" TargetMode="External"/><Relationship Id="rId62" Type="http://schemas.openxmlformats.org/officeDocument/2006/relationships/hyperlink" Target="mailto:ERWIN.ST@SAMSUNG.COM" TargetMode="External"/><Relationship Id="rId61" Type="http://schemas.openxmlformats.org/officeDocument/2006/relationships/hyperlink" Target="mailto:yogasatria0527@gmail.com" TargetMode="External"/><Relationship Id="rId60" Type="http://schemas.openxmlformats.org/officeDocument/2006/relationships/hyperlink" Target="mailto:bgilangyudanto@gmail.com" TargetMode="External"/><Relationship Id="rId6" Type="http://schemas.openxmlformats.org/officeDocument/2006/relationships/hyperlink" Target="mailto:ratu.ita@samsung.com" TargetMode="External"/><Relationship Id="rId59" Type="http://schemas.openxmlformats.org/officeDocument/2006/relationships/hyperlink" Target="mailto:septi.oktaviantry@gmail.com" TargetMode="External"/><Relationship Id="rId58" Type="http://schemas.openxmlformats.org/officeDocument/2006/relationships/hyperlink" Target="mailto:joni.syam@samsung.com" TargetMode="External"/><Relationship Id="rId57" Type="http://schemas.openxmlformats.org/officeDocument/2006/relationships/hyperlink" Target="mailto:bobby.nurman85@gmail.com" TargetMode="External"/><Relationship Id="rId56" Type="http://schemas.openxmlformats.org/officeDocument/2006/relationships/hyperlink" Target="mailto:efan.utama@samsung.com" TargetMode="External"/><Relationship Id="rId55" Type="http://schemas.openxmlformats.org/officeDocument/2006/relationships/hyperlink" Target="mailto:andreaamalia2203@gmail.com" TargetMode="External"/><Relationship Id="rId54" Type="http://schemas.openxmlformats.org/officeDocument/2006/relationships/hyperlink" Target="mailto:andry.a@samsung.com" TargetMode="External"/><Relationship Id="rId53" Type="http://schemas.openxmlformats.org/officeDocument/2006/relationships/hyperlink" Target="mailto:taufiqul.f@samsung.com" TargetMode="External"/><Relationship Id="rId52" Type="http://schemas.openxmlformats.org/officeDocument/2006/relationships/hyperlink" Target="mailto:idatobing21@gmail.com" TargetMode="External"/><Relationship Id="rId51" Type="http://schemas.openxmlformats.org/officeDocument/2006/relationships/hyperlink" Target="mailto:vina.humira@gmail.com" TargetMode="External"/><Relationship Id="rId50" Type="http://schemas.openxmlformats.org/officeDocument/2006/relationships/hyperlink" Target="http://103.253.113.201/chr_dashboards/candidate_view.php?id=2055" TargetMode="External"/><Relationship Id="rId5" Type="http://schemas.openxmlformats.org/officeDocument/2006/relationships/hyperlink" Target="mailto:c.josephine@samsung.com" TargetMode="External"/><Relationship Id="rId49" Type="http://schemas.openxmlformats.org/officeDocument/2006/relationships/hyperlink" Target="mailto:fiona.perwitasari@gmail.com" TargetMode="External"/><Relationship Id="rId48" Type="http://schemas.openxmlformats.org/officeDocument/2006/relationships/hyperlink" Target="mailto:stephanie.jm05@gmail.com" TargetMode="External"/><Relationship Id="rId47" Type="http://schemas.openxmlformats.org/officeDocument/2006/relationships/hyperlink" Target="mailto:heryatmita.s@samsung.com" TargetMode="External"/><Relationship Id="rId46" Type="http://schemas.openxmlformats.org/officeDocument/2006/relationships/hyperlink" Target="mailto:Novawinda19@gmail.com" TargetMode="External"/><Relationship Id="rId45" Type="http://schemas.openxmlformats.org/officeDocument/2006/relationships/hyperlink" Target="mailto:lista.donna@samsung.com" TargetMode="External"/><Relationship Id="rId44" Type="http://schemas.openxmlformats.org/officeDocument/2006/relationships/hyperlink" Target="mailto:dikky.g@samsung.com" TargetMode="External"/><Relationship Id="rId43" Type="http://schemas.openxmlformats.org/officeDocument/2006/relationships/hyperlink" Target="mailto:rusli.ade@gmail.com" TargetMode="External"/><Relationship Id="rId42" Type="http://schemas.openxmlformats.org/officeDocument/2006/relationships/hyperlink" Target="mailto:aryo.r@samsung.com" TargetMode="External"/><Relationship Id="rId41" Type="http://schemas.openxmlformats.org/officeDocument/2006/relationships/hyperlink" Target="mailto:nancy_fitria@yahoo.com" TargetMode="External"/><Relationship Id="rId40" Type="http://schemas.openxmlformats.org/officeDocument/2006/relationships/hyperlink" Target="mailto:leo.hm@samsung.com" TargetMode="External"/><Relationship Id="rId4" Type="http://schemas.openxmlformats.org/officeDocument/2006/relationships/hyperlink" Target="mailto:ekobudi123@gmail.com" TargetMode="External"/><Relationship Id="rId39" Type="http://schemas.openxmlformats.org/officeDocument/2006/relationships/hyperlink" Target="mailto:agussp@samsung.com" TargetMode="External"/><Relationship Id="rId38" Type="http://schemas.openxmlformats.org/officeDocument/2006/relationships/hyperlink" Target="mailto:arii.satria@gmail.com" TargetMode="External"/><Relationship Id="rId37" Type="http://schemas.openxmlformats.org/officeDocument/2006/relationships/hyperlink" Target="mailto:mila.l@samsung.com" TargetMode="External"/><Relationship Id="rId36" Type="http://schemas.openxmlformats.org/officeDocument/2006/relationships/hyperlink" Target="mailto:vinchentiamuliadi@gmail.com" TargetMode="External"/><Relationship Id="rId35" Type="http://schemas.openxmlformats.org/officeDocument/2006/relationships/hyperlink" Target="mailto:dolly.sw@samsung.com" TargetMode="External"/><Relationship Id="rId34" Type="http://schemas.openxmlformats.org/officeDocument/2006/relationships/hyperlink" Target="mailto:tiaradisya@gmail.com" TargetMode="External"/><Relationship Id="rId33" Type="http://schemas.openxmlformats.org/officeDocument/2006/relationships/hyperlink" Target="mailto:juan.margala@samsung.com" TargetMode="External"/><Relationship Id="rId32" Type="http://schemas.openxmlformats.org/officeDocument/2006/relationships/hyperlink" Target="mailto:egakrisna@gmail.com" TargetMode="External"/><Relationship Id="rId31" Type="http://schemas.openxmlformats.org/officeDocument/2006/relationships/hyperlink" Target="mailto:ira.js@samsung.com" TargetMode="External"/><Relationship Id="rId30" Type="http://schemas.openxmlformats.org/officeDocument/2006/relationships/hyperlink" Target="mailto:adnan.i@partner.samsung.com" TargetMode="External"/><Relationship Id="rId3" Type="http://schemas.openxmlformats.org/officeDocument/2006/relationships/hyperlink" Target="mailto:mr.apri@gmail.com" TargetMode="External"/><Relationship Id="rId29" Type="http://schemas.openxmlformats.org/officeDocument/2006/relationships/hyperlink" Target="mailto:riki.k@samsung.com" TargetMode="External"/><Relationship Id="rId28" Type="http://schemas.openxmlformats.org/officeDocument/2006/relationships/hyperlink" Target="mailto:sylvia1.k@samsung.com" TargetMode="External"/><Relationship Id="rId27" Type="http://schemas.openxmlformats.org/officeDocument/2006/relationships/hyperlink" Target="mailto:vega.adi@samsung.com" TargetMode="External"/><Relationship Id="rId26" Type="http://schemas.openxmlformats.org/officeDocument/2006/relationships/hyperlink" Target="mailto:marsudin.odz@gmail.com" TargetMode="External"/><Relationship Id="rId25" Type="http://schemas.openxmlformats.org/officeDocument/2006/relationships/hyperlink" Target="mailto:muhamad.irvan.firdaus@gmail.com" TargetMode="External"/><Relationship Id="rId24" Type="http://schemas.openxmlformats.org/officeDocument/2006/relationships/hyperlink" Target="mailto:syaifularifinn@gmail.com" TargetMode="External"/><Relationship Id="rId23" Type="http://schemas.openxmlformats.org/officeDocument/2006/relationships/hyperlink" Target="mailto:fajarjharod@gmail.com" TargetMode="External"/><Relationship Id="rId22" Type="http://schemas.openxmlformats.org/officeDocument/2006/relationships/hyperlink" Target="mailto:nayaka.b@samsung.com" TargetMode="External"/><Relationship Id="rId21" Type="http://schemas.openxmlformats.org/officeDocument/2006/relationships/hyperlink" Target="mailto:daniel.yt@samsung.com" TargetMode="External"/><Relationship Id="rId20" Type="http://schemas.openxmlformats.org/officeDocument/2006/relationships/hyperlink" Target="mailto:margaretha.l@samsung.com" TargetMode="External"/><Relationship Id="rId2" Type="http://schemas.openxmlformats.org/officeDocument/2006/relationships/vmlDrawing" Target="../drawings/vmlDrawing21.vml"/><Relationship Id="rId19" Type="http://schemas.openxmlformats.org/officeDocument/2006/relationships/hyperlink" Target="mailto:ameliashaba@gmail.com" TargetMode="External"/><Relationship Id="rId18" Type="http://schemas.openxmlformats.org/officeDocument/2006/relationships/hyperlink" Target="mailto:frozzen_air@yahoo.com" TargetMode="External"/><Relationship Id="rId17" Type="http://schemas.openxmlformats.org/officeDocument/2006/relationships/hyperlink" Target="mailto:cecep.s@samsung.com" TargetMode="External"/><Relationship Id="rId16" Type="http://schemas.openxmlformats.org/officeDocument/2006/relationships/hyperlink" Target="mailto:prasti.p@samsung.com" TargetMode="External"/><Relationship Id="rId15" Type="http://schemas.openxmlformats.org/officeDocument/2006/relationships/hyperlink" Target="mailto:puryanto.atek@gmail.com" TargetMode="External"/><Relationship Id="rId14" Type="http://schemas.openxmlformats.org/officeDocument/2006/relationships/hyperlink" Target="mailto:marcheliaprisella@gmail.com" TargetMode="External"/><Relationship Id="rId13" Type="http://schemas.openxmlformats.org/officeDocument/2006/relationships/hyperlink" Target="mailto:amelia.g@samsung.com" TargetMode="External"/><Relationship Id="rId12" Type="http://schemas.openxmlformats.org/officeDocument/2006/relationships/hyperlink" Target="mailto:ignatiusfebrian@gmail.com" TargetMode="External"/><Relationship Id="rId11" Type="http://schemas.openxmlformats.org/officeDocument/2006/relationships/hyperlink" Target="mailto:sansusan_lie@yahoo.com" TargetMode="External"/><Relationship Id="rId10" Type="http://schemas.openxmlformats.org/officeDocument/2006/relationships/hyperlink" Target="mailto:febbyintanidewinta@gmail.com" TargetMode="External"/><Relationship Id="rId1" Type="http://schemas.openxmlformats.org/officeDocument/2006/relationships/comments" Target="../comments21.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1.xml"/><Relationship Id="rId1" Type="http://schemas.openxmlformats.org/officeDocument/2006/relationships/comments" Target="../comments22.xml"/></Relationships>
</file>

<file path=xl/worksheets/_rels/sheet35.xml.rels><?xml version="1.0" encoding="UTF-8" standalone="yes"?>
<Relationships xmlns="http://schemas.openxmlformats.org/package/2006/relationships"><Relationship Id="rId9" Type="http://schemas.openxmlformats.org/officeDocument/2006/relationships/hyperlink" Target="mailto:asteven@lenovo.com" TargetMode="External"/><Relationship Id="rId8" Type="http://schemas.openxmlformats.org/officeDocument/2006/relationships/hyperlink" Target="mailto:ffrandez1@lenovo.com" TargetMode="External"/><Relationship Id="rId7" Type="http://schemas.openxmlformats.org/officeDocument/2006/relationships/hyperlink" Target="mailto:machmad@lenovo.com" TargetMode="External"/><Relationship Id="rId6" Type="http://schemas.openxmlformats.org/officeDocument/2006/relationships/hyperlink" Target="mailto:AgustinusLenovo@gmail.com" TargetMode="External"/><Relationship Id="rId5" Type="http://schemas.openxmlformats.org/officeDocument/2006/relationships/hyperlink" Target="mailto:tanyaagungsalam@gmail.com" TargetMode="External"/><Relationship Id="rId4" Type="http://schemas.openxmlformats.org/officeDocument/2006/relationships/hyperlink" Target="mailto:asusanto@lenovo.com" TargetMode="External"/><Relationship Id="rId3" Type="http://schemas.openxmlformats.org/officeDocument/2006/relationships/vmlDrawing" Target="../drawings/vmlDrawing23.vml"/><Relationship Id="rId2" Type="http://schemas.openxmlformats.org/officeDocument/2006/relationships/drawing" Target="../drawings/drawing22.xml"/><Relationship Id="rId1" Type="http://schemas.openxmlformats.org/officeDocument/2006/relationships/comments" Target="../comments23.xml"/></Relationships>
</file>

<file path=xl/worksheets/_rels/sheet36.xml.rels><?xml version="1.0" encoding="UTF-8" standalone="yes"?>
<Relationships xmlns="http://schemas.openxmlformats.org/package/2006/relationships"><Relationship Id="rId2" Type="http://schemas.openxmlformats.org/officeDocument/2006/relationships/hyperlink" Target="mailto:pamelanurulkhairani@gmail.com" TargetMode="External"/><Relationship Id="rId1" Type="http://schemas.openxmlformats.org/officeDocument/2006/relationships/drawing" Target="../drawings/drawing23.xml"/></Relationships>
</file>

<file path=xl/worksheets/_rels/sheet37.xml.rels><?xml version="1.0" encoding="UTF-8" standalone="yes"?>
<Relationships xmlns="http://schemas.openxmlformats.org/package/2006/relationships"><Relationship Id="rId8" Type="http://schemas.openxmlformats.org/officeDocument/2006/relationships/hyperlink" Target="mailto:byusputra@gmail.com" TargetMode="External"/><Relationship Id="rId7" Type="http://schemas.openxmlformats.org/officeDocument/2006/relationships/hyperlink" Target="mailto:juliafitriwala@gmail.com" TargetMode="External"/><Relationship Id="rId6" Type="http://schemas.openxmlformats.org/officeDocument/2006/relationships/hyperlink" Target="mailto:intan_1609@yahoo.com" TargetMode="External"/><Relationship Id="rId5" Type="http://schemas.openxmlformats.org/officeDocument/2006/relationships/hyperlink" Target="mailto:anggysyafari@gmail.com" TargetMode="External"/><Relationship Id="rId4" Type="http://schemas.openxmlformats.org/officeDocument/2006/relationships/hyperlink" Target="mailto:suciati.wulansari@gmail.com" TargetMode="External"/><Relationship Id="rId3" Type="http://schemas.openxmlformats.org/officeDocument/2006/relationships/hyperlink" Target="mailto:nofi84@yahoo.com" TargetMode="External"/><Relationship Id="rId2" Type="http://schemas.openxmlformats.org/officeDocument/2006/relationships/hyperlink" Target="mailto:nadianinettes@gmail.com" TargetMode="External"/><Relationship Id="rId1" Type="http://schemas.openxmlformats.org/officeDocument/2006/relationships/drawing" Target="../drawings/drawing24.xml"/></Relationships>
</file>

<file path=xl/worksheets/_rels/sheet38.xml.rels><?xml version="1.0" encoding="UTF-8" standalone="yes"?>
<Relationships xmlns="http://schemas.openxmlformats.org/package/2006/relationships"><Relationship Id="rId9" Type="http://schemas.openxmlformats.org/officeDocument/2006/relationships/hyperlink" Target="mailto:darlianto.ananda@gmail.com" TargetMode="External"/><Relationship Id="rId8" Type="http://schemas.openxmlformats.org/officeDocument/2006/relationships/hyperlink" Target="mailto:deni.hentiasa@gmail.com" TargetMode="External"/><Relationship Id="rId7" Type="http://schemas.openxmlformats.org/officeDocument/2006/relationships/hyperlink" Target="mailto:dwis47242@gmail.com" TargetMode="External"/><Relationship Id="rId6" Type="http://schemas.openxmlformats.org/officeDocument/2006/relationships/hyperlink" Target="mailto:ryanardams@gmail.com" TargetMode="External"/><Relationship Id="rId5" Type="http://schemas.openxmlformats.org/officeDocument/2006/relationships/hyperlink" Target="mailto:achirsyaputra@gmail.com" TargetMode="External"/><Relationship Id="rId4" Type="http://schemas.openxmlformats.org/officeDocument/2006/relationships/hyperlink" Target="mailto:abdul@sda-solution.com" TargetMode="External"/><Relationship Id="rId34" Type="http://schemas.openxmlformats.org/officeDocument/2006/relationships/hyperlink" Target="mailto:zenryan27@gmail.com" TargetMode="External"/><Relationship Id="rId33" Type="http://schemas.openxmlformats.org/officeDocument/2006/relationships/hyperlink" Target="mailto:yasser.sultan@asahiesda.com" TargetMode="External"/><Relationship Id="rId32" Type="http://schemas.openxmlformats.org/officeDocument/2006/relationships/hyperlink" Target="mailto:dindamekanikal96@gmail.com" TargetMode="External"/><Relationship Id="rId31" Type="http://schemas.openxmlformats.org/officeDocument/2006/relationships/hyperlink" Target="mailto:usep.340@gmail.com" TargetMode="External"/><Relationship Id="rId30" Type="http://schemas.openxmlformats.org/officeDocument/2006/relationships/hyperlink" Target="mailto:shaqman2004@yahoo.com" TargetMode="External"/><Relationship Id="rId3" Type="http://schemas.openxmlformats.org/officeDocument/2006/relationships/vmlDrawing" Target="../drawings/vmlDrawing24.vml"/><Relationship Id="rId29" Type="http://schemas.openxmlformats.org/officeDocument/2006/relationships/hyperlink" Target="mailto:saidmarzukisalim12344@gmail.com" TargetMode="External"/><Relationship Id="rId28" Type="http://schemas.openxmlformats.org/officeDocument/2006/relationships/hyperlink" Target="mailto:rival@asahiesda.com" TargetMode="External"/><Relationship Id="rId27" Type="http://schemas.openxmlformats.org/officeDocument/2006/relationships/hyperlink" Target="mailto:andriratih10@gmail.com" TargetMode="External"/><Relationship Id="rId26" Type="http://schemas.openxmlformats.org/officeDocument/2006/relationships/hyperlink" Target="mailto:peni.handayani@hotmail.com" TargetMode="External"/><Relationship Id="rId25" Type="http://schemas.openxmlformats.org/officeDocument/2006/relationships/hyperlink" Target="mailto:anamnuy2@gmail.com" TargetMode="External"/><Relationship Id="rId24" Type="http://schemas.openxmlformats.org/officeDocument/2006/relationships/hyperlink" Target="mailto:muhammadfarid0808@gmail.com" TargetMode="External"/><Relationship Id="rId23" Type="http://schemas.openxmlformats.org/officeDocument/2006/relationships/hyperlink" Target="mailto:msukron471@yahoo,com" TargetMode="External"/><Relationship Id="rId22" Type="http://schemas.openxmlformats.org/officeDocument/2006/relationships/hyperlink" Target="mailto:mulyanto05@gmail.com" TargetMode="External"/><Relationship Id="rId21" Type="http://schemas.openxmlformats.org/officeDocument/2006/relationships/hyperlink" Target="mailto:abiefirman@yahoo.com" TargetMode="External"/><Relationship Id="rId20" Type="http://schemas.openxmlformats.org/officeDocument/2006/relationships/hyperlink" Target="mailto:kharisul16@gmail.com" TargetMode="External"/><Relationship Id="rId2" Type="http://schemas.openxmlformats.org/officeDocument/2006/relationships/drawing" Target="../drawings/drawing25.xml"/><Relationship Id="rId19" Type="http://schemas.openxmlformats.org/officeDocument/2006/relationships/hyperlink" Target="mailto:msyafi28@gmail.com" TargetMode="External"/><Relationship Id="rId18" Type="http://schemas.openxmlformats.org/officeDocument/2006/relationships/hyperlink" Target="mailto:muhammad.rizki@asahiesda.com" TargetMode="External"/><Relationship Id="rId17" Type="http://schemas.openxmlformats.org/officeDocument/2006/relationships/hyperlink" Target="mailto:lilimulyana71@gmail.com" TargetMode="External"/><Relationship Id="rId16" Type="http://schemas.openxmlformats.org/officeDocument/2006/relationships/hyperlink" Target="mailto:joko.sutanto86@gmail.com" TargetMode="External"/><Relationship Id="rId15" Type="http://schemas.openxmlformats.org/officeDocument/2006/relationships/hyperlink" Target="mailto:irfannur4@gmail.com" TargetMode="External"/><Relationship Id="rId14" Type="http://schemas.openxmlformats.org/officeDocument/2006/relationships/hyperlink" Target="mailto:hendra_total@yahoo,com" TargetMode="External"/><Relationship Id="rId13" Type="http://schemas.openxmlformats.org/officeDocument/2006/relationships/hyperlink" Target="mailto:helmimsh@gmail.com" TargetMode="External"/><Relationship Id="rId12" Type="http://schemas.openxmlformats.org/officeDocument/2006/relationships/hyperlink" Target="mailto:solo2_total@yahoo.co.id" TargetMode="External"/><Relationship Id="rId11" Type="http://schemas.openxmlformats.org/officeDocument/2006/relationships/hyperlink" Target="mailto:fajar.supradi@gmail.com" TargetMode="External"/><Relationship Id="rId10" Type="http://schemas.openxmlformats.org/officeDocument/2006/relationships/hyperlink" Target="mailto:afardan7778@gmail.com" TargetMode="External"/><Relationship Id="rId1" Type="http://schemas.openxmlformats.org/officeDocument/2006/relationships/comments" Target="../comments24.xml"/></Relationships>
</file>

<file path=xl/worksheets/_rels/sheet39.xml.rels><?xml version="1.0" encoding="UTF-8" standalone="yes"?>
<Relationships xmlns="http://schemas.openxmlformats.org/package/2006/relationships"><Relationship Id="rId7" Type="http://schemas.openxmlformats.org/officeDocument/2006/relationships/hyperlink" Target="mailto:ouzie354@gmail.com" TargetMode="External"/><Relationship Id="rId6" Type="http://schemas.openxmlformats.org/officeDocument/2006/relationships/hyperlink" Target="mailto:shbawono@gmail.com" TargetMode="External"/><Relationship Id="rId5" Type="http://schemas.openxmlformats.org/officeDocument/2006/relationships/hyperlink" Target="mailto:holmes.pasaribu@protelindo.net" TargetMode="External"/><Relationship Id="rId4" Type="http://schemas.openxmlformats.org/officeDocument/2006/relationships/hyperlink" Target="mailto:yoga.yuliantoro@gmail.com" TargetMode="External"/><Relationship Id="rId3" Type="http://schemas.openxmlformats.org/officeDocument/2006/relationships/hyperlink" Target="mailto:Ibnu.Hasan@protelindo.net" TargetMode="External"/><Relationship Id="rId2" Type="http://schemas.openxmlformats.org/officeDocument/2006/relationships/hyperlink" Target="mailto:Andry.Wicaksono@protelindo.net" TargetMode="External"/><Relationship Id="rId1" Type="http://schemas.openxmlformats.org/officeDocument/2006/relationships/drawing" Target="../drawings/drawing26.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niinggar23@gmail.com" TargetMode="External"/><Relationship Id="rId4" Type="http://schemas.openxmlformats.org/officeDocument/2006/relationships/hyperlink" Target="mailto:ahmadfaisal.faisal@gmail.com" TargetMode="External"/><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9" Type="http://schemas.openxmlformats.org/officeDocument/2006/relationships/hyperlink" Target="mailto:hengkysaputra18@gmail.com" TargetMode="External"/><Relationship Id="rId8" Type="http://schemas.openxmlformats.org/officeDocument/2006/relationships/hyperlink" Target="mailto:al.ihsan.rno@gmail.com" TargetMode="External"/><Relationship Id="rId7" Type="http://schemas.openxmlformats.org/officeDocument/2006/relationships/hyperlink" Target="mailto:prastiwi0212@gmail.com" TargetMode="External"/><Relationship Id="rId6" Type="http://schemas.openxmlformats.org/officeDocument/2006/relationships/hyperlink" Target="mailto:dedy.susanto8277@gmail.com" TargetMode="External"/><Relationship Id="rId5" Type="http://schemas.openxmlformats.org/officeDocument/2006/relationships/hyperlink" Target="mailto:tiaranovitasari11@gmail.com" TargetMode="External"/><Relationship Id="rId4" Type="http://schemas.openxmlformats.org/officeDocument/2006/relationships/hyperlink" Target="mailto:sriwahyunengsih1@gmail.com" TargetMode="External"/><Relationship Id="rId3" Type="http://schemas.openxmlformats.org/officeDocument/2006/relationships/hyperlink" Target="mailto:agratiomengku@gmail.com" TargetMode="External"/><Relationship Id="rId2" Type="http://schemas.openxmlformats.org/officeDocument/2006/relationships/vmlDrawing" Target="../drawings/vmlDrawing4.vml"/><Relationship Id="rId16" Type="http://schemas.openxmlformats.org/officeDocument/2006/relationships/hyperlink" Target="mailto:supraptomoreno98@gmail.com" TargetMode="External"/><Relationship Id="rId15" Type="http://schemas.openxmlformats.org/officeDocument/2006/relationships/hyperlink" Target="mailto:feliks_echo@yahoo.co.id" TargetMode="External"/><Relationship Id="rId14" Type="http://schemas.openxmlformats.org/officeDocument/2006/relationships/hyperlink" Target="mailto:hansindra@gmail.com" TargetMode="External"/><Relationship Id="rId13" Type="http://schemas.openxmlformats.org/officeDocument/2006/relationships/hyperlink" Target="mailto:adiwibowo.kwr@gmail.com" TargetMode="External"/><Relationship Id="rId12" Type="http://schemas.openxmlformats.org/officeDocument/2006/relationships/hyperlink" Target="mailto:riskitana1314@gmail.com" TargetMode="External"/><Relationship Id="rId11" Type="http://schemas.openxmlformats.org/officeDocument/2006/relationships/hyperlink" Target="mailto:dhedik.into@gmail.com" TargetMode="External"/><Relationship Id="rId10" Type="http://schemas.openxmlformats.org/officeDocument/2006/relationships/hyperlink" Target="mailto:agus.michael@gmail.com"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7" Type="http://schemas.openxmlformats.org/officeDocument/2006/relationships/hyperlink" Target="mailto:agustinatetry@gmail.com" TargetMode="External"/><Relationship Id="rId6" Type="http://schemas.openxmlformats.org/officeDocument/2006/relationships/hyperlink" Target="mailto:artha_iyung@yahoo.co.id" TargetMode="External"/><Relationship Id="rId5" Type="http://schemas.openxmlformats.org/officeDocument/2006/relationships/hyperlink" Target="mailto:nirwana_ramadhani@rocketmail.com" TargetMode="External"/><Relationship Id="rId4" Type="http://schemas.openxmlformats.org/officeDocument/2006/relationships/hyperlink" Target="mailto:emilshajji@gmail.com" TargetMode="External"/><Relationship Id="rId3" Type="http://schemas.openxmlformats.org/officeDocument/2006/relationships/hyperlink" Target="mailto:m.iqbalmuhti@gmail.com"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G398"/>
  <sheetViews>
    <sheetView topLeftCell="B3" workbookViewId="0">
      <pane xSplit="3" ySplit="2" topLeftCell="Y5" activePane="bottomRight" state="frozen"/>
      <selection/>
      <selection pane="topRight"/>
      <selection pane="bottomLeft"/>
      <selection pane="bottomRight" activeCell="AK139" sqref="AK139"/>
    </sheetView>
  </sheetViews>
  <sheetFormatPr defaultColWidth="9" defaultRowHeight="12.75"/>
  <cols>
    <col min="1" max="1" width="9.14166666666667" style="874" customWidth="1"/>
    <col min="2" max="2" width="5.56666666666667" style="874" customWidth="1"/>
    <col min="3" max="3" width="9.56666666666667" style="874" customWidth="1"/>
    <col min="4" max="4" width="27.2833333333333" style="874" customWidth="1"/>
    <col min="5" max="5" width="25.5666666666667" style="874" customWidth="1"/>
    <col min="6" max="6" width="5.70833333333333" style="874" customWidth="1"/>
    <col min="7" max="7" width="7.56666666666667" style="874" customWidth="1"/>
    <col min="8" max="8" width="11.8583333333333" style="874" customWidth="1"/>
    <col min="9" max="9" width="10.8583333333333" style="874" customWidth="1"/>
    <col min="10" max="10" width="25" style="874" customWidth="1"/>
    <col min="11" max="11" width="13.2833333333333" style="874" customWidth="1"/>
    <col min="12" max="12" width="9.70833333333333" style="874" customWidth="1"/>
    <col min="13" max="17" width="8.56666666666667" style="874" customWidth="1"/>
    <col min="18" max="18" width="8.425" style="874" customWidth="1"/>
    <col min="19" max="19" width="8.56666666666667" style="874" customWidth="1"/>
    <col min="20" max="21" width="8.425" style="874" customWidth="1"/>
    <col min="22" max="22" width="9.14166666666667" style="874" customWidth="1"/>
    <col min="23" max="24" width="8.56666666666667" style="874" customWidth="1"/>
    <col min="25" max="26" width="9.425" style="874" customWidth="1"/>
    <col min="27" max="27" width="8.85833333333333" style="874" customWidth="1"/>
    <col min="28" max="28" width="9.85833333333333" style="873" customWidth="1"/>
    <col min="29" max="29" width="8.70833333333333" style="873" customWidth="1"/>
    <col min="30" max="30" width="9.14166666666667" style="873" customWidth="1"/>
    <col min="31" max="31" width="8.14166666666667" style="873" customWidth="1"/>
    <col min="32" max="32" width="8.14166666666667" style="874" customWidth="1"/>
    <col min="33" max="33" width="8.425" style="874" customWidth="1"/>
    <col min="34" max="34" width="10.8583333333333" style="874" customWidth="1"/>
    <col min="35" max="35" width="9.14166666666667" style="874" customWidth="1"/>
    <col min="36" max="36" width="7.56666666666667" style="874" customWidth="1"/>
    <col min="37" max="37" width="10.5666666666667" style="874" customWidth="1"/>
    <col min="38" max="38" width="9.425" style="874" customWidth="1"/>
    <col min="39" max="39" width="11.425" style="874" customWidth="1"/>
    <col min="40" max="40" width="9.28333333333333" style="874" customWidth="1"/>
    <col min="41" max="41" width="11.1416666666667" style="874" customWidth="1"/>
    <col min="42" max="42" width="8.85833333333333" style="874" customWidth="1"/>
    <col min="43" max="43" width="6.85833333333333" style="874" customWidth="1"/>
    <col min="44" max="44" width="4" style="874" customWidth="1"/>
    <col min="45" max="45" width="24.8583333333333" style="874" customWidth="1"/>
    <col min="46" max="46" width="53.5666666666667" style="874" customWidth="1"/>
    <col min="47" max="47" width="49.8583333333333" style="874" customWidth="1"/>
    <col min="48" max="48" width="13" style="874" customWidth="1"/>
    <col min="49" max="49" width="23" style="874" customWidth="1"/>
    <col min="50" max="50" width="19.2833333333333" style="874" customWidth="1"/>
    <col min="51" max="51" width="18.2833333333333" style="874" customWidth="1"/>
    <col min="52" max="52" width="10.425" style="874" customWidth="1"/>
    <col min="53" max="53" width="15.5666666666667" style="1401" customWidth="1"/>
    <col min="54" max="55" width="32.5666666666667" style="874" customWidth="1"/>
    <col min="56" max="56" width="23.2833333333333" style="1402" customWidth="1"/>
    <col min="57" max="57" width="10.1416666666667" style="874" customWidth="1"/>
    <col min="58" max="58" width="10.7083333333333" style="874" customWidth="1"/>
    <col min="59" max="16384" width="9.14166666666667" style="874"/>
  </cols>
  <sheetData>
    <row r="1" spans="28:31">
      <c r="AB1" s="874"/>
      <c r="AC1" s="874"/>
      <c r="AD1" s="874"/>
      <c r="AE1" s="874"/>
    </row>
    <row r="2" ht="13.5" spans="28:31">
      <c r="AB2" s="874"/>
      <c r="AC2" s="874"/>
      <c r="AD2" s="874"/>
      <c r="AE2" s="874"/>
    </row>
    <row r="3" ht="16.5" customHeight="1" spans="2:55">
      <c r="B3" s="1040" t="s">
        <v>0</v>
      </c>
      <c r="C3" s="1040" t="s">
        <v>1</v>
      </c>
      <c r="D3" s="1040" t="s">
        <v>2</v>
      </c>
      <c r="E3" s="1040" t="s">
        <v>3</v>
      </c>
      <c r="F3" s="1040" t="s">
        <v>4</v>
      </c>
      <c r="G3" s="1040" t="s">
        <v>5</v>
      </c>
      <c r="H3" s="908" t="s">
        <v>6</v>
      </c>
      <c r="I3" s="908" t="s">
        <v>7</v>
      </c>
      <c r="J3" s="1040" t="s">
        <v>8</v>
      </c>
      <c r="K3" s="1286" t="s">
        <v>9</v>
      </c>
      <c r="L3" s="1287"/>
      <c r="M3" s="1286" t="s">
        <v>10</v>
      </c>
      <c r="N3" s="1288"/>
      <c r="O3" s="1288"/>
      <c r="P3" s="1288"/>
      <c r="Q3" s="1288"/>
      <c r="R3" s="1288"/>
      <c r="S3" s="1288"/>
      <c r="T3" s="1288"/>
      <c r="U3" s="1287"/>
      <c r="V3" s="1286" t="s">
        <v>11</v>
      </c>
      <c r="W3" s="1287"/>
      <c r="X3" s="1286" t="s">
        <v>10</v>
      </c>
      <c r="Y3" s="1288"/>
      <c r="Z3" s="1288"/>
      <c r="AA3" s="1287"/>
      <c r="AB3" s="1294" t="s">
        <v>12</v>
      </c>
      <c r="AC3" s="1295"/>
      <c r="AD3" s="1286" t="s">
        <v>13</v>
      </c>
      <c r="AE3" s="1287"/>
      <c r="AF3" s="1040" t="s">
        <v>14</v>
      </c>
      <c r="AG3" s="1040" t="s">
        <v>15</v>
      </c>
      <c r="AH3" s="1318" t="s">
        <v>16</v>
      </c>
      <c r="AI3" s="1318" t="s">
        <v>17</v>
      </c>
      <c r="AJ3" s="1298" t="s">
        <v>18</v>
      </c>
      <c r="AK3" s="1318" t="s">
        <v>19</v>
      </c>
      <c r="AL3" s="1318" t="s">
        <v>20</v>
      </c>
      <c r="AM3" s="1318" t="s">
        <v>21</v>
      </c>
      <c r="AN3" s="1318" t="s">
        <v>22</v>
      </c>
      <c r="AO3" s="1318" t="s">
        <v>23</v>
      </c>
      <c r="AP3" s="1318" t="s">
        <v>24</v>
      </c>
      <c r="AQ3" s="1298" t="s">
        <v>25</v>
      </c>
      <c r="AR3" s="908" t="s">
        <v>26</v>
      </c>
      <c r="AS3" s="1040" t="s">
        <v>27</v>
      </c>
      <c r="AT3" s="1040" t="s">
        <v>15</v>
      </c>
      <c r="AU3" s="1040" t="s">
        <v>28</v>
      </c>
      <c r="AV3" s="1301" t="s">
        <v>29</v>
      </c>
      <c r="AW3" s="1097" t="s">
        <v>30</v>
      </c>
      <c r="AX3" s="1097" t="s">
        <v>31</v>
      </c>
      <c r="AY3" s="1097" t="s">
        <v>32</v>
      </c>
      <c r="AZ3" s="1097" t="s">
        <v>33</v>
      </c>
      <c r="BA3" s="1097" t="s">
        <v>34</v>
      </c>
      <c r="BB3" s="1301" t="s">
        <v>35</v>
      </c>
      <c r="BC3" s="1440" t="s">
        <v>36</v>
      </c>
    </row>
    <row r="4" ht="13.5" spans="2:55">
      <c r="B4" s="909"/>
      <c r="C4" s="910"/>
      <c r="D4" s="910"/>
      <c r="E4" s="910"/>
      <c r="F4" s="910"/>
      <c r="G4" s="910"/>
      <c r="H4" s="909"/>
      <c r="I4" s="909"/>
      <c r="J4" s="1284"/>
      <c r="K4" s="1289" t="s">
        <v>37</v>
      </c>
      <c r="L4" s="1289" t="s">
        <v>38</v>
      </c>
      <c r="M4" s="1289">
        <v>1</v>
      </c>
      <c r="N4" s="1289">
        <v>2</v>
      </c>
      <c r="O4" s="1289">
        <v>3</v>
      </c>
      <c r="P4" s="1289">
        <v>4</v>
      </c>
      <c r="Q4" s="1289">
        <v>5</v>
      </c>
      <c r="R4" s="1289">
        <v>6</v>
      </c>
      <c r="S4" s="1289">
        <v>7</v>
      </c>
      <c r="T4" s="1289">
        <v>8</v>
      </c>
      <c r="U4" s="1289">
        <v>9</v>
      </c>
      <c r="V4" s="1289" t="s">
        <v>37</v>
      </c>
      <c r="W4" s="1289" t="s">
        <v>38</v>
      </c>
      <c r="X4" s="1293">
        <v>1</v>
      </c>
      <c r="Y4" s="1293">
        <v>2</v>
      </c>
      <c r="Z4" s="1293">
        <v>3</v>
      </c>
      <c r="AA4" s="1293">
        <v>4</v>
      </c>
      <c r="AB4" s="1296" t="s">
        <v>37</v>
      </c>
      <c r="AC4" s="1296" t="s">
        <v>38</v>
      </c>
      <c r="AD4" s="1289" t="s">
        <v>37</v>
      </c>
      <c r="AE4" s="1289" t="s">
        <v>38</v>
      </c>
      <c r="AF4" s="910"/>
      <c r="AG4" s="910"/>
      <c r="AH4" s="1319"/>
      <c r="AI4" s="1319"/>
      <c r="AJ4" s="944"/>
      <c r="AK4" s="1319"/>
      <c r="AL4" s="1319"/>
      <c r="AM4" s="1319"/>
      <c r="AN4" s="1319"/>
      <c r="AO4" s="1319"/>
      <c r="AP4" s="1322"/>
      <c r="AQ4" s="954"/>
      <c r="AR4" s="909"/>
      <c r="AS4" s="909"/>
      <c r="AT4" s="909"/>
      <c r="AU4" s="1284"/>
      <c r="AV4" s="1302"/>
      <c r="AW4" s="1098"/>
      <c r="AX4" s="1323"/>
      <c r="AY4" s="1098"/>
      <c r="AZ4" s="1098"/>
      <c r="BA4" s="1098"/>
      <c r="BB4" s="1302"/>
      <c r="BC4" s="1441"/>
    </row>
    <row r="5" s="1021" customFormat="1" ht="21.75" spans="2:59">
      <c r="B5" s="1532" t="s">
        <v>39</v>
      </c>
      <c r="C5" s="14" t="s">
        <v>40</v>
      </c>
      <c r="D5" s="973" t="s">
        <v>41</v>
      </c>
      <c r="E5" s="975" t="s">
        <v>42</v>
      </c>
      <c r="F5" s="976" t="s">
        <v>43</v>
      </c>
      <c r="G5" s="977" t="s">
        <v>44</v>
      </c>
      <c r="H5" s="976" t="s">
        <v>45</v>
      </c>
      <c r="I5" s="976" t="s">
        <v>46</v>
      </c>
      <c r="J5" s="976" t="s">
        <v>47</v>
      </c>
      <c r="K5" s="980">
        <v>42118</v>
      </c>
      <c r="L5" s="980">
        <v>42490</v>
      </c>
      <c r="M5" s="980">
        <v>42674</v>
      </c>
      <c r="N5" s="980">
        <v>42735</v>
      </c>
      <c r="O5" s="980">
        <v>42825</v>
      </c>
      <c r="P5" s="980">
        <v>42848</v>
      </c>
      <c r="Q5" s="980"/>
      <c r="R5" s="980"/>
      <c r="S5" s="980"/>
      <c r="T5" s="980"/>
      <c r="U5" s="980"/>
      <c r="V5" s="980">
        <v>42849</v>
      </c>
      <c r="W5" s="980">
        <v>42886</v>
      </c>
      <c r="X5" s="980">
        <v>42916</v>
      </c>
      <c r="Y5" s="980">
        <v>43100</v>
      </c>
      <c r="Z5" s="980">
        <v>43213</v>
      </c>
      <c r="AA5" s="980"/>
      <c r="AB5" s="980">
        <v>43214</v>
      </c>
      <c r="AC5" s="980">
        <v>43243</v>
      </c>
      <c r="AD5" s="980">
        <v>43244</v>
      </c>
      <c r="AE5" s="980">
        <v>43281</v>
      </c>
      <c r="AF5" s="640">
        <f ca="1" t="shared" ref="AF5:AF13" si="0">SUM(AE5-NOW())</f>
        <v>8.61546296296001</v>
      </c>
      <c r="AG5" s="121" t="str">
        <f ca="1" t="shared" ref="AG5:AG36" si="1">IF(AF5&lt;=40,"WARNING","ACTIVE")</f>
        <v>WARNING</v>
      </c>
      <c r="AH5" s="1000">
        <v>3000000</v>
      </c>
      <c r="AI5" s="1000">
        <v>200000</v>
      </c>
      <c r="AJ5" s="1001">
        <v>17000</v>
      </c>
      <c r="AK5" s="1001"/>
      <c r="AL5" s="1001"/>
      <c r="AM5" s="1001"/>
      <c r="AN5" s="1001"/>
      <c r="AO5" s="1001"/>
      <c r="AP5" s="1001"/>
      <c r="AQ5" s="1001" t="s">
        <v>0</v>
      </c>
      <c r="AR5" s="1001" t="s">
        <v>48</v>
      </c>
      <c r="AS5" s="1001" t="s">
        <v>49</v>
      </c>
      <c r="AT5" s="976" t="s">
        <v>50</v>
      </c>
      <c r="AU5" s="976" t="s">
        <v>51</v>
      </c>
      <c r="AV5" s="1011">
        <v>89695651213</v>
      </c>
      <c r="AW5" s="1011" t="s">
        <v>52</v>
      </c>
      <c r="AX5" s="1011" t="s">
        <v>53</v>
      </c>
      <c r="AY5" s="1011"/>
      <c r="AZ5" s="1011"/>
      <c r="BA5" s="1011" t="s">
        <v>54</v>
      </c>
      <c r="BB5" s="1011"/>
      <c r="BC5" s="1442"/>
      <c r="BD5" s="1402" t="s">
        <v>55</v>
      </c>
      <c r="BE5" s="1306"/>
      <c r="BF5" s="1306"/>
      <c r="BG5" s="1402"/>
    </row>
    <row r="6" s="1021" customFormat="1" ht="21" spans="2:59">
      <c r="B6" s="1532" t="s">
        <v>56</v>
      </c>
      <c r="C6" s="14" t="s">
        <v>57</v>
      </c>
      <c r="D6" s="973" t="s">
        <v>58</v>
      </c>
      <c r="E6" s="975" t="s">
        <v>59</v>
      </c>
      <c r="F6" s="976" t="s">
        <v>43</v>
      </c>
      <c r="G6" s="977" t="s">
        <v>60</v>
      </c>
      <c r="H6" s="976" t="s">
        <v>45</v>
      </c>
      <c r="I6" s="976" t="s">
        <v>46</v>
      </c>
      <c r="J6" s="976" t="s">
        <v>61</v>
      </c>
      <c r="K6" s="980">
        <v>42121</v>
      </c>
      <c r="L6" s="980">
        <v>42490</v>
      </c>
      <c r="M6" s="980">
        <v>42674</v>
      </c>
      <c r="N6" s="980">
        <v>42735</v>
      </c>
      <c r="O6" s="980">
        <v>42825</v>
      </c>
      <c r="P6" s="980">
        <v>42851</v>
      </c>
      <c r="Q6" s="980"/>
      <c r="R6" s="980"/>
      <c r="S6" s="980"/>
      <c r="T6" s="980"/>
      <c r="U6" s="980"/>
      <c r="V6" s="980">
        <v>42852</v>
      </c>
      <c r="W6" s="980">
        <v>42916</v>
      </c>
      <c r="X6" s="980">
        <v>43100</v>
      </c>
      <c r="Y6" s="980">
        <v>43216</v>
      </c>
      <c r="Z6" s="980"/>
      <c r="AA6" s="980"/>
      <c r="AB6" s="980">
        <v>43217</v>
      </c>
      <c r="AC6" s="980">
        <v>43246</v>
      </c>
      <c r="AD6" s="980">
        <v>43247</v>
      </c>
      <c r="AE6" s="980">
        <v>43281</v>
      </c>
      <c r="AF6" s="640">
        <f ca="1" t="shared" si="0"/>
        <v>8.61546296296001</v>
      </c>
      <c r="AG6" s="121" t="str">
        <f ca="1" t="shared" si="1"/>
        <v>WARNING</v>
      </c>
      <c r="AH6" s="1000">
        <v>3200000</v>
      </c>
      <c r="AI6" s="1000">
        <v>200000</v>
      </c>
      <c r="AJ6" s="1001">
        <v>17000</v>
      </c>
      <c r="AK6" s="1001"/>
      <c r="AL6" s="1001"/>
      <c r="AM6" s="1001"/>
      <c r="AN6" s="1001"/>
      <c r="AO6" s="1001"/>
      <c r="AP6" s="1001"/>
      <c r="AQ6" s="1001" t="s">
        <v>0</v>
      </c>
      <c r="AR6" s="1001" t="s">
        <v>48</v>
      </c>
      <c r="AS6" s="1001" t="s">
        <v>49</v>
      </c>
      <c r="AT6" s="976" t="s">
        <v>62</v>
      </c>
      <c r="AU6" s="976" t="s">
        <v>63</v>
      </c>
      <c r="AV6" s="1011"/>
      <c r="AW6" s="1011" t="s">
        <v>64</v>
      </c>
      <c r="AX6" s="1011" t="s">
        <v>65</v>
      </c>
      <c r="AY6" s="1011" t="s">
        <v>66</v>
      </c>
      <c r="AZ6" s="1011">
        <v>1171725827</v>
      </c>
      <c r="BA6" s="1011" t="s">
        <v>67</v>
      </c>
      <c r="BB6" s="1011"/>
      <c r="BC6" s="1442"/>
      <c r="BD6" s="1402" t="s">
        <v>55</v>
      </c>
      <c r="BE6" s="1306"/>
      <c r="BF6" s="1306"/>
      <c r="BG6" s="1402"/>
    </row>
    <row r="7" s="1021" customFormat="1" ht="31.5" spans="2:59">
      <c r="B7" s="1532" t="s">
        <v>68</v>
      </c>
      <c r="C7" s="14" t="s">
        <v>69</v>
      </c>
      <c r="D7" s="973" t="s">
        <v>70</v>
      </c>
      <c r="E7" s="975" t="s">
        <v>71</v>
      </c>
      <c r="F7" s="976" t="s">
        <v>43</v>
      </c>
      <c r="G7" s="977" t="s">
        <v>44</v>
      </c>
      <c r="H7" s="976" t="s">
        <v>45</v>
      </c>
      <c r="I7" s="976" t="s">
        <v>46</v>
      </c>
      <c r="J7" s="976" t="s">
        <v>47</v>
      </c>
      <c r="K7" s="980">
        <v>42123</v>
      </c>
      <c r="L7" s="980">
        <v>42490</v>
      </c>
      <c r="M7" s="980">
        <v>42674</v>
      </c>
      <c r="N7" s="980">
        <v>42735</v>
      </c>
      <c r="O7" s="980">
        <v>42825</v>
      </c>
      <c r="P7" s="980">
        <v>42853</v>
      </c>
      <c r="Q7" s="980"/>
      <c r="R7" s="980"/>
      <c r="S7" s="980"/>
      <c r="T7" s="980"/>
      <c r="U7" s="980"/>
      <c r="V7" s="980">
        <v>42854</v>
      </c>
      <c r="W7" s="980">
        <v>42886</v>
      </c>
      <c r="X7" s="980">
        <v>43100</v>
      </c>
      <c r="Y7" s="980">
        <v>43218</v>
      </c>
      <c r="Z7" s="980"/>
      <c r="AA7" s="980"/>
      <c r="AB7" s="980">
        <v>43219</v>
      </c>
      <c r="AC7" s="980">
        <v>43248</v>
      </c>
      <c r="AD7" s="980">
        <v>43249</v>
      </c>
      <c r="AE7" s="980">
        <v>43281</v>
      </c>
      <c r="AF7" s="640">
        <f ca="1" t="shared" si="0"/>
        <v>8.61546296296001</v>
      </c>
      <c r="AG7" s="121" t="str">
        <f ca="1" t="shared" si="1"/>
        <v>WARNING</v>
      </c>
      <c r="AH7" s="1000">
        <v>3200000</v>
      </c>
      <c r="AI7" s="1000">
        <v>200000</v>
      </c>
      <c r="AJ7" s="1001">
        <v>17000</v>
      </c>
      <c r="AK7" s="1429">
        <v>0</v>
      </c>
      <c r="AL7" s="1001"/>
      <c r="AM7" s="1001"/>
      <c r="AN7" s="1001"/>
      <c r="AO7" s="1001"/>
      <c r="AP7" s="1001"/>
      <c r="AQ7" s="1001" t="s">
        <v>0</v>
      </c>
      <c r="AR7" s="1001" t="s">
        <v>48</v>
      </c>
      <c r="AS7" s="1001" t="s">
        <v>49</v>
      </c>
      <c r="AT7" s="976" t="s">
        <v>72</v>
      </c>
      <c r="AU7" s="976" t="s">
        <v>73</v>
      </c>
      <c r="AV7" s="1533" t="s">
        <v>74</v>
      </c>
      <c r="AW7" s="1011" t="s">
        <v>75</v>
      </c>
      <c r="AX7" s="1011"/>
      <c r="AY7" s="1011"/>
      <c r="AZ7" s="1011"/>
      <c r="BA7" s="1011" t="s">
        <v>76</v>
      </c>
      <c r="BB7" s="1011" t="s">
        <v>77</v>
      </c>
      <c r="BC7" s="980"/>
      <c r="BD7" s="1402" t="s">
        <v>55</v>
      </c>
      <c r="BE7" s="1306"/>
      <c r="BF7" s="1306"/>
      <c r="BG7" s="1402"/>
    </row>
    <row r="8" s="1021" customFormat="1" ht="31.5" spans="2:59">
      <c r="B8" s="1532" t="s">
        <v>78</v>
      </c>
      <c r="C8" s="14" t="s">
        <v>79</v>
      </c>
      <c r="D8" s="973" t="s">
        <v>80</v>
      </c>
      <c r="E8" s="975" t="s">
        <v>81</v>
      </c>
      <c r="F8" s="976" t="s">
        <v>43</v>
      </c>
      <c r="G8" s="977" t="s">
        <v>44</v>
      </c>
      <c r="H8" s="976" t="s">
        <v>45</v>
      </c>
      <c r="I8" s="976" t="s">
        <v>82</v>
      </c>
      <c r="J8" s="976" t="s">
        <v>83</v>
      </c>
      <c r="K8" s="980">
        <v>42128</v>
      </c>
      <c r="L8" s="980">
        <v>42219</v>
      </c>
      <c r="M8" s="980">
        <v>42277</v>
      </c>
      <c r="N8" s="980">
        <v>42369</v>
      </c>
      <c r="O8" s="980">
        <v>42429</v>
      </c>
      <c r="P8" s="980">
        <v>42490</v>
      </c>
      <c r="Q8" s="980">
        <v>42582</v>
      </c>
      <c r="R8" s="980">
        <v>42674</v>
      </c>
      <c r="S8" s="980">
        <v>42735</v>
      </c>
      <c r="T8" s="980">
        <v>42825</v>
      </c>
      <c r="U8" s="980">
        <v>42858</v>
      </c>
      <c r="V8" s="980">
        <v>42859</v>
      </c>
      <c r="W8" s="980">
        <v>42947</v>
      </c>
      <c r="X8" s="980">
        <v>43008</v>
      </c>
      <c r="Y8" s="980">
        <v>43100</v>
      </c>
      <c r="Z8" s="980">
        <v>43131</v>
      </c>
      <c r="AA8" s="1418">
        <v>43223</v>
      </c>
      <c r="AB8" s="980">
        <v>43224</v>
      </c>
      <c r="AC8" s="1418">
        <v>43254</v>
      </c>
      <c r="AD8" s="980">
        <v>43255</v>
      </c>
      <c r="AE8" s="1418">
        <v>43281</v>
      </c>
      <c r="AF8" s="640">
        <f ca="1" t="shared" si="0"/>
        <v>8.61546296296001</v>
      </c>
      <c r="AG8" s="121" t="str">
        <f ca="1" t="shared" si="1"/>
        <v>WARNING</v>
      </c>
      <c r="AH8" s="1000">
        <v>3000000</v>
      </c>
      <c r="AI8" s="1000">
        <v>250000</v>
      </c>
      <c r="AJ8" s="1001">
        <v>17000</v>
      </c>
      <c r="AK8" s="1001"/>
      <c r="AL8" s="1001"/>
      <c r="AM8" s="1001">
        <v>500000</v>
      </c>
      <c r="AN8" s="1001"/>
      <c r="AO8" s="1001"/>
      <c r="AP8" s="1429">
        <v>0</v>
      </c>
      <c r="AQ8" s="1001" t="s">
        <v>0</v>
      </c>
      <c r="AR8" s="1001" t="s">
        <v>48</v>
      </c>
      <c r="AS8" s="1001" t="s">
        <v>49</v>
      </c>
      <c r="AT8" s="976" t="s">
        <v>84</v>
      </c>
      <c r="AU8" s="976" t="s">
        <v>85</v>
      </c>
      <c r="AV8" s="1533" t="s">
        <v>86</v>
      </c>
      <c r="AW8" s="1011" t="s">
        <v>87</v>
      </c>
      <c r="AX8" s="1011" t="s">
        <v>88</v>
      </c>
      <c r="AY8" s="1011" t="s">
        <v>89</v>
      </c>
      <c r="AZ8" s="1011"/>
      <c r="BA8" s="1011" t="s">
        <v>90</v>
      </c>
      <c r="BB8" s="1011" t="s">
        <v>91</v>
      </c>
      <c r="BC8" s="980"/>
      <c r="BD8" s="1402" t="s">
        <v>55</v>
      </c>
      <c r="BE8" s="1306"/>
      <c r="BF8" s="1306"/>
      <c r="BG8" s="1402"/>
    </row>
    <row r="9" s="1021" customFormat="1" ht="21" spans="2:59">
      <c r="B9" s="1532" t="s">
        <v>92</v>
      </c>
      <c r="C9" s="14" t="s">
        <v>93</v>
      </c>
      <c r="D9" s="973" t="s">
        <v>94</v>
      </c>
      <c r="E9" s="975" t="s">
        <v>95</v>
      </c>
      <c r="F9" s="976" t="s">
        <v>43</v>
      </c>
      <c r="G9" s="977" t="s">
        <v>96</v>
      </c>
      <c r="H9" s="976" t="s">
        <v>45</v>
      </c>
      <c r="I9" s="976" t="s">
        <v>46</v>
      </c>
      <c r="J9" s="976" t="s">
        <v>97</v>
      </c>
      <c r="K9" s="980">
        <v>42123</v>
      </c>
      <c r="L9" s="980">
        <v>42490</v>
      </c>
      <c r="M9" s="980">
        <v>42582</v>
      </c>
      <c r="N9" s="980">
        <v>42674</v>
      </c>
      <c r="O9" s="980">
        <v>42735</v>
      </c>
      <c r="P9" s="980">
        <v>42825</v>
      </c>
      <c r="Q9" s="980">
        <v>42853</v>
      </c>
      <c r="R9" s="980"/>
      <c r="S9" s="980"/>
      <c r="T9" s="980"/>
      <c r="U9" s="980"/>
      <c r="V9" s="980">
        <v>42854</v>
      </c>
      <c r="W9" s="980">
        <v>42947</v>
      </c>
      <c r="X9" s="980">
        <v>43100</v>
      </c>
      <c r="Y9" s="980">
        <v>43190</v>
      </c>
      <c r="Z9" s="980">
        <v>43218</v>
      </c>
      <c r="AA9" s="980"/>
      <c r="AB9" s="980">
        <v>43219</v>
      </c>
      <c r="AC9" s="980">
        <v>43248</v>
      </c>
      <c r="AD9" s="980">
        <v>43249</v>
      </c>
      <c r="AE9" s="980">
        <v>43281</v>
      </c>
      <c r="AF9" s="640">
        <f ca="1" t="shared" si="0"/>
        <v>8.61546296296001</v>
      </c>
      <c r="AG9" s="121" t="str">
        <f ca="1" t="shared" si="1"/>
        <v>WARNING</v>
      </c>
      <c r="AH9" s="1000">
        <v>3200000</v>
      </c>
      <c r="AI9" s="1000">
        <v>200000</v>
      </c>
      <c r="AJ9" s="1001">
        <v>17000</v>
      </c>
      <c r="AK9" s="1001"/>
      <c r="AL9" s="1001">
        <v>750000</v>
      </c>
      <c r="AM9" s="1001"/>
      <c r="AN9" s="1001"/>
      <c r="AO9" s="1001"/>
      <c r="AP9" s="1001"/>
      <c r="AQ9" s="1001" t="s">
        <v>0</v>
      </c>
      <c r="AR9" s="1001" t="s">
        <v>48</v>
      </c>
      <c r="AS9" s="1001" t="s">
        <v>49</v>
      </c>
      <c r="AT9" s="976" t="s">
        <v>98</v>
      </c>
      <c r="AU9" s="976" t="s">
        <v>99</v>
      </c>
      <c r="AV9" s="1533" t="s">
        <v>100</v>
      </c>
      <c r="AW9" s="1011" t="s">
        <v>101</v>
      </c>
      <c r="AX9" s="1011" t="s">
        <v>102</v>
      </c>
      <c r="AY9" s="1011" t="s">
        <v>103</v>
      </c>
      <c r="AZ9" s="1011">
        <v>0</v>
      </c>
      <c r="BA9" s="1011" t="s">
        <v>104</v>
      </c>
      <c r="BB9" s="1011" t="s">
        <v>105</v>
      </c>
      <c r="BC9" s="980"/>
      <c r="BD9" s="1402" t="s">
        <v>106</v>
      </c>
      <c r="BE9" s="1306"/>
      <c r="BF9" s="1306"/>
      <c r="BG9" s="1402"/>
    </row>
    <row r="10" s="1021" customFormat="1" ht="31.5" spans="2:59">
      <c r="B10" s="1532" t="s">
        <v>107</v>
      </c>
      <c r="C10" s="14" t="s">
        <v>108</v>
      </c>
      <c r="D10" s="973" t="s">
        <v>109</v>
      </c>
      <c r="E10" s="975" t="s">
        <v>110</v>
      </c>
      <c r="F10" s="976" t="s">
        <v>43</v>
      </c>
      <c r="G10" s="977" t="s">
        <v>60</v>
      </c>
      <c r="H10" s="976" t="s">
        <v>45</v>
      </c>
      <c r="I10" s="976" t="s">
        <v>46</v>
      </c>
      <c r="J10" s="976" t="s">
        <v>111</v>
      </c>
      <c r="K10" s="980">
        <v>42135</v>
      </c>
      <c r="L10" s="980">
        <v>42308</v>
      </c>
      <c r="M10" s="980">
        <v>42490</v>
      </c>
      <c r="N10" s="980">
        <v>42855</v>
      </c>
      <c r="O10" s="980">
        <v>42865</v>
      </c>
      <c r="P10" s="980"/>
      <c r="Q10" s="980"/>
      <c r="R10" s="980"/>
      <c r="S10" s="980"/>
      <c r="T10" s="980"/>
      <c r="U10" s="980"/>
      <c r="V10" s="980">
        <v>42866</v>
      </c>
      <c r="W10" s="980">
        <v>42947</v>
      </c>
      <c r="X10" s="980">
        <v>43100</v>
      </c>
      <c r="Y10" s="980">
        <v>43230</v>
      </c>
      <c r="Z10" s="980"/>
      <c r="AA10" s="980"/>
      <c r="AB10" s="980">
        <v>43231</v>
      </c>
      <c r="AC10" s="980">
        <v>43261</v>
      </c>
      <c r="AD10" s="980">
        <v>43262</v>
      </c>
      <c r="AE10" s="980">
        <v>43281</v>
      </c>
      <c r="AF10" s="640">
        <f ca="1" t="shared" si="0"/>
        <v>8.61546296296001</v>
      </c>
      <c r="AG10" s="121" t="str">
        <f ca="1" t="shared" si="1"/>
        <v>WARNING</v>
      </c>
      <c r="AH10" s="1000">
        <v>4500000</v>
      </c>
      <c r="AI10" s="1000">
        <v>400000</v>
      </c>
      <c r="AJ10" s="1001">
        <v>17000</v>
      </c>
      <c r="AK10" s="1001"/>
      <c r="AL10" s="1001"/>
      <c r="AM10" s="1001">
        <v>500000</v>
      </c>
      <c r="AN10" s="1001"/>
      <c r="AO10" s="1001"/>
      <c r="AP10" s="1001">
        <v>300000</v>
      </c>
      <c r="AQ10" s="1001" t="s">
        <v>112</v>
      </c>
      <c r="AR10" s="1001" t="s">
        <v>113</v>
      </c>
      <c r="AS10" s="1001" t="s">
        <v>49</v>
      </c>
      <c r="AT10" s="976" t="s">
        <v>114</v>
      </c>
      <c r="AU10" s="976" t="s">
        <v>115</v>
      </c>
      <c r="AV10" s="1533" t="s">
        <v>116</v>
      </c>
      <c r="AW10" s="1011" t="s">
        <v>117</v>
      </c>
      <c r="AX10" s="1011" t="s">
        <v>118</v>
      </c>
      <c r="AY10" s="1011"/>
      <c r="AZ10" s="1011">
        <v>12031044774</v>
      </c>
      <c r="BA10" s="1011" t="s">
        <v>119</v>
      </c>
      <c r="BB10" s="1011" t="s">
        <v>120</v>
      </c>
      <c r="BC10" s="980"/>
      <c r="BD10" s="1402" t="s">
        <v>55</v>
      </c>
      <c r="BE10" s="1306"/>
      <c r="BF10" s="1306"/>
      <c r="BG10" s="1402"/>
    </row>
    <row r="11" s="1021" customFormat="1" ht="21" spans="2:59">
      <c r="B11" s="1532" t="s">
        <v>121</v>
      </c>
      <c r="C11" s="14" t="s">
        <v>122</v>
      </c>
      <c r="D11" s="973" t="s">
        <v>123</v>
      </c>
      <c r="E11" s="975" t="s">
        <v>124</v>
      </c>
      <c r="F11" s="976" t="s">
        <v>125</v>
      </c>
      <c r="G11" s="977" t="s">
        <v>44</v>
      </c>
      <c r="H11" s="976" t="s">
        <v>45</v>
      </c>
      <c r="I11" s="976" t="s">
        <v>46</v>
      </c>
      <c r="J11" s="976" t="s">
        <v>126</v>
      </c>
      <c r="K11" s="980">
        <v>42131</v>
      </c>
      <c r="L11" s="980">
        <v>42308</v>
      </c>
      <c r="M11" s="980">
        <v>42490</v>
      </c>
      <c r="N11" s="980">
        <v>42855</v>
      </c>
      <c r="O11" s="980">
        <v>42861</v>
      </c>
      <c r="P11" s="980"/>
      <c r="Q11" s="980"/>
      <c r="R11" s="980"/>
      <c r="S11" s="980"/>
      <c r="T11" s="980"/>
      <c r="U11" s="980"/>
      <c r="V11" s="980">
        <v>42862</v>
      </c>
      <c r="W11" s="980">
        <v>42947</v>
      </c>
      <c r="X11" s="980">
        <v>43100</v>
      </c>
      <c r="Y11" s="980">
        <v>43226</v>
      </c>
      <c r="Z11" s="980"/>
      <c r="AA11" s="980"/>
      <c r="AB11" s="980">
        <v>43227</v>
      </c>
      <c r="AC11" s="980">
        <v>43257</v>
      </c>
      <c r="AD11" s="980">
        <v>43258</v>
      </c>
      <c r="AE11" s="980">
        <v>43281</v>
      </c>
      <c r="AF11" s="640">
        <f ca="1" t="shared" si="0"/>
        <v>8.61546296296001</v>
      </c>
      <c r="AG11" s="121" t="str">
        <f ca="1" t="shared" si="1"/>
        <v>WARNING</v>
      </c>
      <c r="AH11" s="1000">
        <v>3400000</v>
      </c>
      <c r="AI11" s="1000">
        <v>250000</v>
      </c>
      <c r="AJ11" s="1001">
        <v>17000</v>
      </c>
      <c r="AK11" s="1001"/>
      <c r="AL11" s="1001"/>
      <c r="AM11" s="1429">
        <v>500000</v>
      </c>
      <c r="AN11" s="1001"/>
      <c r="AO11" s="1001"/>
      <c r="AP11" s="1001"/>
      <c r="AQ11" s="1001" t="s">
        <v>112</v>
      </c>
      <c r="AR11" s="1001" t="s">
        <v>113</v>
      </c>
      <c r="AS11" s="1001" t="s">
        <v>49</v>
      </c>
      <c r="AT11" s="976" t="s">
        <v>127</v>
      </c>
      <c r="AU11" s="976" t="s">
        <v>128</v>
      </c>
      <c r="AV11" s="1533" t="s">
        <v>129</v>
      </c>
      <c r="AW11" s="1011" t="s">
        <v>130</v>
      </c>
      <c r="AX11" s="1011" t="s">
        <v>131</v>
      </c>
      <c r="AY11" s="1011" t="s">
        <v>132</v>
      </c>
      <c r="AZ11" s="1011">
        <v>0</v>
      </c>
      <c r="BA11" s="1011" t="s">
        <v>133</v>
      </c>
      <c r="BB11" s="1011" t="s">
        <v>134</v>
      </c>
      <c r="BC11" s="980"/>
      <c r="BD11" s="1402" t="s">
        <v>55</v>
      </c>
      <c r="BE11" s="1306"/>
      <c r="BF11" s="1306"/>
      <c r="BG11" s="1402"/>
    </row>
    <row r="12" s="1021" customFormat="1" ht="21" spans="2:59">
      <c r="B12" s="1532" t="s">
        <v>135</v>
      </c>
      <c r="C12" s="14" t="s">
        <v>136</v>
      </c>
      <c r="D12" s="973" t="s">
        <v>137</v>
      </c>
      <c r="E12" s="975" t="s">
        <v>138</v>
      </c>
      <c r="F12" s="976" t="s">
        <v>43</v>
      </c>
      <c r="G12" s="977" t="s">
        <v>44</v>
      </c>
      <c r="H12" s="976" t="s">
        <v>45</v>
      </c>
      <c r="I12" s="976" t="s">
        <v>46</v>
      </c>
      <c r="J12" s="976" t="s">
        <v>61</v>
      </c>
      <c r="K12" s="980">
        <v>42136</v>
      </c>
      <c r="L12" s="980">
        <v>42490</v>
      </c>
      <c r="M12" s="980">
        <v>42674</v>
      </c>
      <c r="N12" s="980">
        <v>42735</v>
      </c>
      <c r="O12" s="980">
        <v>42825</v>
      </c>
      <c r="P12" s="980">
        <v>42866</v>
      </c>
      <c r="Q12" s="980"/>
      <c r="R12" s="980"/>
      <c r="S12" s="980"/>
      <c r="T12" s="980"/>
      <c r="U12" s="980"/>
      <c r="V12" s="980">
        <v>42867</v>
      </c>
      <c r="W12" s="980">
        <v>42916</v>
      </c>
      <c r="X12" s="980">
        <v>43100</v>
      </c>
      <c r="Y12" s="980">
        <v>43231</v>
      </c>
      <c r="Z12" s="980"/>
      <c r="AA12" s="980"/>
      <c r="AB12" s="980">
        <v>43232</v>
      </c>
      <c r="AC12" s="980">
        <v>43262</v>
      </c>
      <c r="AD12" s="980">
        <v>43263</v>
      </c>
      <c r="AE12" s="980">
        <v>43281</v>
      </c>
      <c r="AF12" s="640">
        <f ca="1" t="shared" si="0"/>
        <v>8.61546296296001</v>
      </c>
      <c r="AG12" s="121" t="str">
        <f ca="1" t="shared" si="1"/>
        <v>WARNING</v>
      </c>
      <c r="AH12" s="1000">
        <v>3200000</v>
      </c>
      <c r="AI12" s="1000">
        <v>200000</v>
      </c>
      <c r="AJ12" s="1001">
        <v>17000</v>
      </c>
      <c r="AK12" s="1429">
        <v>0</v>
      </c>
      <c r="AL12" s="1001"/>
      <c r="AM12" s="1001"/>
      <c r="AN12" s="1001"/>
      <c r="AO12" s="1001"/>
      <c r="AP12" s="1001"/>
      <c r="AQ12" s="1001" t="s">
        <v>112</v>
      </c>
      <c r="AR12" s="1001" t="s">
        <v>113</v>
      </c>
      <c r="AS12" s="1001" t="s">
        <v>49</v>
      </c>
      <c r="AT12" s="1414" t="s">
        <v>139</v>
      </c>
      <c r="AU12" s="976" t="s">
        <v>140</v>
      </c>
      <c r="AV12" s="1533" t="s">
        <v>141</v>
      </c>
      <c r="AW12" s="1011" t="s">
        <v>142</v>
      </c>
      <c r="AX12" s="1011" t="s">
        <v>143</v>
      </c>
      <c r="AY12" s="1011"/>
      <c r="AZ12" s="1011"/>
      <c r="BA12" s="1011" t="s">
        <v>144</v>
      </c>
      <c r="BB12" s="1011" t="s">
        <v>145</v>
      </c>
      <c r="BC12" s="980"/>
      <c r="BD12" s="1402" t="s">
        <v>55</v>
      </c>
      <c r="BE12" s="1306"/>
      <c r="BF12" s="1306"/>
      <c r="BG12" s="1402"/>
    </row>
    <row r="13" s="1021" customFormat="1" ht="21" spans="2:59">
      <c r="B13" s="1532" t="s">
        <v>146</v>
      </c>
      <c r="C13" s="14" t="s">
        <v>147</v>
      </c>
      <c r="D13" s="973" t="s">
        <v>148</v>
      </c>
      <c r="E13" s="975" t="s">
        <v>149</v>
      </c>
      <c r="F13" s="976" t="s">
        <v>43</v>
      </c>
      <c r="G13" s="977" t="s">
        <v>96</v>
      </c>
      <c r="H13" s="976" t="s">
        <v>45</v>
      </c>
      <c r="I13" s="976" t="s">
        <v>46</v>
      </c>
      <c r="J13" s="976" t="s">
        <v>150</v>
      </c>
      <c r="K13" s="980">
        <v>42135</v>
      </c>
      <c r="L13" s="980">
        <v>42490</v>
      </c>
      <c r="M13" s="980">
        <v>42582</v>
      </c>
      <c r="N13" s="980">
        <v>42674</v>
      </c>
      <c r="O13" s="980">
        <v>42735</v>
      </c>
      <c r="P13" s="980">
        <v>42825</v>
      </c>
      <c r="Q13" s="980">
        <v>42865</v>
      </c>
      <c r="R13" s="980"/>
      <c r="S13" s="980"/>
      <c r="T13" s="980"/>
      <c r="U13" s="980"/>
      <c r="V13" s="980">
        <v>42866</v>
      </c>
      <c r="W13" s="980">
        <v>42886</v>
      </c>
      <c r="X13" s="980">
        <v>43039</v>
      </c>
      <c r="Y13" s="980">
        <v>43131</v>
      </c>
      <c r="Z13" s="980">
        <v>43230</v>
      </c>
      <c r="AA13" s="980"/>
      <c r="AB13" s="980">
        <v>43231</v>
      </c>
      <c r="AC13" s="980">
        <v>43261</v>
      </c>
      <c r="AD13" s="980">
        <v>43262</v>
      </c>
      <c r="AE13" s="980">
        <v>43281</v>
      </c>
      <c r="AF13" s="640">
        <f ca="1" t="shared" si="0"/>
        <v>8.61546296296001</v>
      </c>
      <c r="AG13" s="121" t="str">
        <f ca="1" t="shared" si="1"/>
        <v>WARNING</v>
      </c>
      <c r="AH13" s="1000">
        <v>2800000</v>
      </c>
      <c r="AI13" s="1000">
        <v>150000</v>
      </c>
      <c r="AJ13" s="1001">
        <v>17000</v>
      </c>
      <c r="AK13" s="1001"/>
      <c r="AL13" s="1001"/>
      <c r="AM13" s="1001"/>
      <c r="AN13" s="1001"/>
      <c r="AO13" s="1001"/>
      <c r="AP13" s="1001"/>
      <c r="AQ13" s="1001" t="s">
        <v>112</v>
      </c>
      <c r="AR13" s="1001" t="s">
        <v>113</v>
      </c>
      <c r="AS13" s="1001" t="s">
        <v>49</v>
      </c>
      <c r="AT13" s="976" t="s">
        <v>151</v>
      </c>
      <c r="AU13" s="976" t="s">
        <v>152</v>
      </c>
      <c r="AV13" s="1533" t="s">
        <v>153</v>
      </c>
      <c r="AW13" s="1011" t="s">
        <v>154</v>
      </c>
      <c r="AX13" s="1011" t="s">
        <v>155</v>
      </c>
      <c r="AY13" s="1011"/>
      <c r="AZ13" s="1011"/>
      <c r="BA13" s="1011" t="s">
        <v>156</v>
      </c>
      <c r="BB13" s="1011"/>
      <c r="BC13" s="980"/>
      <c r="BD13" s="1402" t="s">
        <v>55</v>
      </c>
      <c r="BE13" s="1306"/>
      <c r="BF13" s="1306"/>
      <c r="BG13" s="1402"/>
    </row>
    <row r="14" s="1021" customFormat="1" ht="21" spans="2:59">
      <c r="B14" s="1532" t="s">
        <v>157</v>
      </c>
      <c r="C14" s="14" t="s">
        <v>158</v>
      </c>
      <c r="D14" s="973" t="s">
        <v>159</v>
      </c>
      <c r="E14" s="975" t="s">
        <v>160</v>
      </c>
      <c r="F14" s="976" t="s">
        <v>43</v>
      </c>
      <c r="G14" s="977" t="s">
        <v>60</v>
      </c>
      <c r="H14" s="976" t="s">
        <v>45</v>
      </c>
      <c r="I14" s="976" t="s">
        <v>46</v>
      </c>
      <c r="J14" s="976" t="s">
        <v>161</v>
      </c>
      <c r="K14" s="980">
        <v>42156</v>
      </c>
      <c r="L14" s="980">
        <v>42247</v>
      </c>
      <c r="M14" s="980">
        <v>42338</v>
      </c>
      <c r="N14" s="980">
        <v>42429</v>
      </c>
      <c r="O14" s="980">
        <v>42490</v>
      </c>
      <c r="P14" s="980">
        <v>42582</v>
      </c>
      <c r="Q14" s="980">
        <v>42613</v>
      </c>
      <c r="R14" s="980">
        <v>42735</v>
      </c>
      <c r="S14" s="980">
        <v>42825</v>
      </c>
      <c r="T14" s="980">
        <v>42886</v>
      </c>
      <c r="U14" s="980">
        <v>42886</v>
      </c>
      <c r="V14" s="980">
        <v>42887</v>
      </c>
      <c r="W14" s="980">
        <v>42947</v>
      </c>
      <c r="X14" s="980">
        <v>43008</v>
      </c>
      <c r="Y14" s="980">
        <v>43100</v>
      </c>
      <c r="Z14" s="980">
        <v>43251</v>
      </c>
      <c r="AA14" s="980"/>
      <c r="AB14" s="980">
        <v>43252</v>
      </c>
      <c r="AC14" s="980">
        <v>43281</v>
      </c>
      <c r="AD14" s="980"/>
      <c r="AE14" s="980"/>
      <c r="AF14" s="640">
        <f ca="1">SUM(AC14-NOW())</f>
        <v>8.61546296296001</v>
      </c>
      <c r="AG14" s="121" t="str">
        <f ca="1" t="shared" si="1"/>
        <v>WARNING</v>
      </c>
      <c r="AH14" s="1000">
        <v>2780000</v>
      </c>
      <c r="AI14" s="1000">
        <v>150000</v>
      </c>
      <c r="AJ14" s="1001">
        <v>17000</v>
      </c>
      <c r="AK14" s="1001"/>
      <c r="AL14" s="1001"/>
      <c r="AM14" s="1001"/>
      <c r="AN14" s="1001"/>
      <c r="AO14" s="1001"/>
      <c r="AP14" s="1001"/>
      <c r="AQ14" s="1001" t="s">
        <v>112</v>
      </c>
      <c r="AR14" s="1001" t="s">
        <v>113</v>
      </c>
      <c r="AS14" s="1001" t="s">
        <v>49</v>
      </c>
      <c r="AT14" s="976" t="s">
        <v>162</v>
      </c>
      <c r="AU14" s="976" t="s">
        <v>163</v>
      </c>
      <c r="AV14" s="1011">
        <v>87877170858</v>
      </c>
      <c r="AW14" s="1011" t="s">
        <v>164</v>
      </c>
      <c r="AX14" s="1011" t="s">
        <v>165</v>
      </c>
      <c r="AY14" s="1011">
        <v>0</v>
      </c>
      <c r="AZ14" s="1011">
        <v>0</v>
      </c>
      <c r="BA14" s="1011" t="s">
        <v>166</v>
      </c>
      <c r="BB14" s="1011" t="s">
        <v>167</v>
      </c>
      <c r="BC14" s="980"/>
      <c r="BD14" s="1402" t="s">
        <v>55</v>
      </c>
      <c r="BE14" s="1306"/>
      <c r="BF14" s="1306"/>
      <c r="BG14" s="1402"/>
    </row>
    <row r="15" s="1397" customFormat="1" ht="42" spans="2:59">
      <c r="B15" s="1532" t="s">
        <v>168</v>
      </c>
      <c r="C15" s="760" t="s">
        <v>169</v>
      </c>
      <c r="D15" s="1403" t="s">
        <v>170</v>
      </c>
      <c r="E15" s="1406" t="s">
        <v>171</v>
      </c>
      <c r="F15" s="1407" t="s">
        <v>43</v>
      </c>
      <c r="G15" s="1408" t="s">
        <v>44</v>
      </c>
      <c r="H15" s="1407" t="s">
        <v>45</v>
      </c>
      <c r="I15" s="1407" t="s">
        <v>46</v>
      </c>
      <c r="J15" s="1407" t="s">
        <v>172</v>
      </c>
      <c r="K15" s="1412">
        <v>42170</v>
      </c>
      <c r="L15" s="1412">
        <v>42261</v>
      </c>
      <c r="M15" s="1412">
        <v>42369</v>
      </c>
      <c r="N15" s="1412">
        <v>42429</v>
      </c>
      <c r="O15" s="1412">
        <v>42490</v>
      </c>
      <c r="P15" s="1412">
        <v>42582</v>
      </c>
      <c r="Q15" s="1412">
        <v>42674</v>
      </c>
      <c r="R15" s="1412">
        <v>42735</v>
      </c>
      <c r="S15" s="1412">
        <v>42825</v>
      </c>
      <c r="T15" s="1412">
        <v>42900</v>
      </c>
      <c r="U15" s="1412"/>
      <c r="V15" s="1412">
        <v>42901</v>
      </c>
      <c r="W15" s="1412">
        <v>43100</v>
      </c>
      <c r="X15" s="1420">
        <v>43159</v>
      </c>
      <c r="Y15" s="1419">
        <v>43251</v>
      </c>
      <c r="Z15" s="1412"/>
      <c r="AA15" s="1412"/>
      <c r="AB15" s="980">
        <v>43252</v>
      </c>
      <c r="AC15" s="1418">
        <v>43281</v>
      </c>
      <c r="AD15" s="1412"/>
      <c r="AE15" s="1412"/>
      <c r="AF15" s="640">
        <f ca="1">SUM(AC15-NOW())</f>
        <v>8.61546296296001</v>
      </c>
      <c r="AG15" s="1421" t="str">
        <f ca="1" t="shared" si="1"/>
        <v>WARNING</v>
      </c>
      <c r="AH15" s="1422">
        <v>3200000</v>
      </c>
      <c r="AI15" s="1422">
        <v>200000</v>
      </c>
      <c r="AJ15" s="1423">
        <v>17000</v>
      </c>
      <c r="AK15" s="1423">
        <v>30000</v>
      </c>
      <c r="AL15" s="1001">
        <v>750000</v>
      </c>
      <c r="AM15" s="1423"/>
      <c r="AN15" s="1423"/>
      <c r="AO15" s="1423"/>
      <c r="AP15" s="1423"/>
      <c r="AQ15" s="1423" t="s">
        <v>112</v>
      </c>
      <c r="AR15" s="1423" t="s">
        <v>113</v>
      </c>
      <c r="AS15" s="1423" t="s">
        <v>49</v>
      </c>
      <c r="AT15" s="1407" t="s">
        <v>173</v>
      </c>
      <c r="AU15" s="1407" t="s">
        <v>174</v>
      </c>
      <c r="AV15" s="1534" t="s">
        <v>175</v>
      </c>
      <c r="AW15" s="1437" t="s">
        <v>176</v>
      </c>
      <c r="AX15" s="1437" t="s">
        <v>177</v>
      </c>
      <c r="AY15" s="1437"/>
      <c r="AZ15" s="1437"/>
      <c r="BA15" s="1437" t="s">
        <v>178</v>
      </c>
      <c r="BB15" s="1437" t="s">
        <v>179</v>
      </c>
      <c r="BC15" s="1443" t="s">
        <v>180</v>
      </c>
      <c r="BD15" s="1402" t="e">
        <v>#N/A</v>
      </c>
      <c r="BE15" s="1448"/>
      <c r="BF15" s="1306"/>
      <c r="BG15" s="1449"/>
    </row>
    <row r="16" s="1021" customFormat="1" ht="21" spans="2:59">
      <c r="B16" s="1532" t="s">
        <v>181</v>
      </c>
      <c r="C16" s="14" t="s">
        <v>182</v>
      </c>
      <c r="D16" s="973" t="s">
        <v>183</v>
      </c>
      <c r="E16" s="975" t="s">
        <v>184</v>
      </c>
      <c r="F16" s="976" t="s">
        <v>43</v>
      </c>
      <c r="G16" s="977" t="s">
        <v>44</v>
      </c>
      <c r="H16" s="976" t="s">
        <v>45</v>
      </c>
      <c r="I16" s="976" t="s">
        <v>46</v>
      </c>
      <c r="J16" s="976" t="s">
        <v>185</v>
      </c>
      <c r="K16" s="980">
        <v>42231</v>
      </c>
      <c r="L16" s="980">
        <v>42414</v>
      </c>
      <c r="M16" s="980">
        <v>42490</v>
      </c>
      <c r="N16" s="980">
        <v>42582</v>
      </c>
      <c r="O16" s="980">
        <v>42674</v>
      </c>
      <c r="P16" s="980">
        <v>42735</v>
      </c>
      <c r="Q16" s="980">
        <v>42825</v>
      </c>
      <c r="R16" s="980">
        <v>42916</v>
      </c>
      <c r="S16" s="980">
        <v>42961</v>
      </c>
      <c r="T16" s="980"/>
      <c r="U16" s="980"/>
      <c r="V16" s="980">
        <v>42962</v>
      </c>
      <c r="W16" s="980">
        <v>43100</v>
      </c>
      <c r="X16" s="980">
        <v>43281</v>
      </c>
      <c r="Y16" s="980"/>
      <c r="Z16" s="980"/>
      <c r="AA16" s="980"/>
      <c r="AB16" s="980"/>
      <c r="AC16" s="980"/>
      <c r="AD16" s="980"/>
      <c r="AE16" s="980"/>
      <c r="AF16" s="640">
        <f ca="1" t="shared" ref="AF16:AF21" si="2">SUM(X16-NOW())</f>
        <v>8.61546296296001</v>
      </c>
      <c r="AG16" s="121" t="str">
        <f ca="1" t="shared" si="1"/>
        <v>WARNING</v>
      </c>
      <c r="AH16" s="1000">
        <v>2780000</v>
      </c>
      <c r="AI16" s="1000">
        <v>150000</v>
      </c>
      <c r="AJ16" s="1001">
        <v>17000</v>
      </c>
      <c r="AK16" s="1001"/>
      <c r="AL16" s="1001"/>
      <c r="AM16" s="1001"/>
      <c r="AN16" s="1001"/>
      <c r="AO16" s="1001"/>
      <c r="AP16" s="1001"/>
      <c r="AQ16" s="1001" t="s">
        <v>112</v>
      </c>
      <c r="AR16" s="1001" t="s">
        <v>113</v>
      </c>
      <c r="AS16" s="1001" t="s">
        <v>49</v>
      </c>
      <c r="AT16" s="976" t="s">
        <v>186</v>
      </c>
      <c r="AU16" s="976" t="s">
        <v>187</v>
      </c>
      <c r="AV16" s="1533" t="s">
        <v>188</v>
      </c>
      <c r="AW16" s="1011" t="s">
        <v>189</v>
      </c>
      <c r="AX16" s="1011" t="s">
        <v>190</v>
      </c>
      <c r="AY16" s="1011" t="s">
        <v>191</v>
      </c>
      <c r="AZ16" s="1011">
        <v>0</v>
      </c>
      <c r="BA16" s="1011" t="s">
        <v>192</v>
      </c>
      <c r="BB16" s="1011" t="s">
        <v>193</v>
      </c>
      <c r="BC16" s="1442"/>
      <c r="BD16" s="1402" t="s">
        <v>55</v>
      </c>
      <c r="BE16" s="1306"/>
      <c r="BF16" s="1306"/>
      <c r="BG16" s="1402"/>
    </row>
    <row r="17" s="1021" customFormat="1" ht="21" spans="2:59">
      <c r="B17" s="1532" t="s">
        <v>194</v>
      </c>
      <c r="C17" s="14" t="s">
        <v>195</v>
      </c>
      <c r="D17" s="973" t="s">
        <v>196</v>
      </c>
      <c r="E17" s="975" t="s">
        <v>197</v>
      </c>
      <c r="F17" s="976" t="s">
        <v>43</v>
      </c>
      <c r="G17" s="977" t="s">
        <v>60</v>
      </c>
      <c r="H17" s="976" t="s">
        <v>45</v>
      </c>
      <c r="I17" s="976" t="s">
        <v>46</v>
      </c>
      <c r="J17" s="976" t="s">
        <v>47</v>
      </c>
      <c r="K17" s="980">
        <v>42220</v>
      </c>
      <c r="L17" s="980">
        <v>42311</v>
      </c>
      <c r="M17" s="980">
        <v>42402</v>
      </c>
      <c r="N17" s="980">
        <v>42490</v>
      </c>
      <c r="O17" s="980">
        <v>42582</v>
      </c>
      <c r="P17" s="980">
        <v>42674</v>
      </c>
      <c r="Q17" s="980">
        <v>42735</v>
      </c>
      <c r="R17" s="980">
        <v>42825</v>
      </c>
      <c r="S17" s="980">
        <v>42855</v>
      </c>
      <c r="T17" s="980">
        <v>42947</v>
      </c>
      <c r="U17" s="980">
        <v>42950</v>
      </c>
      <c r="V17" s="980">
        <v>42951</v>
      </c>
      <c r="W17" s="980">
        <v>43008</v>
      </c>
      <c r="X17" s="980">
        <v>43100</v>
      </c>
      <c r="Y17" s="980">
        <v>43281</v>
      </c>
      <c r="Z17" s="980"/>
      <c r="AA17" s="980"/>
      <c r="AB17" s="980"/>
      <c r="AC17" s="980"/>
      <c r="AD17" s="980"/>
      <c r="AE17" s="980"/>
      <c r="AF17" s="640">
        <f ca="1">SUM(Y17-NOW())</f>
        <v>8.61546296296001</v>
      </c>
      <c r="AG17" s="121" t="str">
        <f ca="1" t="shared" si="1"/>
        <v>WARNING</v>
      </c>
      <c r="AH17" s="1000">
        <v>3000000</v>
      </c>
      <c r="AI17" s="1000">
        <v>200000</v>
      </c>
      <c r="AJ17" s="1001">
        <v>17000</v>
      </c>
      <c r="AK17" s="1001"/>
      <c r="AL17" s="1001"/>
      <c r="AM17" s="1001"/>
      <c r="AN17" s="1001"/>
      <c r="AO17" s="1001"/>
      <c r="AP17" s="1001"/>
      <c r="AQ17" s="1001" t="s">
        <v>112</v>
      </c>
      <c r="AR17" s="1001" t="s">
        <v>113</v>
      </c>
      <c r="AS17" s="1001" t="s">
        <v>49</v>
      </c>
      <c r="AT17" s="976" t="s">
        <v>198</v>
      </c>
      <c r="AU17" s="976" t="s">
        <v>199</v>
      </c>
      <c r="AV17" s="1533" t="s">
        <v>200</v>
      </c>
      <c r="AW17" s="1011" t="s">
        <v>201</v>
      </c>
      <c r="AX17" s="1011" t="s">
        <v>202</v>
      </c>
      <c r="AY17" s="1011">
        <v>0</v>
      </c>
      <c r="AZ17" s="1011">
        <v>0</v>
      </c>
      <c r="BA17" s="1011" t="s">
        <v>203</v>
      </c>
      <c r="BB17" s="1011"/>
      <c r="BC17" s="980"/>
      <c r="BD17" s="1402" t="s">
        <v>55</v>
      </c>
      <c r="BE17" s="1306"/>
      <c r="BF17" s="1306"/>
      <c r="BG17" s="1402"/>
    </row>
    <row r="18" s="1021" customFormat="1" ht="21" spans="2:59">
      <c r="B18" s="1532" t="s">
        <v>204</v>
      </c>
      <c r="C18" s="14" t="s">
        <v>205</v>
      </c>
      <c r="D18" s="973" t="s">
        <v>206</v>
      </c>
      <c r="E18" s="975" t="s">
        <v>207</v>
      </c>
      <c r="F18" s="976" t="s">
        <v>43</v>
      </c>
      <c r="G18" s="977" t="s">
        <v>96</v>
      </c>
      <c r="H18" s="976" t="s">
        <v>45</v>
      </c>
      <c r="I18" s="976" t="s">
        <v>46</v>
      </c>
      <c r="J18" s="976" t="s">
        <v>208</v>
      </c>
      <c r="K18" s="980">
        <v>42220</v>
      </c>
      <c r="L18" s="980">
        <v>42403</v>
      </c>
      <c r="M18" s="980">
        <v>42429</v>
      </c>
      <c r="N18" s="980">
        <v>42490</v>
      </c>
      <c r="O18" s="980">
        <v>42674</v>
      </c>
      <c r="P18" s="980">
        <v>42735</v>
      </c>
      <c r="Q18" s="980">
        <v>42825</v>
      </c>
      <c r="R18" s="980">
        <v>42886</v>
      </c>
      <c r="S18" s="980">
        <v>42950</v>
      </c>
      <c r="T18" s="980"/>
      <c r="U18" s="980"/>
      <c r="V18" s="980">
        <v>42951</v>
      </c>
      <c r="W18" s="980">
        <v>43100</v>
      </c>
      <c r="X18" s="980">
        <v>43281</v>
      </c>
      <c r="Y18" s="980"/>
      <c r="Z18" s="980"/>
      <c r="AA18" s="980"/>
      <c r="AB18" s="980"/>
      <c r="AC18" s="980"/>
      <c r="AD18" s="980"/>
      <c r="AE18" s="980"/>
      <c r="AF18" s="640">
        <f ca="1" t="shared" si="2"/>
        <v>8.61546296296001</v>
      </c>
      <c r="AG18" s="121" t="str">
        <f ca="1" t="shared" si="1"/>
        <v>WARNING</v>
      </c>
      <c r="AH18" s="1000">
        <v>4200000</v>
      </c>
      <c r="AI18" s="1000">
        <v>250000</v>
      </c>
      <c r="AJ18" s="1001">
        <v>20000</v>
      </c>
      <c r="AK18" s="1001"/>
      <c r="AL18" s="1001"/>
      <c r="AM18" s="1001">
        <v>500000</v>
      </c>
      <c r="AN18" s="1001"/>
      <c r="AO18" s="1001"/>
      <c r="AP18" s="1001">
        <v>250000</v>
      </c>
      <c r="AQ18" s="1001" t="s">
        <v>112</v>
      </c>
      <c r="AR18" s="1001" t="s">
        <v>113</v>
      </c>
      <c r="AS18" s="1001" t="s">
        <v>49</v>
      </c>
      <c r="AT18" s="976" t="s">
        <v>209</v>
      </c>
      <c r="AU18" s="976" t="s">
        <v>210</v>
      </c>
      <c r="AV18" s="1533" t="s">
        <v>211</v>
      </c>
      <c r="AW18" s="1011" t="s">
        <v>212</v>
      </c>
      <c r="AX18" s="1011" t="s">
        <v>213</v>
      </c>
      <c r="AY18" s="1011">
        <v>0</v>
      </c>
      <c r="AZ18" s="1011">
        <v>0</v>
      </c>
      <c r="BA18" s="1011">
        <v>0</v>
      </c>
      <c r="BB18" s="1011" t="s">
        <v>214</v>
      </c>
      <c r="BC18" s="980"/>
      <c r="BD18" s="1402" t="s">
        <v>55</v>
      </c>
      <c r="BE18" s="1306"/>
      <c r="BF18" s="1306"/>
      <c r="BG18" s="1402"/>
    </row>
    <row r="19" s="1282" customFormat="1" ht="21" spans="2:59">
      <c r="B19" s="1532" t="s">
        <v>215</v>
      </c>
      <c r="C19" s="14" t="s">
        <v>216</v>
      </c>
      <c r="D19" s="973" t="s">
        <v>217</v>
      </c>
      <c r="E19" s="975" t="s">
        <v>218</v>
      </c>
      <c r="F19" s="976" t="s">
        <v>43</v>
      </c>
      <c r="G19" s="977" t="s">
        <v>43</v>
      </c>
      <c r="H19" s="976" t="s">
        <v>45</v>
      </c>
      <c r="I19" s="976" t="s">
        <v>46</v>
      </c>
      <c r="J19" s="976" t="s">
        <v>219</v>
      </c>
      <c r="K19" s="980">
        <v>42283</v>
      </c>
      <c r="L19" s="980">
        <v>42374</v>
      </c>
      <c r="M19" s="980">
        <v>42429</v>
      </c>
      <c r="N19" s="980">
        <v>42490</v>
      </c>
      <c r="O19" s="980">
        <v>42582</v>
      </c>
      <c r="P19" s="980">
        <v>42674</v>
      </c>
      <c r="Q19" s="980">
        <v>42735</v>
      </c>
      <c r="R19" s="980">
        <v>42825</v>
      </c>
      <c r="S19" s="980">
        <v>42886</v>
      </c>
      <c r="T19" s="980">
        <v>42916</v>
      </c>
      <c r="U19" s="980">
        <v>43013</v>
      </c>
      <c r="V19" s="980">
        <v>43014</v>
      </c>
      <c r="W19" s="980">
        <v>43100</v>
      </c>
      <c r="X19" s="980">
        <v>43281</v>
      </c>
      <c r="Y19" s="980"/>
      <c r="Z19" s="980"/>
      <c r="AA19" s="980"/>
      <c r="AB19" s="980"/>
      <c r="AC19" s="980"/>
      <c r="AD19" s="980"/>
      <c r="AE19" s="980"/>
      <c r="AF19" s="640">
        <f ca="1" t="shared" si="2"/>
        <v>8.61546296296001</v>
      </c>
      <c r="AG19" s="121" t="str">
        <f ca="1" t="shared" si="1"/>
        <v>WARNING</v>
      </c>
      <c r="AH19" s="1000">
        <v>4200000</v>
      </c>
      <c r="AI19" s="1000">
        <v>250000</v>
      </c>
      <c r="AJ19" s="1001">
        <v>20000</v>
      </c>
      <c r="AK19" s="1001"/>
      <c r="AL19" s="1001"/>
      <c r="AM19" s="1001">
        <v>500000</v>
      </c>
      <c r="AN19" s="1001"/>
      <c r="AO19" s="1001"/>
      <c r="AP19" s="1001"/>
      <c r="AQ19" s="1001" t="s">
        <v>112</v>
      </c>
      <c r="AR19" s="1001" t="s">
        <v>113</v>
      </c>
      <c r="AS19" s="1001" t="s">
        <v>49</v>
      </c>
      <c r="AT19" s="976" t="s">
        <v>220</v>
      </c>
      <c r="AU19" s="976" t="s">
        <v>221</v>
      </c>
      <c r="AV19" s="1533" t="s">
        <v>222</v>
      </c>
      <c r="AW19" s="1011" t="s">
        <v>223</v>
      </c>
      <c r="AX19" s="1011" t="s">
        <v>224</v>
      </c>
      <c r="AY19" s="1011" t="s">
        <v>225</v>
      </c>
      <c r="AZ19" s="1011"/>
      <c r="BA19" s="1011" t="s">
        <v>226</v>
      </c>
      <c r="BB19" s="1011" t="s">
        <v>227</v>
      </c>
      <c r="BC19" s="980" t="s">
        <v>228</v>
      </c>
      <c r="BD19" s="1402" t="s">
        <v>55</v>
      </c>
      <c r="BE19" s="1308"/>
      <c r="BF19" s="1306"/>
      <c r="BG19" s="1402"/>
    </row>
    <row r="20" s="1021" customFormat="1" ht="21" spans="2:59">
      <c r="B20" s="1532" t="s">
        <v>229</v>
      </c>
      <c r="C20" s="14" t="s">
        <v>230</v>
      </c>
      <c r="D20" s="973" t="s">
        <v>231</v>
      </c>
      <c r="E20" s="975" t="s">
        <v>232</v>
      </c>
      <c r="F20" s="976" t="s">
        <v>43</v>
      </c>
      <c r="G20" s="977" t="s">
        <v>60</v>
      </c>
      <c r="H20" s="976" t="s">
        <v>45</v>
      </c>
      <c r="I20" s="976" t="s">
        <v>46</v>
      </c>
      <c r="J20" s="976" t="s">
        <v>208</v>
      </c>
      <c r="K20" s="980">
        <v>42275</v>
      </c>
      <c r="L20" s="980">
        <v>42365</v>
      </c>
      <c r="M20" s="980">
        <v>42460</v>
      </c>
      <c r="N20" s="980">
        <v>42551</v>
      </c>
      <c r="O20" s="980">
        <v>42735</v>
      </c>
      <c r="P20" s="980">
        <v>42825</v>
      </c>
      <c r="Q20" s="980">
        <v>42886</v>
      </c>
      <c r="R20" s="980">
        <v>43005</v>
      </c>
      <c r="S20" s="980"/>
      <c r="T20" s="980"/>
      <c r="U20" s="980"/>
      <c r="V20" s="980">
        <v>43006</v>
      </c>
      <c r="W20" s="980">
        <v>43100</v>
      </c>
      <c r="X20" s="980">
        <v>43281</v>
      </c>
      <c r="Y20" s="980"/>
      <c r="Z20" s="980"/>
      <c r="AA20" s="980"/>
      <c r="AB20" s="980"/>
      <c r="AC20" s="980"/>
      <c r="AD20" s="980"/>
      <c r="AE20" s="980"/>
      <c r="AF20" s="640">
        <f ca="1" t="shared" si="2"/>
        <v>8.61546296296001</v>
      </c>
      <c r="AG20" s="121" t="str">
        <f ca="1" t="shared" si="1"/>
        <v>WARNING</v>
      </c>
      <c r="AH20" s="1000">
        <v>4200000</v>
      </c>
      <c r="AI20" s="1000">
        <v>250000</v>
      </c>
      <c r="AJ20" s="1001">
        <v>20000</v>
      </c>
      <c r="AK20" s="1001"/>
      <c r="AL20" s="1001"/>
      <c r="AM20" s="1001">
        <v>500000</v>
      </c>
      <c r="AN20" s="1001">
        <v>0</v>
      </c>
      <c r="AO20" s="1001"/>
      <c r="AP20" s="1001">
        <v>300000</v>
      </c>
      <c r="AQ20" s="1001" t="s">
        <v>112</v>
      </c>
      <c r="AR20" s="1001" t="s">
        <v>113</v>
      </c>
      <c r="AS20" s="1001" t="s">
        <v>49</v>
      </c>
      <c r="AT20" s="976" t="s">
        <v>233</v>
      </c>
      <c r="AU20" s="976" t="s">
        <v>234</v>
      </c>
      <c r="AV20" s="1533" t="s">
        <v>235</v>
      </c>
      <c r="AW20" s="1011" t="s">
        <v>236</v>
      </c>
      <c r="AX20" s="1011" t="s">
        <v>237</v>
      </c>
      <c r="AY20" s="1011">
        <v>0</v>
      </c>
      <c r="AZ20" s="1011">
        <v>11012436314</v>
      </c>
      <c r="BA20" s="1011">
        <v>0</v>
      </c>
      <c r="BB20" s="1011" t="s">
        <v>238</v>
      </c>
      <c r="BC20" s="980"/>
      <c r="BD20" s="1402" t="s">
        <v>55</v>
      </c>
      <c r="BE20" s="1306"/>
      <c r="BF20" s="1306"/>
      <c r="BG20" s="1402"/>
    </row>
    <row r="21" s="1021" customFormat="1" ht="21" spans="2:59">
      <c r="B21" s="1532" t="s">
        <v>239</v>
      </c>
      <c r="C21" s="14" t="s">
        <v>240</v>
      </c>
      <c r="D21" s="973" t="s">
        <v>241</v>
      </c>
      <c r="E21" s="975" t="s">
        <v>242</v>
      </c>
      <c r="F21" s="976" t="s">
        <v>43</v>
      </c>
      <c r="G21" s="977" t="s">
        <v>60</v>
      </c>
      <c r="H21" s="976" t="s">
        <v>45</v>
      </c>
      <c r="I21" s="976" t="s">
        <v>46</v>
      </c>
      <c r="J21" s="976" t="s">
        <v>61</v>
      </c>
      <c r="K21" s="980">
        <v>42277</v>
      </c>
      <c r="L21" s="980">
        <v>42367</v>
      </c>
      <c r="M21" s="980">
        <v>42429</v>
      </c>
      <c r="N21" s="980">
        <v>42490</v>
      </c>
      <c r="O21" s="980">
        <v>42582</v>
      </c>
      <c r="P21" s="980">
        <v>42766</v>
      </c>
      <c r="Q21" s="980">
        <v>42825</v>
      </c>
      <c r="R21" s="980">
        <v>42886</v>
      </c>
      <c r="S21" s="980">
        <v>43007</v>
      </c>
      <c r="T21" s="980"/>
      <c r="U21" s="980"/>
      <c r="V21" s="980">
        <v>43008</v>
      </c>
      <c r="W21" s="980">
        <v>43100</v>
      </c>
      <c r="X21" s="980">
        <v>43281</v>
      </c>
      <c r="Y21" s="980"/>
      <c r="Z21" s="980"/>
      <c r="AA21" s="980"/>
      <c r="AB21" s="980"/>
      <c r="AC21" s="980"/>
      <c r="AD21" s="980"/>
      <c r="AE21" s="980"/>
      <c r="AF21" s="640">
        <f ca="1" t="shared" si="2"/>
        <v>8.61546296296001</v>
      </c>
      <c r="AG21" s="121" t="str">
        <f ca="1" t="shared" si="1"/>
        <v>WARNING</v>
      </c>
      <c r="AH21" s="1000">
        <v>3200000</v>
      </c>
      <c r="AI21" s="1000">
        <v>200000</v>
      </c>
      <c r="AJ21" s="1001">
        <v>17000</v>
      </c>
      <c r="AK21" s="1001">
        <v>30000</v>
      </c>
      <c r="AL21" s="1001"/>
      <c r="AM21" s="1001"/>
      <c r="AN21" s="1001"/>
      <c r="AO21" s="1001"/>
      <c r="AP21" s="1001"/>
      <c r="AQ21" s="1001" t="s">
        <v>112</v>
      </c>
      <c r="AR21" s="1001" t="s">
        <v>113</v>
      </c>
      <c r="AS21" s="1001" t="s">
        <v>49</v>
      </c>
      <c r="AT21" s="976" t="s">
        <v>243</v>
      </c>
      <c r="AU21" s="976" t="s">
        <v>244</v>
      </c>
      <c r="AV21" s="1533" t="s">
        <v>245</v>
      </c>
      <c r="AW21" s="1011" t="s">
        <v>246</v>
      </c>
      <c r="AX21" s="1011" t="s">
        <v>247</v>
      </c>
      <c r="AY21" s="1011">
        <v>0</v>
      </c>
      <c r="AZ21" s="1011">
        <v>0</v>
      </c>
      <c r="BA21" s="1011" t="s">
        <v>248</v>
      </c>
      <c r="BB21" s="1011" t="s">
        <v>249</v>
      </c>
      <c r="BC21" s="980"/>
      <c r="BD21" s="1402" t="s">
        <v>55</v>
      </c>
      <c r="BE21" s="1306"/>
      <c r="BF21" s="1306"/>
      <c r="BG21" s="1402"/>
    </row>
    <row r="22" s="1021" customFormat="1" ht="21" spans="2:59">
      <c r="B22" s="1532" t="s">
        <v>250</v>
      </c>
      <c r="C22" s="14" t="s">
        <v>251</v>
      </c>
      <c r="D22" s="973" t="s">
        <v>252</v>
      </c>
      <c r="E22" s="975" t="s">
        <v>253</v>
      </c>
      <c r="F22" s="976" t="s">
        <v>43</v>
      </c>
      <c r="G22" s="977" t="s">
        <v>254</v>
      </c>
      <c r="H22" s="976" t="s">
        <v>45</v>
      </c>
      <c r="I22" s="976" t="s">
        <v>46</v>
      </c>
      <c r="J22" s="976" t="s">
        <v>185</v>
      </c>
      <c r="K22" s="980">
        <v>42277</v>
      </c>
      <c r="L22" s="980">
        <v>42367</v>
      </c>
      <c r="M22" s="980">
        <v>42429</v>
      </c>
      <c r="N22" s="980">
        <v>42490</v>
      </c>
      <c r="O22" s="980">
        <v>42582</v>
      </c>
      <c r="P22" s="980">
        <v>42674</v>
      </c>
      <c r="Q22" s="980">
        <v>42735</v>
      </c>
      <c r="R22" s="980">
        <v>42825</v>
      </c>
      <c r="S22" s="980">
        <v>42886</v>
      </c>
      <c r="T22" s="980">
        <v>43007</v>
      </c>
      <c r="U22" s="980"/>
      <c r="V22" s="980">
        <v>43008</v>
      </c>
      <c r="W22" s="980">
        <v>43039</v>
      </c>
      <c r="X22" s="980">
        <v>43100</v>
      </c>
      <c r="Y22" s="980">
        <v>43281</v>
      </c>
      <c r="Z22" s="980"/>
      <c r="AA22" s="980"/>
      <c r="AB22" s="980"/>
      <c r="AC22" s="980"/>
      <c r="AD22" s="980"/>
      <c r="AE22" s="980"/>
      <c r="AF22" s="640">
        <f ca="1">SUM(Y22-NOW())</f>
        <v>8.61546296296001</v>
      </c>
      <c r="AG22" s="121" t="str">
        <f ca="1" t="shared" si="1"/>
        <v>WARNING</v>
      </c>
      <c r="AH22" s="1000">
        <v>2780000</v>
      </c>
      <c r="AI22" s="1000">
        <v>150000</v>
      </c>
      <c r="AJ22" s="1001">
        <v>17000</v>
      </c>
      <c r="AK22" s="1001"/>
      <c r="AL22" s="1001"/>
      <c r="AM22" s="1001"/>
      <c r="AN22" s="1001"/>
      <c r="AO22" s="1001"/>
      <c r="AP22" s="1001"/>
      <c r="AQ22" s="1001" t="s">
        <v>112</v>
      </c>
      <c r="AR22" s="1001" t="s">
        <v>113</v>
      </c>
      <c r="AS22" s="1001" t="s">
        <v>49</v>
      </c>
      <c r="AT22" s="976" t="s">
        <v>151</v>
      </c>
      <c r="AU22" s="976" t="s">
        <v>255</v>
      </c>
      <c r="AV22" s="1533" t="s">
        <v>256</v>
      </c>
      <c r="AW22" s="1011" t="s">
        <v>257</v>
      </c>
      <c r="AX22" s="1011" t="s">
        <v>258</v>
      </c>
      <c r="AY22" s="1011">
        <v>0</v>
      </c>
      <c r="AZ22" s="1011">
        <v>0</v>
      </c>
      <c r="BA22" s="1011" t="s">
        <v>259</v>
      </c>
      <c r="BB22" s="1011" t="s">
        <v>260</v>
      </c>
      <c r="BC22" s="980"/>
      <c r="BD22" s="1402" t="s">
        <v>55</v>
      </c>
      <c r="BE22" s="1306"/>
      <c r="BF22" s="1306"/>
      <c r="BG22" s="1402"/>
    </row>
    <row r="23" s="1021" customFormat="1" ht="31.5" spans="2:59">
      <c r="B23" s="1532" t="s">
        <v>261</v>
      </c>
      <c r="C23" s="14" t="s">
        <v>262</v>
      </c>
      <c r="D23" s="973" t="s">
        <v>263</v>
      </c>
      <c r="E23" s="975" t="s">
        <v>264</v>
      </c>
      <c r="F23" s="976" t="s">
        <v>43</v>
      </c>
      <c r="G23" s="977" t="s">
        <v>44</v>
      </c>
      <c r="H23" s="976" t="s">
        <v>45</v>
      </c>
      <c r="I23" s="976" t="s">
        <v>46</v>
      </c>
      <c r="J23" s="976" t="s">
        <v>265</v>
      </c>
      <c r="K23" s="980">
        <v>42279</v>
      </c>
      <c r="L23" s="980">
        <v>42370</v>
      </c>
      <c r="M23" s="980">
        <v>42429</v>
      </c>
      <c r="N23" s="980">
        <v>42490</v>
      </c>
      <c r="O23" s="980">
        <v>42582</v>
      </c>
      <c r="P23" s="980">
        <v>42674</v>
      </c>
      <c r="Q23" s="980">
        <v>42735</v>
      </c>
      <c r="R23" s="980">
        <v>42825</v>
      </c>
      <c r="S23" s="980">
        <v>42886</v>
      </c>
      <c r="T23" s="980">
        <v>43009</v>
      </c>
      <c r="U23" s="980"/>
      <c r="V23" s="980">
        <v>43010</v>
      </c>
      <c r="W23" s="980">
        <v>43100</v>
      </c>
      <c r="X23" s="980">
        <v>43281</v>
      </c>
      <c r="Y23" s="980"/>
      <c r="Z23" s="980"/>
      <c r="AA23" s="980"/>
      <c r="AB23" s="980"/>
      <c r="AC23" s="980"/>
      <c r="AD23" s="980"/>
      <c r="AE23" s="980"/>
      <c r="AF23" s="640">
        <f ca="1">SUM(X23-NOW())</f>
        <v>8.61546296296001</v>
      </c>
      <c r="AG23" s="121" t="str">
        <f ca="1" t="shared" si="1"/>
        <v>WARNING</v>
      </c>
      <c r="AH23" s="1000">
        <v>3100000</v>
      </c>
      <c r="AI23" s="1000">
        <v>100000</v>
      </c>
      <c r="AJ23" s="1001">
        <v>17000</v>
      </c>
      <c r="AK23" s="1001"/>
      <c r="AL23" s="1001"/>
      <c r="AM23" s="1001">
        <v>500000</v>
      </c>
      <c r="AN23" s="1001"/>
      <c r="AO23" s="1001"/>
      <c r="AP23" s="1001"/>
      <c r="AQ23" s="1001" t="s">
        <v>112</v>
      </c>
      <c r="AR23" s="1001" t="s">
        <v>113</v>
      </c>
      <c r="AS23" s="1001" t="s">
        <v>49</v>
      </c>
      <c r="AT23" s="976" t="s">
        <v>266</v>
      </c>
      <c r="AU23" s="976" t="s">
        <v>267</v>
      </c>
      <c r="AV23" s="1533" t="s">
        <v>268</v>
      </c>
      <c r="AW23" s="1011" t="s">
        <v>269</v>
      </c>
      <c r="AX23" s="1011" t="s">
        <v>270</v>
      </c>
      <c r="AY23" s="1011"/>
      <c r="AZ23" s="1011"/>
      <c r="BA23" s="1011" t="s">
        <v>271</v>
      </c>
      <c r="BB23" s="1011"/>
      <c r="BC23" s="980"/>
      <c r="BD23" s="1402" t="s">
        <v>55</v>
      </c>
      <c r="BE23" s="1306"/>
      <c r="BF23" s="1306"/>
      <c r="BG23" s="1402"/>
    </row>
    <row r="24" s="1021" customFormat="1" ht="21" spans="2:59">
      <c r="B24" s="1532" t="s">
        <v>272</v>
      </c>
      <c r="C24" s="14" t="s">
        <v>273</v>
      </c>
      <c r="D24" s="973" t="s">
        <v>274</v>
      </c>
      <c r="E24" s="975" t="s">
        <v>275</v>
      </c>
      <c r="F24" s="976" t="s">
        <v>125</v>
      </c>
      <c r="G24" s="977" t="s">
        <v>44</v>
      </c>
      <c r="H24" s="976" t="s">
        <v>276</v>
      </c>
      <c r="I24" s="976" t="s">
        <v>46</v>
      </c>
      <c r="J24" s="976" t="s">
        <v>277</v>
      </c>
      <c r="K24" s="980">
        <v>42415</v>
      </c>
      <c r="L24" s="980">
        <v>42521</v>
      </c>
      <c r="M24" s="980">
        <v>42613</v>
      </c>
      <c r="N24" s="980">
        <v>42735</v>
      </c>
      <c r="O24" s="980">
        <v>42825</v>
      </c>
      <c r="P24" s="980">
        <v>42886</v>
      </c>
      <c r="Q24" s="980">
        <v>43100</v>
      </c>
      <c r="R24" s="980">
        <v>43145</v>
      </c>
      <c r="S24" s="980"/>
      <c r="T24" s="980"/>
      <c r="U24" s="980"/>
      <c r="V24" s="980">
        <v>43146</v>
      </c>
      <c r="W24" s="980">
        <v>43281</v>
      </c>
      <c r="X24" s="980"/>
      <c r="Y24" s="980"/>
      <c r="Z24" s="980"/>
      <c r="AA24" s="980"/>
      <c r="AB24" s="980"/>
      <c r="AC24" s="980"/>
      <c r="AD24" s="980"/>
      <c r="AE24" s="980"/>
      <c r="AF24" s="640">
        <f ca="1" t="shared" ref="AF24:AF26" si="3">SUM(W24-NOW())</f>
        <v>8.61546296296001</v>
      </c>
      <c r="AG24" s="121" t="str">
        <f ca="1" t="shared" si="1"/>
        <v>WARNING</v>
      </c>
      <c r="AH24" s="1000">
        <v>3225000</v>
      </c>
      <c r="AI24" s="1000">
        <v>100000</v>
      </c>
      <c r="AJ24" s="1001">
        <v>17000</v>
      </c>
      <c r="AK24" s="1001"/>
      <c r="AL24" s="1001"/>
      <c r="AM24" s="1001">
        <v>500000</v>
      </c>
      <c r="AN24" s="1001"/>
      <c r="AO24" s="1001"/>
      <c r="AP24" s="1001"/>
      <c r="AQ24" s="1001" t="s">
        <v>112</v>
      </c>
      <c r="AR24" s="1001" t="s">
        <v>113</v>
      </c>
      <c r="AS24" s="1001" t="s">
        <v>49</v>
      </c>
      <c r="AT24" s="976" t="s">
        <v>278</v>
      </c>
      <c r="AU24" s="976" t="s">
        <v>279</v>
      </c>
      <c r="AV24" s="1533" t="s">
        <v>280</v>
      </c>
      <c r="AW24" s="1011" t="s">
        <v>281</v>
      </c>
      <c r="AX24" s="1011" t="s">
        <v>282</v>
      </c>
      <c r="AY24" s="1011" t="s">
        <v>283</v>
      </c>
      <c r="AZ24" s="1011"/>
      <c r="BA24" s="1011" t="s">
        <v>284</v>
      </c>
      <c r="BB24" s="1011" t="s">
        <v>285</v>
      </c>
      <c r="BC24" s="980"/>
      <c r="BD24" s="1402" t="s">
        <v>55</v>
      </c>
      <c r="BE24" s="1306"/>
      <c r="BF24" s="1306"/>
      <c r="BG24" s="1402"/>
    </row>
    <row r="25" s="1021" customFormat="1" ht="21" spans="2:59">
      <c r="B25" s="1532" t="s">
        <v>286</v>
      </c>
      <c r="C25" s="14" t="s">
        <v>287</v>
      </c>
      <c r="D25" s="973" t="s">
        <v>288</v>
      </c>
      <c r="E25" s="975" t="s">
        <v>289</v>
      </c>
      <c r="F25" s="976" t="s">
        <v>43</v>
      </c>
      <c r="G25" s="977" t="s">
        <v>44</v>
      </c>
      <c r="H25" s="976" t="s">
        <v>276</v>
      </c>
      <c r="I25" s="976" t="s">
        <v>46</v>
      </c>
      <c r="J25" s="976" t="s">
        <v>47</v>
      </c>
      <c r="K25" s="980">
        <v>42440</v>
      </c>
      <c r="L25" s="980">
        <v>42531</v>
      </c>
      <c r="M25" s="980">
        <v>42613</v>
      </c>
      <c r="N25" s="980">
        <v>42735</v>
      </c>
      <c r="O25" s="980">
        <v>42825</v>
      </c>
      <c r="P25" s="980">
        <v>42886</v>
      </c>
      <c r="Q25" s="980">
        <v>43100</v>
      </c>
      <c r="R25" s="980">
        <v>43169</v>
      </c>
      <c r="S25" s="980"/>
      <c r="T25" s="980"/>
      <c r="U25" s="980"/>
      <c r="V25" s="980">
        <v>43170</v>
      </c>
      <c r="W25" s="980">
        <v>43281</v>
      </c>
      <c r="X25" s="980"/>
      <c r="Y25" s="980"/>
      <c r="Z25" s="980"/>
      <c r="AA25" s="980"/>
      <c r="AB25" s="980"/>
      <c r="AC25" s="980"/>
      <c r="AD25" s="980"/>
      <c r="AE25" s="980"/>
      <c r="AF25" s="640">
        <f ca="1" t="shared" si="3"/>
        <v>8.61546296296001</v>
      </c>
      <c r="AG25" s="121" t="str">
        <f ca="1" t="shared" si="1"/>
        <v>WARNING</v>
      </c>
      <c r="AH25" s="1000">
        <v>3000000</v>
      </c>
      <c r="AI25" s="1000">
        <v>200000</v>
      </c>
      <c r="AJ25" s="1001">
        <v>17000</v>
      </c>
      <c r="AK25" s="1001">
        <v>30000</v>
      </c>
      <c r="AL25" s="1001"/>
      <c r="AM25" s="1001"/>
      <c r="AN25" s="1001"/>
      <c r="AO25" s="1001"/>
      <c r="AP25" s="1001"/>
      <c r="AQ25" s="1001" t="s">
        <v>112</v>
      </c>
      <c r="AR25" s="1001" t="s">
        <v>113</v>
      </c>
      <c r="AS25" s="1001" t="s">
        <v>49</v>
      </c>
      <c r="AT25" s="976" t="s">
        <v>290</v>
      </c>
      <c r="AU25" s="976" t="s">
        <v>291</v>
      </c>
      <c r="AV25" s="1533" t="s">
        <v>292</v>
      </c>
      <c r="AW25" s="1011" t="s">
        <v>293</v>
      </c>
      <c r="AX25" s="1011" t="s">
        <v>294</v>
      </c>
      <c r="AY25" s="1011"/>
      <c r="AZ25" s="1011"/>
      <c r="BA25" s="1011" t="s">
        <v>295</v>
      </c>
      <c r="BB25" s="1011"/>
      <c r="BC25" s="980"/>
      <c r="BD25" s="1402" t="s">
        <v>55</v>
      </c>
      <c r="BE25" s="1306"/>
      <c r="BF25" s="1306"/>
      <c r="BG25" s="1402"/>
    </row>
    <row r="26" s="1021" customFormat="1" ht="21" spans="2:59">
      <c r="B26" s="1532" t="s">
        <v>296</v>
      </c>
      <c r="C26" s="14" t="s">
        <v>297</v>
      </c>
      <c r="D26" s="973" t="s">
        <v>298</v>
      </c>
      <c r="E26" s="975" t="s">
        <v>299</v>
      </c>
      <c r="F26" s="976" t="s">
        <v>43</v>
      </c>
      <c r="G26" s="977" t="s">
        <v>60</v>
      </c>
      <c r="H26" s="976" t="s">
        <v>276</v>
      </c>
      <c r="I26" s="976" t="s">
        <v>46</v>
      </c>
      <c r="J26" s="976" t="s">
        <v>47</v>
      </c>
      <c r="K26" s="980">
        <v>42446</v>
      </c>
      <c r="L26" s="980">
        <v>42537</v>
      </c>
      <c r="M26" s="980">
        <v>42643</v>
      </c>
      <c r="N26" s="980">
        <v>42735</v>
      </c>
      <c r="O26" s="980">
        <v>42825</v>
      </c>
      <c r="P26" s="980">
        <v>42886</v>
      </c>
      <c r="Q26" s="980">
        <v>43100</v>
      </c>
      <c r="R26" s="980">
        <v>43175</v>
      </c>
      <c r="S26" s="980"/>
      <c r="T26" s="980"/>
      <c r="U26" s="980"/>
      <c r="V26" s="980">
        <v>43176</v>
      </c>
      <c r="W26" s="980">
        <v>43281</v>
      </c>
      <c r="X26" s="980"/>
      <c r="Y26" s="980"/>
      <c r="Z26" s="980"/>
      <c r="AA26" s="980"/>
      <c r="AB26" s="980"/>
      <c r="AC26" s="980"/>
      <c r="AD26" s="980"/>
      <c r="AE26" s="980"/>
      <c r="AF26" s="640">
        <f ca="1" t="shared" si="3"/>
        <v>8.61546296296001</v>
      </c>
      <c r="AG26" s="121" t="str">
        <f ca="1" t="shared" si="1"/>
        <v>WARNING</v>
      </c>
      <c r="AH26" s="1000">
        <v>3000000</v>
      </c>
      <c r="AI26" s="1000">
        <v>200000</v>
      </c>
      <c r="AJ26" s="1001">
        <v>17000</v>
      </c>
      <c r="AK26" s="1001"/>
      <c r="AL26" s="1001"/>
      <c r="AM26" s="1001"/>
      <c r="AN26" s="1001"/>
      <c r="AO26" s="1001"/>
      <c r="AP26" s="1001"/>
      <c r="AQ26" s="1001" t="s">
        <v>112</v>
      </c>
      <c r="AR26" s="1001" t="s">
        <v>113</v>
      </c>
      <c r="AS26" s="1001" t="s">
        <v>49</v>
      </c>
      <c r="AT26" s="976" t="s">
        <v>300</v>
      </c>
      <c r="AU26" s="976" t="s">
        <v>301</v>
      </c>
      <c r="AV26" s="1533" t="s">
        <v>302</v>
      </c>
      <c r="AW26" s="1011" t="s">
        <v>303</v>
      </c>
      <c r="AX26" s="1011" t="s">
        <v>304</v>
      </c>
      <c r="AY26" s="1011" t="s">
        <v>305</v>
      </c>
      <c r="AZ26" s="1011"/>
      <c r="BA26" s="1011" t="s">
        <v>306</v>
      </c>
      <c r="BB26" s="1011" t="s">
        <v>307</v>
      </c>
      <c r="BC26" s="980"/>
      <c r="BD26" s="1402" t="s">
        <v>55</v>
      </c>
      <c r="BE26" s="1306"/>
      <c r="BF26" s="1306"/>
      <c r="BG26" s="1402"/>
    </row>
    <row r="27" s="1021" customFormat="1" ht="31.5" spans="2:59">
      <c r="B27" s="1532" t="s">
        <v>308</v>
      </c>
      <c r="C27" s="14" t="s">
        <v>309</v>
      </c>
      <c r="D27" s="973" t="s">
        <v>310</v>
      </c>
      <c r="E27" s="975" t="s">
        <v>311</v>
      </c>
      <c r="F27" s="976" t="s">
        <v>43</v>
      </c>
      <c r="G27" s="977" t="s">
        <v>254</v>
      </c>
      <c r="H27" s="976" t="s">
        <v>45</v>
      </c>
      <c r="I27" s="976" t="s">
        <v>46</v>
      </c>
      <c r="J27" s="976" t="s">
        <v>208</v>
      </c>
      <c r="K27" s="980">
        <v>42297</v>
      </c>
      <c r="L27" s="980">
        <v>42388</v>
      </c>
      <c r="M27" s="980">
        <v>42429</v>
      </c>
      <c r="N27" s="980">
        <v>42490</v>
      </c>
      <c r="O27" s="980">
        <v>42582</v>
      </c>
      <c r="P27" s="980">
        <v>42674</v>
      </c>
      <c r="Q27" s="980">
        <v>42735</v>
      </c>
      <c r="R27" s="980">
        <v>42825</v>
      </c>
      <c r="S27" s="980">
        <v>42886</v>
      </c>
      <c r="T27" s="980">
        <v>43027</v>
      </c>
      <c r="U27" s="980"/>
      <c r="V27" s="980">
        <v>43028</v>
      </c>
      <c r="W27" s="980">
        <v>43100</v>
      </c>
      <c r="X27" s="980">
        <v>43281</v>
      </c>
      <c r="Y27" s="980"/>
      <c r="Z27" s="980"/>
      <c r="AA27" s="980"/>
      <c r="AB27" s="980"/>
      <c r="AC27" s="980"/>
      <c r="AD27" s="980"/>
      <c r="AE27" s="980"/>
      <c r="AF27" s="640">
        <f ca="1">SUM(X27-NOW())</f>
        <v>8.61546296296001</v>
      </c>
      <c r="AG27" s="121" t="str">
        <f ca="1" t="shared" si="1"/>
        <v>WARNING</v>
      </c>
      <c r="AH27" s="1000">
        <v>4200000</v>
      </c>
      <c r="AI27" s="1000">
        <v>250000</v>
      </c>
      <c r="AJ27" s="1001">
        <v>20000</v>
      </c>
      <c r="AK27" s="1001"/>
      <c r="AL27" s="1001"/>
      <c r="AM27" s="1001">
        <v>0</v>
      </c>
      <c r="AN27" s="1001">
        <v>0</v>
      </c>
      <c r="AO27" s="1001"/>
      <c r="AP27" s="1001">
        <v>200000</v>
      </c>
      <c r="AQ27" s="1001" t="s">
        <v>112</v>
      </c>
      <c r="AR27" s="1001" t="s">
        <v>113</v>
      </c>
      <c r="AS27" s="1001" t="s">
        <v>49</v>
      </c>
      <c r="AT27" s="976" t="s">
        <v>312</v>
      </c>
      <c r="AU27" s="976" t="s">
        <v>313</v>
      </c>
      <c r="AV27" s="1533" t="s">
        <v>314</v>
      </c>
      <c r="AW27" s="1011" t="s">
        <v>315</v>
      </c>
      <c r="AX27" s="1011" t="s">
        <v>316</v>
      </c>
      <c r="AY27" s="1011" t="s">
        <v>317</v>
      </c>
      <c r="AZ27" s="1011">
        <v>0</v>
      </c>
      <c r="BA27" s="1011" t="s">
        <v>318</v>
      </c>
      <c r="BB27" s="1011" t="s">
        <v>319</v>
      </c>
      <c r="BC27" s="980"/>
      <c r="BD27" s="1402" t="s">
        <v>55</v>
      </c>
      <c r="BE27" s="1306"/>
      <c r="BF27" s="1306"/>
      <c r="BG27" s="1402"/>
    </row>
    <row r="28" s="1397" customFormat="1" ht="31.5" spans="2:58">
      <c r="B28" s="1532" t="s">
        <v>320</v>
      </c>
      <c r="C28" s="760" t="s">
        <v>321</v>
      </c>
      <c r="D28" s="1403" t="s">
        <v>322</v>
      </c>
      <c r="E28" s="1406" t="s">
        <v>323</v>
      </c>
      <c r="F28" s="1407" t="s">
        <v>43</v>
      </c>
      <c r="G28" s="1408" t="s">
        <v>44</v>
      </c>
      <c r="H28" s="1407" t="s">
        <v>45</v>
      </c>
      <c r="I28" s="1407" t="s">
        <v>46</v>
      </c>
      <c r="J28" s="1413" t="s">
        <v>324</v>
      </c>
      <c r="K28" s="1412">
        <v>42338</v>
      </c>
      <c r="L28" s="1412">
        <v>42429</v>
      </c>
      <c r="M28" s="1412">
        <v>42490</v>
      </c>
      <c r="N28" s="1412">
        <v>42582</v>
      </c>
      <c r="O28" s="1412">
        <v>42766</v>
      </c>
      <c r="P28" s="1412">
        <v>42825</v>
      </c>
      <c r="Q28" s="1412">
        <v>42855</v>
      </c>
      <c r="R28" s="1412">
        <v>43068</v>
      </c>
      <c r="S28" s="1412"/>
      <c r="T28" s="1412"/>
      <c r="U28" s="1412"/>
      <c r="V28" s="1412">
        <v>43069</v>
      </c>
      <c r="W28" s="1412">
        <v>43100</v>
      </c>
      <c r="X28" s="1420">
        <v>43159</v>
      </c>
      <c r="Y28" s="1412">
        <v>43343</v>
      </c>
      <c r="Z28" s="1419" t="s">
        <v>325</v>
      </c>
      <c r="AA28" s="1412"/>
      <c r="AB28" s="1412"/>
      <c r="AC28" s="1412"/>
      <c r="AD28" s="1412"/>
      <c r="AE28" s="1412"/>
      <c r="AF28" s="640">
        <f ca="1">SUM(Y28-NOW())</f>
        <v>70.61546296296</v>
      </c>
      <c r="AG28" s="1421" t="str">
        <f ca="1" t="shared" si="1"/>
        <v>ACTIVE</v>
      </c>
      <c r="AH28" s="1424">
        <v>4700000</v>
      </c>
      <c r="AI28" s="1424">
        <v>400000</v>
      </c>
      <c r="AJ28" s="1423">
        <v>20000</v>
      </c>
      <c r="AK28" s="1433">
        <v>0</v>
      </c>
      <c r="AL28" s="1433">
        <v>500000</v>
      </c>
      <c r="AM28" s="1423">
        <v>500000</v>
      </c>
      <c r="AN28" s="1423">
        <v>0</v>
      </c>
      <c r="AO28" s="1423"/>
      <c r="AP28" s="1433">
        <v>0</v>
      </c>
      <c r="AQ28" s="1423" t="s">
        <v>112</v>
      </c>
      <c r="AR28" s="1423" t="s">
        <v>113</v>
      </c>
      <c r="AS28" s="1423" t="s">
        <v>49</v>
      </c>
      <c r="AT28" s="1413" t="s">
        <v>326</v>
      </c>
      <c r="AU28" s="1407" t="s">
        <v>327</v>
      </c>
      <c r="AV28" s="1534" t="s">
        <v>328</v>
      </c>
      <c r="AW28" s="1437" t="s">
        <v>329</v>
      </c>
      <c r="AX28" s="1437" t="s">
        <v>330</v>
      </c>
      <c r="AY28" s="1437">
        <v>0</v>
      </c>
      <c r="AZ28" s="1437"/>
      <c r="BA28" s="1437" t="s">
        <v>331</v>
      </c>
      <c r="BB28" s="1437" t="s">
        <v>332</v>
      </c>
      <c r="BC28" s="1443" t="s">
        <v>180</v>
      </c>
      <c r="BD28" s="1402" t="s">
        <v>55</v>
      </c>
      <c r="BE28" s="1448"/>
      <c r="BF28" s="1306"/>
    </row>
    <row r="29" s="1021" customFormat="1" ht="21" spans="2:59">
      <c r="B29" s="1532" t="s">
        <v>333</v>
      </c>
      <c r="C29" s="14" t="s">
        <v>334</v>
      </c>
      <c r="D29" s="973" t="s">
        <v>335</v>
      </c>
      <c r="E29" s="975" t="s">
        <v>336</v>
      </c>
      <c r="F29" s="976" t="s">
        <v>43</v>
      </c>
      <c r="G29" s="977" t="s">
        <v>44</v>
      </c>
      <c r="H29" s="976" t="s">
        <v>45</v>
      </c>
      <c r="I29" s="976" t="s">
        <v>46</v>
      </c>
      <c r="J29" s="1414" t="s">
        <v>337</v>
      </c>
      <c r="K29" s="980">
        <v>42459</v>
      </c>
      <c r="L29" s="980">
        <v>42550</v>
      </c>
      <c r="M29" s="980">
        <v>42643</v>
      </c>
      <c r="N29" s="980">
        <v>42735</v>
      </c>
      <c r="O29" s="980">
        <v>42825</v>
      </c>
      <c r="P29" s="980">
        <v>42886</v>
      </c>
      <c r="Q29" s="980">
        <v>43039</v>
      </c>
      <c r="R29" s="980">
        <v>43100</v>
      </c>
      <c r="S29" s="980">
        <v>43188</v>
      </c>
      <c r="T29" s="980"/>
      <c r="U29" s="980"/>
      <c r="V29" s="980">
        <v>43189</v>
      </c>
      <c r="W29" s="980">
        <v>43281</v>
      </c>
      <c r="X29" s="1419" t="s">
        <v>325</v>
      </c>
      <c r="Y29" s="980"/>
      <c r="Z29" s="980"/>
      <c r="AA29" s="980"/>
      <c r="AB29" s="980"/>
      <c r="AC29" s="980"/>
      <c r="AD29" s="980"/>
      <c r="AE29" s="980"/>
      <c r="AF29" s="640">
        <f ca="1" t="shared" ref="AF29:AF38" si="4">SUM(W29-NOW())</f>
        <v>8.61546296296001</v>
      </c>
      <c r="AG29" s="121" t="str">
        <f ca="1" t="shared" si="1"/>
        <v>WARNING</v>
      </c>
      <c r="AH29" s="1425">
        <v>3200000</v>
      </c>
      <c r="AI29" s="1425">
        <v>200000</v>
      </c>
      <c r="AJ29" s="1001">
        <v>17000</v>
      </c>
      <c r="AK29" s="1001">
        <v>30000</v>
      </c>
      <c r="AL29" s="1001"/>
      <c r="AM29" s="1001"/>
      <c r="AN29" s="1001"/>
      <c r="AO29" s="1001"/>
      <c r="AP29" s="1001"/>
      <c r="AQ29" s="1001" t="s">
        <v>112</v>
      </c>
      <c r="AR29" s="1001" t="s">
        <v>113</v>
      </c>
      <c r="AS29" s="1001" t="s">
        <v>49</v>
      </c>
      <c r="AT29" s="1414" t="s">
        <v>338</v>
      </c>
      <c r="AU29" s="976" t="s">
        <v>339</v>
      </c>
      <c r="AV29" s="1533" t="s">
        <v>340</v>
      </c>
      <c r="AW29" s="1011" t="s">
        <v>341</v>
      </c>
      <c r="AX29" s="1011" t="s">
        <v>342</v>
      </c>
      <c r="AY29" s="1011"/>
      <c r="AZ29" s="1011" t="s">
        <v>343</v>
      </c>
      <c r="BA29" s="1011" t="s">
        <v>344</v>
      </c>
      <c r="BB29" s="1011" t="s">
        <v>345</v>
      </c>
      <c r="BC29" s="980"/>
      <c r="BD29" s="1402" t="s">
        <v>55</v>
      </c>
      <c r="BE29" s="1306"/>
      <c r="BF29" s="1306"/>
      <c r="BG29" s="1402"/>
    </row>
    <row r="30" s="1021" customFormat="1" ht="21" spans="2:59">
      <c r="B30" s="1532" t="s">
        <v>346</v>
      </c>
      <c r="C30" s="14" t="s">
        <v>347</v>
      </c>
      <c r="D30" s="973" t="s">
        <v>348</v>
      </c>
      <c r="E30" s="975" t="s">
        <v>349</v>
      </c>
      <c r="F30" s="976" t="s">
        <v>43</v>
      </c>
      <c r="G30" s="977" t="s">
        <v>254</v>
      </c>
      <c r="H30" s="976" t="s">
        <v>45</v>
      </c>
      <c r="I30" s="976" t="s">
        <v>46</v>
      </c>
      <c r="J30" s="976" t="s">
        <v>61</v>
      </c>
      <c r="K30" s="980">
        <v>42472</v>
      </c>
      <c r="L30" s="980">
        <v>42562</v>
      </c>
      <c r="M30" s="980">
        <v>42654</v>
      </c>
      <c r="N30" s="980">
        <v>42735</v>
      </c>
      <c r="O30" s="980">
        <v>42825</v>
      </c>
      <c r="P30" s="980">
        <v>42886</v>
      </c>
      <c r="Q30" s="980">
        <v>43100</v>
      </c>
      <c r="R30" s="980">
        <v>43201</v>
      </c>
      <c r="S30" s="980"/>
      <c r="T30" s="980"/>
      <c r="U30" s="980"/>
      <c r="V30" s="980">
        <v>43202</v>
      </c>
      <c r="W30" s="980">
        <v>43281</v>
      </c>
      <c r="X30" s="980"/>
      <c r="Y30" s="980"/>
      <c r="Z30" s="980"/>
      <c r="AA30" s="980"/>
      <c r="AB30" s="980"/>
      <c r="AC30" s="980"/>
      <c r="AD30" s="980"/>
      <c r="AE30" s="980"/>
      <c r="AF30" s="640">
        <f ca="1" t="shared" si="4"/>
        <v>8.61546296296001</v>
      </c>
      <c r="AG30" s="121" t="str">
        <f ca="1" t="shared" si="1"/>
        <v>WARNING</v>
      </c>
      <c r="AH30" s="1000">
        <v>3200000</v>
      </c>
      <c r="AI30" s="1000">
        <v>200000</v>
      </c>
      <c r="AJ30" s="1001">
        <v>17000</v>
      </c>
      <c r="AK30" s="1001"/>
      <c r="AL30" s="1001"/>
      <c r="AM30" s="1001"/>
      <c r="AN30" s="1001"/>
      <c r="AO30" s="1001"/>
      <c r="AP30" s="1001"/>
      <c r="AQ30" s="1001" t="s">
        <v>112</v>
      </c>
      <c r="AR30" s="1001" t="s">
        <v>113</v>
      </c>
      <c r="AS30" s="1001" t="s">
        <v>49</v>
      </c>
      <c r="AT30" s="976" t="s">
        <v>62</v>
      </c>
      <c r="AU30" s="976" t="s">
        <v>350</v>
      </c>
      <c r="AV30" s="1533" t="s">
        <v>351</v>
      </c>
      <c r="AW30" s="1011" t="s">
        <v>352</v>
      </c>
      <c r="AX30" s="1011" t="s">
        <v>353</v>
      </c>
      <c r="AY30" s="1011" t="s">
        <v>354</v>
      </c>
      <c r="AZ30" s="1011"/>
      <c r="BA30" s="1011" t="s">
        <v>355</v>
      </c>
      <c r="BB30" s="1011" t="s">
        <v>356</v>
      </c>
      <c r="BC30" s="980"/>
      <c r="BD30" s="1402" t="s">
        <v>55</v>
      </c>
      <c r="BE30" s="1306"/>
      <c r="BF30" s="1306"/>
      <c r="BG30" s="1402"/>
    </row>
    <row r="31" s="1282" customFormat="1" ht="21" spans="2:58">
      <c r="B31" s="1532" t="s">
        <v>357</v>
      </c>
      <c r="C31" s="14" t="s">
        <v>358</v>
      </c>
      <c r="D31" s="973" t="s">
        <v>359</v>
      </c>
      <c r="E31" s="975" t="s">
        <v>360</v>
      </c>
      <c r="F31" s="976" t="s">
        <v>43</v>
      </c>
      <c r="G31" s="977" t="s">
        <v>96</v>
      </c>
      <c r="H31" s="976" t="s">
        <v>361</v>
      </c>
      <c r="I31" s="976" t="s">
        <v>46</v>
      </c>
      <c r="J31" s="976" t="s">
        <v>208</v>
      </c>
      <c r="K31" s="980">
        <v>42499</v>
      </c>
      <c r="L31" s="980">
        <v>42590</v>
      </c>
      <c r="M31" s="980">
        <v>42682</v>
      </c>
      <c r="N31" s="980">
        <v>42704</v>
      </c>
      <c r="O31" s="980">
        <v>42766</v>
      </c>
      <c r="P31" s="980">
        <v>42794</v>
      </c>
      <c r="Q31" s="980">
        <v>42855</v>
      </c>
      <c r="R31" s="980">
        <v>43100</v>
      </c>
      <c r="S31" s="980">
        <v>43228</v>
      </c>
      <c r="T31" s="980"/>
      <c r="U31" s="980"/>
      <c r="V31" s="980">
        <v>43229</v>
      </c>
      <c r="W31" s="980">
        <v>43281</v>
      </c>
      <c r="X31" s="980"/>
      <c r="Y31" s="980"/>
      <c r="Z31" s="980"/>
      <c r="AA31" s="980"/>
      <c r="AB31" s="980"/>
      <c r="AC31" s="980"/>
      <c r="AD31" s="980"/>
      <c r="AE31" s="980"/>
      <c r="AF31" s="640">
        <f ca="1" t="shared" si="4"/>
        <v>8.61546296296001</v>
      </c>
      <c r="AG31" s="121" t="str">
        <f ca="1" t="shared" si="1"/>
        <v>WARNING</v>
      </c>
      <c r="AH31" s="1000">
        <v>3700000</v>
      </c>
      <c r="AI31" s="1000">
        <v>250000</v>
      </c>
      <c r="AJ31" s="1001">
        <v>20000</v>
      </c>
      <c r="AK31" s="1001"/>
      <c r="AL31" s="1001"/>
      <c r="AM31" s="1429">
        <v>500000</v>
      </c>
      <c r="AN31" s="1001"/>
      <c r="AO31" s="1001"/>
      <c r="AP31" s="1001"/>
      <c r="AQ31" s="1001" t="s">
        <v>112</v>
      </c>
      <c r="AR31" s="1001" t="s">
        <v>113</v>
      </c>
      <c r="AS31" s="1001" t="s">
        <v>49</v>
      </c>
      <c r="AT31" s="976" t="s">
        <v>362</v>
      </c>
      <c r="AU31" s="976" t="s">
        <v>363</v>
      </c>
      <c r="AV31" s="1533" t="s">
        <v>364</v>
      </c>
      <c r="AW31" s="1011" t="s">
        <v>365</v>
      </c>
      <c r="AX31" s="1011" t="s">
        <v>366</v>
      </c>
      <c r="AY31" s="1011">
        <v>0</v>
      </c>
      <c r="AZ31" s="1011">
        <v>15057864868</v>
      </c>
      <c r="BA31" s="1011" t="s">
        <v>367</v>
      </c>
      <c r="BB31" s="1011" t="s">
        <v>368</v>
      </c>
      <c r="BC31" s="980"/>
      <c r="BD31" s="1402" t="s">
        <v>55</v>
      </c>
      <c r="BE31" s="1306"/>
      <c r="BF31" s="1306"/>
    </row>
    <row r="32" s="1021" customFormat="1" spans="2:59">
      <c r="B32" s="1532" t="s">
        <v>369</v>
      </c>
      <c r="C32" s="14" t="s">
        <v>370</v>
      </c>
      <c r="D32" s="973" t="s">
        <v>371</v>
      </c>
      <c r="E32" s="975" t="s">
        <v>372</v>
      </c>
      <c r="F32" s="976" t="s">
        <v>43</v>
      </c>
      <c r="G32" s="977" t="s">
        <v>254</v>
      </c>
      <c r="H32" s="976" t="s">
        <v>361</v>
      </c>
      <c r="I32" s="976" t="s">
        <v>46</v>
      </c>
      <c r="J32" s="976" t="s">
        <v>373</v>
      </c>
      <c r="K32" s="980">
        <v>42492</v>
      </c>
      <c r="L32" s="980">
        <v>42582</v>
      </c>
      <c r="M32" s="980">
        <v>42674</v>
      </c>
      <c r="N32" s="980">
        <v>42735</v>
      </c>
      <c r="O32" s="980">
        <v>42825</v>
      </c>
      <c r="P32" s="980">
        <v>42916</v>
      </c>
      <c r="Q32" s="980">
        <v>43100</v>
      </c>
      <c r="R32" s="980">
        <v>43221</v>
      </c>
      <c r="S32" s="980"/>
      <c r="T32" s="980"/>
      <c r="U32" s="980"/>
      <c r="V32" s="980">
        <v>43222</v>
      </c>
      <c r="W32" s="980">
        <v>43281</v>
      </c>
      <c r="X32" s="980"/>
      <c r="Y32" s="980"/>
      <c r="Z32" s="980"/>
      <c r="AA32" s="980"/>
      <c r="AB32" s="980"/>
      <c r="AC32" s="980"/>
      <c r="AD32" s="980"/>
      <c r="AE32" s="980"/>
      <c r="AF32" s="640">
        <f ca="1" t="shared" si="4"/>
        <v>8.61546296296001</v>
      </c>
      <c r="AG32" s="121" t="str">
        <f ca="1" t="shared" si="1"/>
        <v>WARNING</v>
      </c>
      <c r="AH32" s="1000">
        <v>3400000</v>
      </c>
      <c r="AI32" s="1000">
        <v>200000</v>
      </c>
      <c r="AJ32" s="1001">
        <v>17000</v>
      </c>
      <c r="AK32" s="1001"/>
      <c r="AL32" s="1001"/>
      <c r="AM32" s="1001">
        <v>500000</v>
      </c>
      <c r="AN32" s="1001"/>
      <c r="AO32" s="1001"/>
      <c r="AP32" s="1001"/>
      <c r="AQ32" s="1001" t="s">
        <v>112</v>
      </c>
      <c r="AR32" s="1001" t="s">
        <v>113</v>
      </c>
      <c r="AS32" s="1001" t="s">
        <v>49</v>
      </c>
      <c r="AT32" s="976" t="s">
        <v>374</v>
      </c>
      <c r="AU32" s="976" t="s">
        <v>375</v>
      </c>
      <c r="AV32" s="1533" t="s">
        <v>376</v>
      </c>
      <c r="AW32" s="1011" t="s">
        <v>377</v>
      </c>
      <c r="AX32" s="1011" t="s">
        <v>378</v>
      </c>
      <c r="AY32" s="1011">
        <v>0</v>
      </c>
      <c r="AZ32" s="1011">
        <v>0</v>
      </c>
      <c r="BA32" s="1011" t="s">
        <v>379</v>
      </c>
      <c r="BB32" s="1011" t="s">
        <v>380</v>
      </c>
      <c r="BC32" s="980"/>
      <c r="BD32" s="1402" t="s">
        <v>55</v>
      </c>
      <c r="BE32" s="1306"/>
      <c r="BF32" s="1306"/>
      <c r="BG32" s="1402"/>
    </row>
    <row r="33" s="1398" customFormat="1" ht="21" spans="2:59">
      <c r="B33" s="1532" t="s">
        <v>381</v>
      </c>
      <c r="C33" s="1404" t="s">
        <v>382</v>
      </c>
      <c r="D33" s="1405" t="s">
        <v>383</v>
      </c>
      <c r="E33" s="1409" t="s">
        <v>384</v>
      </c>
      <c r="F33" s="1410" t="s">
        <v>43</v>
      </c>
      <c r="G33" s="1411" t="s">
        <v>43</v>
      </c>
      <c r="H33" s="1410" t="s">
        <v>361</v>
      </c>
      <c r="I33" s="1410" t="s">
        <v>46</v>
      </c>
      <c r="J33" s="1410" t="s">
        <v>61</v>
      </c>
      <c r="K33" s="1415">
        <v>42501</v>
      </c>
      <c r="L33" s="1415">
        <v>42592</v>
      </c>
      <c r="M33" s="1415">
        <v>42684</v>
      </c>
      <c r="N33" s="1415">
        <v>42735</v>
      </c>
      <c r="O33" s="1415">
        <v>42825</v>
      </c>
      <c r="P33" s="1415">
        <v>42886</v>
      </c>
      <c r="Q33" s="1415">
        <v>43039</v>
      </c>
      <c r="R33" s="1415">
        <v>43100</v>
      </c>
      <c r="S33" s="980">
        <v>43230</v>
      </c>
      <c r="T33" s="1415"/>
      <c r="U33" s="1415"/>
      <c r="V33" s="980">
        <v>43231</v>
      </c>
      <c r="W33" s="980">
        <v>43281</v>
      </c>
      <c r="X33" s="1415"/>
      <c r="Y33" s="1415"/>
      <c r="Z33" s="1415"/>
      <c r="AA33" s="1415"/>
      <c r="AB33" s="1415"/>
      <c r="AC33" s="1415"/>
      <c r="AD33" s="1415"/>
      <c r="AE33" s="1415"/>
      <c r="AF33" s="640">
        <f ca="1" t="shared" si="4"/>
        <v>8.61546296296001</v>
      </c>
      <c r="AG33" s="1426" t="str">
        <f ca="1" t="shared" si="1"/>
        <v>WARNING</v>
      </c>
      <c r="AH33" s="1427">
        <v>3200000</v>
      </c>
      <c r="AI33" s="1427">
        <v>200000</v>
      </c>
      <c r="AJ33" s="1428">
        <v>17000</v>
      </c>
      <c r="AK33" s="1428"/>
      <c r="AL33" s="1428"/>
      <c r="AM33" s="1428"/>
      <c r="AN33" s="1428"/>
      <c r="AO33" s="1428"/>
      <c r="AP33" s="1428"/>
      <c r="AQ33" s="1428" t="s">
        <v>112</v>
      </c>
      <c r="AR33" s="1428" t="s">
        <v>113</v>
      </c>
      <c r="AS33" s="1428" t="s">
        <v>49</v>
      </c>
      <c r="AT33" s="1410" t="s">
        <v>374</v>
      </c>
      <c r="AU33" s="1410" t="s">
        <v>385</v>
      </c>
      <c r="AV33" s="1535" t="s">
        <v>386</v>
      </c>
      <c r="AW33" s="1438"/>
      <c r="AX33" s="1438" t="s">
        <v>387</v>
      </c>
      <c r="AY33" s="1438">
        <v>0</v>
      </c>
      <c r="AZ33" s="1438">
        <v>0</v>
      </c>
      <c r="BA33" s="1438" t="s">
        <v>388</v>
      </c>
      <c r="BB33" s="1438"/>
      <c r="BC33" s="1415" t="s">
        <v>389</v>
      </c>
      <c r="BD33" s="1402" t="s">
        <v>55</v>
      </c>
      <c r="BE33" s="1450"/>
      <c r="BF33" s="1306"/>
      <c r="BG33" s="1451"/>
    </row>
    <row r="34" s="1021" customFormat="1" spans="2:59">
      <c r="B34" s="1532" t="s">
        <v>390</v>
      </c>
      <c r="C34" s="14" t="s">
        <v>391</v>
      </c>
      <c r="D34" s="973" t="s">
        <v>392</v>
      </c>
      <c r="E34" s="975" t="s">
        <v>393</v>
      </c>
      <c r="F34" s="976" t="s">
        <v>43</v>
      </c>
      <c r="G34" s="977" t="s">
        <v>44</v>
      </c>
      <c r="H34" s="976" t="s">
        <v>361</v>
      </c>
      <c r="I34" s="976" t="s">
        <v>46</v>
      </c>
      <c r="J34" s="976" t="s">
        <v>277</v>
      </c>
      <c r="K34" s="980">
        <v>42502</v>
      </c>
      <c r="L34" s="980">
        <v>42593</v>
      </c>
      <c r="M34" s="980">
        <v>42685</v>
      </c>
      <c r="N34" s="980">
        <v>42735</v>
      </c>
      <c r="O34" s="980">
        <v>42825</v>
      </c>
      <c r="P34" s="980">
        <v>42916</v>
      </c>
      <c r="Q34" s="980">
        <v>43100</v>
      </c>
      <c r="R34" s="980">
        <v>43231</v>
      </c>
      <c r="S34" s="980"/>
      <c r="T34" s="980"/>
      <c r="U34" s="980"/>
      <c r="V34" s="980">
        <v>43232</v>
      </c>
      <c r="W34" s="980">
        <v>43281</v>
      </c>
      <c r="X34" s="980"/>
      <c r="Y34" s="980"/>
      <c r="Z34" s="980"/>
      <c r="AA34" s="980"/>
      <c r="AB34" s="980"/>
      <c r="AC34" s="980"/>
      <c r="AD34" s="980"/>
      <c r="AE34" s="980"/>
      <c r="AF34" s="640">
        <f ca="1" t="shared" si="4"/>
        <v>8.61546296296001</v>
      </c>
      <c r="AG34" s="121" t="str">
        <f ca="1" t="shared" si="1"/>
        <v>WARNING</v>
      </c>
      <c r="AH34" s="1000">
        <v>3200000</v>
      </c>
      <c r="AI34" s="1000">
        <v>200000</v>
      </c>
      <c r="AJ34" s="1001">
        <v>17000</v>
      </c>
      <c r="AK34" s="1001"/>
      <c r="AL34" s="1001"/>
      <c r="AM34" s="1001">
        <v>500000</v>
      </c>
      <c r="AN34" s="1001"/>
      <c r="AO34" s="1001"/>
      <c r="AP34" s="1001"/>
      <c r="AQ34" s="1001" t="s">
        <v>112</v>
      </c>
      <c r="AR34" s="1001" t="s">
        <v>113</v>
      </c>
      <c r="AS34" s="1001" t="s">
        <v>49</v>
      </c>
      <c r="AT34" s="976" t="s">
        <v>374</v>
      </c>
      <c r="AU34" s="976" t="s">
        <v>394</v>
      </c>
      <c r="AV34" s="1011">
        <v>8986991050</v>
      </c>
      <c r="AW34" s="1011" t="s">
        <v>395</v>
      </c>
      <c r="AX34" s="1011" t="s">
        <v>396</v>
      </c>
      <c r="AY34" s="1011" t="s">
        <v>397</v>
      </c>
      <c r="AZ34" s="1011">
        <v>0</v>
      </c>
      <c r="BA34" s="1011" t="s">
        <v>398</v>
      </c>
      <c r="BB34" s="1011" t="s">
        <v>399</v>
      </c>
      <c r="BC34" s="980"/>
      <c r="BD34" s="1402" t="s">
        <v>55</v>
      </c>
      <c r="BE34" s="1306"/>
      <c r="BF34" s="1306"/>
      <c r="BG34" s="1402"/>
    </row>
    <row r="35" s="1021" customFormat="1" ht="21" spans="2:59">
      <c r="B35" s="1532" t="s">
        <v>400</v>
      </c>
      <c r="C35" s="14" t="s">
        <v>401</v>
      </c>
      <c r="D35" s="973" t="s">
        <v>402</v>
      </c>
      <c r="E35" s="975" t="s">
        <v>403</v>
      </c>
      <c r="F35" s="976" t="s">
        <v>43</v>
      </c>
      <c r="G35" s="977" t="s">
        <v>404</v>
      </c>
      <c r="H35" s="976" t="s">
        <v>361</v>
      </c>
      <c r="I35" s="976" t="s">
        <v>46</v>
      </c>
      <c r="J35" s="976" t="s">
        <v>373</v>
      </c>
      <c r="K35" s="980">
        <v>42485</v>
      </c>
      <c r="L35" s="980">
        <v>42582</v>
      </c>
      <c r="M35" s="980">
        <v>42674</v>
      </c>
      <c r="N35" s="980">
        <v>42735</v>
      </c>
      <c r="O35" s="980">
        <v>42825</v>
      </c>
      <c r="P35" s="980">
        <v>42916</v>
      </c>
      <c r="Q35" s="980">
        <v>43100</v>
      </c>
      <c r="R35" s="980">
        <v>43214</v>
      </c>
      <c r="S35" s="980"/>
      <c r="T35" s="980"/>
      <c r="U35" s="980"/>
      <c r="V35" s="980">
        <v>43215</v>
      </c>
      <c r="W35" s="980">
        <v>43281</v>
      </c>
      <c r="X35" s="980"/>
      <c r="Y35" s="980"/>
      <c r="Z35" s="980"/>
      <c r="AA35" s="980"/>
      <c r="AB35" s="980"/>
      <c r="AC35" s="980"/>
      <c r="AD35" s="980"/>
      <c r="AE35" s="980"/>
      <c r="AF35" s="640">
        <f ca="1" t="shared" si="4"/>
        <v>8.61546296296001</v>
      </c>
      <c r="AG35" s="121" t="str">
        <f ca="1" t="shared" si="1"/>
        <v>WARNING</v>
      </c>
      <c r="AH35" s="1000">
        <v>3400000</v>
      </c>
      <c r="AI35" s="1000">
        <v>200000</v>
      </c>
      <c r="AJ35" s="1001">
        <v>17000</v>
      </c>
      <c r="AK35" s="1001"/>
      <c r="AL35" s="1001"/>
      <c r="AM35" s="1001">
        <v>500000</v>
      </c>
      <c r="AN35" s="1001"/>
      <c r="AO35" s="1001"/>
      <c r="AP35" s="1001"/>
      <c r="AQ35" s="1001" t="s">
        <v>112</v>
      </c>
      <c r="AR35" s="1001" t="s">
        <v>113</v>
      </c>
      <c r="AS35" s="1001" t="s">
        <v>49</v>
      </c>
      <c r="AT35" s="976" t="s">
        <v>405</v>
      </c>
      <c r="AU35" s="976" t="s">
        <v>406</v>
      </c>
      <c r="AV35" s="1011">
        <v>87877852162</v>
      </c>
      <c r="AW35" s="1011" t="s">
        <v>407</v>
      </c>
      <c r="AX35" s="1011" t="s">
        <v>408</v>
      </c>
      <c r="AY35" s="1011">
        <v>0</v>
      </c>
      <c r="AZ35" s="1011">
        <v>0</v>
      </c>
      <c r="BA35" s="1011" t="s">
        <v>409</v>
      </c>
      <c r="BB35" s="1011" t="s">
        <v>410</v>
      </c>
      <c r="BC35" s="980"/>
      <c r="BD35" s="1402" t="s">
        <v>55</v>
      </c>
      <c r="BE35" s="1306"/>
      <c r="BF35" s="1306"/>
      <c r="BG35" s="1402"/>
    </row>
    <row r="36" s="1021" customFormat="1" spans="2:59">
      <c r="B36" s="1532" t="s">
        <v>411</v>
      </c>
      <c r="C36" s="14" t="s">
        <v>412</v>
      </c>
      <c r="D36" s="973" t="s">
        <v>413</v>
      </c>
      <c r="E36" s="975" t="s">
        <v>414</v>
      </c>
      <c r="F36" s="976" t="s">
        <v>43</v>
      </c>
      <c r="G36" s="977" t="s">
        <v>60</v>
      </c>
      <c r="H36" s="976" t="s">
        <v>361</v>
      </c>
      <c r="I36" s="976" t="s">
        <v>46</v>
      </c>
      <c r="J36" s="976" t="s">
        <v>415</v>
      </c>
      <c r="K36" s="980">
        <v>42523</v>
      </c>
      <c r="L36" s="980">
        <v>42614</v>
      </c>
      <c r="M36" s="980">
        <v>42613</v>
      </c>
      <c r="N36" s="980">
        <v>42735</v>
      </c>
      <c r="O36" s="980">
        <v>42825</v>
      </c>
      <c r="P36" s="980">
        <v>42886</v>
      </c>
      <c r="Q36" s="980">
        <v>43039</v>
      </c>
      <c r="R36" s="980">
        <v>43100</v>
      </c>
      <c r="S36" s="980">
        <v>43190</v>
      </c>
      <c r="T36" s="1418">
        <v>43252</v>
      </c>
      <c r="U36" s="980"/>
      <c r="V36" s="980">
        <v>43253</v>
      </c>
      <c r="W36" s="980">
        <v>43281</v>
      </c>
      <c r="X36" s="980"/>
      <c r="Y36" s="980"/>
      <c r="Z36" s="980"/>
      <c r="AA36" s="980"/>
      <c r="AB36" s="980"/>
      <c r="AC36" s="980"/>
      <c r="AD36" s="980"/>
      <c r="AE36" s="980"/>
      <c r="AF36" s="640">
        <f ca="1" t="shared" si="4"/>
        <v>8.61546296296001</v>
      </c>
      <c r="AG36" s="121" t="str">
        <f ca="1" t="shared" si="1"/>
        <v>WARNING</v>
      </c>
      <c r="AH36" s="1000">
        <v>2765000</v>
      </c>
      <c r="AI36" s="1000">
        <v>150000</v>
      </c>
      <c r="AJ36" s="1001">
        <v>17000</v>
      </c>
      <c r="AK36" s="1001"/>
      <c r="AL36" s="1001">
        <v>750000</v>
      </c>
      <c r="AM36" s="1001"/>
      <c r="AN36" s="1001"/>
      <c r="AO36" s="1001"/>
      <c r="AP36" s="1001"/>
      <c r="AQ36" s="1001" t="s">
        <v>112</v>
      </c>
      <c r="AR36" s="1001" t="s">
        <v>113</v>
      </c>
      <c r="AS36" s="1001" t="s">
        <v>49</v>
      </c>
      <c r="AT36" s="976" t="s">
        <v>416</v>
      </c>
      <c r="AU36" s="976" t="s">
        <v>417</v>
      </c>
      <c r="AV36" s="1533" t="s">
        <v>418</v>
      </c>
      <c r="AW36" s="1011" t="s">
        <v>419</v>
      </c>
      <c r="AX36" s="1011" t="s">
        <v>420</v>
      </c>
      <c r="AY36" s="1011" t="s">
        <v>421</v>
      </c>
      <c r="AZ36" s="1011">
        <v>15028931051</v>
      </c>
      <c r="BA36" s="1011" t="s">
        <v>422</v>
      </c>
      <c r="BB36" s="1011" t="s">
        <v>423</v>
      </c>
      <c r="BC36" s="980"/>
      <c r="BD36" s="1402" t="s">
        <v>106</v>
      </c>
      <c r="BE36" s="1306"/>
      <c r="BF36" s="1306"/>
      <c r="BG36" s="1402"/>
    </row>
    <row r="37" s="1021" customFormat="1" ht="31.5" spans="2:59">
      <c r="B37" s="1532" t="s">
        <v>424</v>
      </c>
      <c r="C37" s="14" t="s">
        <v>425</v>
      </c>
      <c r="D37" s="973" t="s">
        <v>426</v>
      </c>
      <c r="E37" s="975" t="s">
        <v>427</v>
      </c>
      <c r="F37" s="976" t="s">
        <v>43</v>
      </c>
      <c r="G37" s="977" t="s">
        <v>254</v>
      </c>
      <c r="H37" s="976" t="s">
        <v>361</v>
      </c>
      <c r="I37" s="976" t="s">
        <v>428</v>
      </c>
      <c r="J37" s="1414" t="s">
        <v>429</v>
      </c>
      <c r="K37" s="980">
        <v>42541</v>
      </c>
      <c r="L37" s="980">
        <v>42632</v>
      </c>
      <c r="M37" s="980">
        <v>42735</v>
      </c>
      <c r="N37" s="980">
        <v>42825</v>
      </c>
      <c r="O37" s="980">
        <v>42886</v>
      </c>
      <c r="P37" s="980">
        <v>43100</v>
      </c>
      <c r="Q37" s="980">
        <v>43270</v>
      </c>
      <c r="R37" s="980"/>
      <c r="S37" s="980"/>
      <c r="T37" s="980"/>
      <c r="U37" s="980"/>
      <c r="V37" s="980">
        <v>43271</v>
      </c>
      <c r="W37" s="980">
        <v>43281</v>
      </c>
      <c r="X37" s="1418" t="s">
        <v>430</v>
      </c>
      <c r="Y37" s="980"/>
      <c r="Z37" s="980"/>
      <c r="AA37" s="980"/>
      <c r="AB37" s="980"/>
      <c r="AC37" s="980"/>
      <c r="AD37" s="980"/>
      <c r="AE37" s="980"/>
      <c r="AF37" s="640">
        <f ca="1" t="shared" si="4"/>
        <v>8.61546296296001</v>
      </c>
      <c r="AG37" s="121" t="str">
        <f ca="1" t="shared" ref="AG37:AG67" si="5">IF(AF37&lt;=40,"WARNING","ACTIVE")</f>
        <v>WARNING</v>
      </c>
      <c r="AH37" s="1000">
        <v>4200000</v>
      </c>
      <c r="AI37" s="1425">
        <v>400000</v>
      </c>
      <c r="AJ37" s="1001">
        <v>20000</v>
      </c>
      <c r="AK37" s="1001">
        <v>0</v>
      </c>
      <c r="AL37" s="1429">
        <v>500000</v>
      </c>
      <c r="AM37" s="1001">
        <v>500000</v>
      </c>
      <c r="AN37" s="1001"/>
      <c r="AO37" s="1001"/>
      <c r="AP37" s="1429">
        <v>0</v>
      </c>
      <c r="AQ37" s="1001" t="s">
        <v>112</v>
      </c>
      <c r="AR37" s="1001" t="s">
        <v>113</v>
      </c>
      <c r="AS37" s="1001" t="s">
        <v>49</v>
      </c>
      <c r="AT37" s="1414" t="s">
        <v>431</v>
      </c>
      <c r="AU37" s="976" t="s">
        <v>432</v>
      </c>
      <c r="AV37" s="1533" t="s">
        <v>433</v>
      </c>
      <c r="AW37" s="1011"/>
      <c r="AX37" s="1011" t="s">
        <v>434</v>
      </c>
      <c r="AY37" s="1011" t="s">
        <v>435</v>
      </c>
      <c r="AZ37" s="1011"/>
      <c r="BA37" s="1011" t="s">
        <v>436</v>
      </c>
      <c r="BB37" s="1011" t="s">
        <v>437</v>
      </c>
      <c r="BC37" s="980"/>
      <c r="BD37" s="1402" t="s">
        <v>55</v>
      </c>
      <c r="BE37" s="1306"/>
      <c r="BF37" s="1306"/>
      <c r="BG37" s="1402"/>
    </row>
    <row r="38" s="1021" customFormat="1" ht="21" spans="2:59">
      <c r="B38" s="1532" t="s">
        <v>438</v>
      </c>
      <c r="C38" s="14" t="s">
        <v>439</v>
      </c>
      <c r="D38" s="973" t="s">
        <v>440</v>
      </c>
      <c r="E38" s="975" t="s">
        <v>441</v>
      </c>
      <c r="F38" s="976" t="s">
        <v>43</v>
      </c>
      <c r="G38" s="977" t="s">
        <v>60</v>
      </c>
      <c r="H38" s="976" t="s">
        <v>361</v>
      </c>
      <c r="I38" s="976" t="s">
        <v>442</v>
      </c>
      <c r="J38" s="976" t="s">
        <v>185</v>
      </c>
      <c r="K38" s="980">
        <v>42542</v>
      </c>
      <c r="L38" s="980">
        <v>42633</v>
      </c>
      <c r="M38" s="980">
        <v>42735</v>
      </c>
      <c r="N38" s="980">
        <v>42825</v>
      </c>
      <c r="O38" s="980">
        <v>42886</v>
      </c>
      <c r="P38" s="980">
        <v>43039</v>
      </c>
      <c r="Q38" s="980">
        <v>43100</v>
      </c>
      <c r="R38" s="980">
        <v>43271</v>
      </c>
      <c r="S38" s="980"/>
      <c r="T38" s="980"/>
      <c r="U38" s="980"/>
      <c r="V38" s="980">
        <v>43272</v>
      </c>
      <c r="W38" s="980">
        <v>43281</v>
      </c>
      <c r="X38" s="980"/>
      <c r="Y38" s="980"/>
      <c r="Z38" s="980"/>
      <c r="AA38" s="980"/>
      <c r="AB38" s="980"/>
      <c r="AC38" s="980"/>
      <c r="AD38" s="980"/>
      <c r="AE38" s="980"/>
      <c r="AF38" s="640">
        <f ca="1" t="shared" si="4"/>
        <v>8.61546296296001</v>
      </c>
      <c r="AG38" s="121" t="str">
        <f ca="1" t="shared" si="5"/>
        <v>WARNING</v>
      </c>
      <c r="AH38" s="1000">
        <v>2700000</v>
      </c>
      <c r="AI38" s="1000">
        <v>150000</v>
      </c>
      <c r="AJ38" s="1001">
        <v>17000</v>
      </c>
      <c r="AK38" s="1001">
        <v>30000</v>
      </c>
      <c r="AL38" s="1001"/>
      <c r="AM38" s="1001"/>
      <c r="AN38" s="1001"/>
      <c r="AO38" s="1001"/>
      <c r="AP38" s="1001"/>
      <c r="AQ38" s="1001" t="s">
        <v>112</v>
      </c>
      <c r="AR38" s="1001" t="s">
        <v>113</v>
      </c>
      <c r="AS38" s="1001" t="s">
        <v>49</v>
      </c>
      <c r="AT38" s="976" t="s">
        <v>443</v>
      </c>
      <c r="AU38" s="976" t="s">
        <v>444</v>
      </c>
      <c r="AV38" s="1533" t="s">
        <v>445</v>
      </c>
      <c r="AW38" s="1011" t="s">
        <v>446</v>
      </c>
      <c r="AX38" s="1011" t="s">
        <v>447</v>
      </c>
      <c r="AY38" s="1011">
        <v>0</v>
      </c>
      <c r="AZ38" s="1011">
        <v>0</v>
      </c>
      <c r="BA38" s="1011" t="s">
        <v>448</v>
      </c>
      <c r="BB38" s="1011" t="s">
        <v>449</v>
      </c>
      <c r="BC38" s="980"/>
      <c r="BD38" s="1402" t="s">
        <v>55</v>
      </c>
      <c r="BE38" s="1306"/>
      <c r="BF38" s="1306"/>
      <c r="BG38" s="1402"/>
    </row>
    <row r="39" s="1021" customFormat="1" ht="21" spans="2:59">
      <c r="B39" s="1532" t="s">
        <v>450</v>
      </c>
      <c r="C39" s="14" t="s">
        <v>451</v>
      </c>
      <c r="D39" s="973" t="s">
        <v>452</v>
      </c>
      <c r="E39" s="975" t="s">
        <v>453</v>
      </c>
      <c r="F39" s="976" t="s">
        <v>43</v>
      </c>
      <c r="G39" s="977" t="s">
        <v>254</v>
      </c>
      <c r="H39" s="976" t="s">
        <v>361</v>
      </c>
      <c r="I39" s="976" t="s">
        <v>428</v>
      </c>
      <c r="J39" s="976" t="s">
        <v>454</v>
      </c>
      <c r="K39" s="980">
        <v>42641</v>
      </c>
      <c r="L39" s="980">
        <v>42735</v>
      </c>
      <c r="M39" s="980">
        <v>42825</v>
      </c>
      <c r="N39" s="980">
        <v>42886</v>
      </c>
      <c r="O39" s="980">
        <v>43100</v>
      </c>
      <c r="P39" s="980">
        <v>43281</v>
      </c>
      <c r="Q39" s="980"/>
      <c r="R39" s="980"/>
      <c r="S39" s="980"/>
      <c r="T39" s="980"/>
      <c r="U39" s="980"/>
      <c r="V39" s="980"/>
      <c r="W39" s="980"/>
      <c r="X39" s="980"/>
      <c r="Y39" s="980"/>
      <c r="Z39" s="980"/>
      <c r="AA39" s="980"/>
      <c r="AB39" s="980"/>
      <c r="AC39" s="980"/>
      <c r="AD39" s="980"/>
      <c r="AE39" s="980"/>
      <c r="AF39" s="640">
        <f ca="1">SUM(P39-NOW())</f>
        <v>8.61546296296001</v>
      </c>
      <c r="AG39" s="121" t="str">
        <f ca="1" t="shared" si="5"/>
        <v>WARNING</v>
      </c>
      <c r="AH39" s="1000">
        <v>4200000</v>
      </c>
      <c r="AI39" s="1000">
        <v>250000</v>
      </c>
      <c r="AJ39" s="1001">
        <v>20000</v>
      </c>
      <c r="AK39" s="1001"/>
      <c r="AL39" s="1001"/>
      <c r="AM39" s="1001">
        <v>500000</v>
      </c>
      <c r="AN39" s="1001"/>
      <c r="AO39" s="1001"/>
      <c r="AP39" s="1001"/>
      <c r="AQ39" s="1001" t="s">
        <v>112</v>
      </c>
      <c r="AR39" s="1001" t="s">
        <v>113</v>
      </c>
      <c r="AS39" s="1001" t="s">
        <v>49</v>
      </c>
      <c r="AT39" s="976" t="s">
        <v>455</v>
      </c>
      <c r="AU39" s="976" t="s">
        <v>456</v>
      </c>
      <c r="AV39" s="1533" t="s">
        <v>457</v>
      </c>
      <c r="AW39" s="1011" t="s">
        <v>458</v>
      </c>
      <c r="AX39" s="1011" t="s">
        <v>459</v>
      </c>
      <c r="AY39" s="1011" t="s">
        <v>460</v>
      </c>
      <c r="AZ39" s="1011">
        <v>0</v>
      </c>
      <c r="BA39" s="1011" t="s">
        <v>461</v>
      </c>
      <c r="BB39" s="1011" t="s">
        <v>462</v>
      </c>
      <c r="BC39" s="980"/>
      <c r="BD39" s="1402" t="s">
        <v>55</v>
      </c>
      <c r="BE39" s="1306"/>
      <c r="BF39" s="1306"/>
      <c r="BG39" s="1402"/>
    </row>
    <row r="40" s="1021" customFormat="1" ht="21" spans="2:59">
      <c r="B40" s="1532" t="s">
        <v>463</v>
      </c>
      <c r="C40" s="14" t="s">
        <v>464</v>
      </c>
      <c r="D40" s="973" t="s">
        <v>465</v>
      </c>
      <c r="E40" s="975" t="s">
        <v>466</v>
      </c>
      <c r="F40" s="976" t="s">
        <v>43</v>
      </c>
      <c r="G40" s="977" t="s">
        <v>43</v>
      </c>
      <c r="H40" s="976" t="s">
        <v>361</v>
      </c>
      <c r="I40" s="976" t="s">
        <v>428</v>
      </c>
      <c r="J40" s="976" t="s">
        <v>185</v>
      </c>
      <c r="K40" s="980">
        <v>42641</v>
      </c>
      <c r="L40" s="980">
        <v>42735</v>
      </c>
      <c r="M40" s="980">
        <v>42794</v>
      </c>
      <c r="N40" s="980">
        <v>42825</v>
      </c>
      <c r="O40" s="980">
        <v>42916</v>
      </c>
      <c r="P40" s="980">
        <v>43100</v>
      </c>
      <c r="Q40" s="980">
        <v>43281</v>
      </c>
      <c r="R40" s="980"/>
      <c r="S40" s="980"/>
      <c r="T40" s="980"/>
      <c r="U40" s="980"/>
      <c r="V40" s="980"/>
      <c r="W40" s="980"/>
      <c r="X40" s="980"/>
      <c r="Y40" s="980"/>
      <c r="Z40" s="980"/>
      <c r="AA40" s="980"/>
      <c r="AB40" s="980"/>
      <c r="AC40" s="980"/>
      <c r="AD40" s="980"/>
      <c r="AE40" s="980"/>
      <c r="AF40" s="640">
        <f ca="1">SUM(Q40-NOW())</f>
        <v>8.61546296296001</v>
      </c>
      <c r="AG40" s="121" t="str">
        <f ca="1" t="shared" si="5"/>
        <v>WARNING</v>
      </c>
      <c r="AH40" s="1000">
        <v>2765000</v>
      </c>
      <c r="AI40" s="1000">
        <v>150000</v>
      </c>
      <c r="AJ40" s="1001">
        <v>17000</v>
      </c>
      <c r="AK40" s="1001"/>
      <c r="AL40" s="1001"/>
      <c r="AM40" s="1001"/>
      <c r="AN40" s="1001"/>
      <c r="AO40" s="1001"/>
      <c r="AP40" s="1001"/>
      <c r="AQ40" s="1001" t="s">
        <v>112</v>
      </c>
      <c r="AR40" s="1001" t="s">
        <v>113</v>
      </c>
      <c r="AS40" s="1001" t="s">
        <v>49</v>
      </c>
      <c r="AT40" s="976" t="s">
        <v>467</v>
      </c>
      <c r="AU40" s="976" t="s">
        <v>468</v>
      </c>
      <c r="AV40" s="1533" t="s">
        <v>469</v>
      </c>
      <c r="AW40" s="1011" t="s">
        <v>470</v>
      </c>
      <c r="AX40" s="1011" t="s">
        <v>471</v>
      </c>
      <c r="AY40" s="1011"/>
      <c r="AZ40" s="1011"/>
      <c r="BA40" s="1011"/>
      <c r="BB40" s="1011" t="s">
        <v>472</v>
      </c>
      <c r="BC40" s="980"/>
      <c r="BD40" s="1402" t="s">
        <v>55</v>
      </c>
      <c r="BE40" s="1306"/>
      <c r="BF40" s="1306"/>
      <c r="BG40" s="1402"/>
    </row>
    <row r="41" s="1021" customFormat="1" ht="21" spans="2:59">
      <c r="B41" s="1532" t="s">
        <v>473</v>
      </c>
      <c r="C41" s="14" t="s">
        <v>474</v>
      </c>
      <c r="D41" s="973" t="s">
        <v>475</v>
      </c>
      <c r="E41" s="975" t="s">
        <v>476</v>
      </c>
      <c r="F41" s="976" t="s">
        <v>43</v>
      </c>
      <c r="G41" s="977" t="s">
        <v>44</v>
      </c>
      <c r="H41" s="976" t="s">
        <v>361</v>
      </c>
      <c r="I41" s="976" t="s">
        <v>428</v>
      </c>
      <c r="J41" s="976" t="s">
        <v>185</v>
      </c>
      <c r="K41" s="980">
        <v>42646</v>
      </c>
      <c r="L41" s="980">
        <v>42735</v>
      </c>
      <c r="M41" s="980">
        <v>42825</v>
      </c>
      <c r="N41" s="980">
        <v>42886</v>
      </c>
      <c r="O41" s="980">
        <v>43039</v>
      </c>
      <c r="P41" s="980">
        <v>43131</v>
      </c>
      <c r="Q41" s="980">
        <v>43281</v>
      </c>
      <c r="R41" s="980"/>
      <c r="S41" s="980"/>
      <c r="T41" s="980"/>
      <c r="U41" s="980"/>
      <c r="V41" s="980"/>
      <c r="W41" s="980"/>
      <c r="X41" s="980"/>
      <c r="Y41" s="980"/>
      <c r="Z41" s="980"/>
      <c r="AA41" s="980"/>
      <c r="AB41" s="980"/>
      <c r="AC41" s="980"/>
      <c r="AD41" s="980"/>
      <c r="AE41" s="980"/>
      <c r="AF41" s="640">
        <f ca="1">SUM(Q41-NOW())</f>
        <v>8.61546296296001</v>
      </c>
      <c r="AG41" s="121" t="str">
        <f ca="1" t="shared" si="5"/>
        <v>WARNING</v>
      </c>
      <c r="AH41" s="1000">
        <v>2765000</v>
      </c>
      <c r="AI41" s="1000">
        <v>150000</v>
      </c>
      <c r="AJ41" s="1001">
        <v>17000</v>
      </c>
      <c r="AK41" s="1001"/>
      <c r="AL41" s="1001"/>
      <c r="AM41" s="1001"/>
      <c r="AN41" s="1001"/>
      <c r="AO41" s="1001"/>
      <c r="AP41" s="1001"/>
      <c r="AQ41" s="1001" t="s">
        <v>112</v>
      </c>
      <c r="AR41" s="1001" t="s">
        <v>113</v>
      </c>
      <c r="AS41" s="1001" t="s">
        <v>49</v>
      </c>
      <c r="AT41" s="976" t="s">
        <v>467</v>
      </c>
      <c r="AU41" s="976" t="s">
        <v>477</v>
      </c>
      <c r="AV41" s="1533" t="s">
        <v>478</v>
      </c>
      <c r="AW41" s="1011" t="s">
        <v>479</v>
      </c>
      <c r="AX41" s="1011" t="s">
        <v>480</v>
      </c>
      <c r="AY41" s="1011"/>
      <c r="AZ41" s="1011" t="s">
        <v>481</v>
      </c>
      <c r="BA41" s="1011"/>
      <c r="BB41" s="1011" t="s">
        <v>482</v>
      </c>
      <c r="BC41" s="980"/>
      <c r="BD41" s="1402" t="s">
        <v>55</v>
      </c>
      <c r="BE41" s="1306"/>
      <c r="BF41" s="1306"/>
      <c r="BG41" s="1402"/>
    </row>
    <row r="42" s="1282" customFormat="1" ht="31.5" spans="2:59">
      <c r="B42" s="1532" t="s">
        <v>483</v>
      </c>
      <c r="C42" s="14" t="s">
        <v>484</v>
      </c>
      <c r="D42" s="973" t="s">
        <v>485</v>
      </c>
      <c r="E42" s="975" t="s">
        <v>486</v>
      </c>
      <c r="F42" s="976" t="s">
        <v>43</v>
      </c>
      <c r="G42" s="977" t="s">
        <v>44</v>
      </c>
      <c r="H42" s="976" t="s">
        <v>361</v>
      </c>
      <c r="I42" s="976" t="s">
        <v>428</v>
      </c>
      <c r="J42" s="976" t="s">
        <v>185</v>
      </c>
      <c r="K42" s="980">
        <v>42683</v>
      </c>
      <c r="L42" s="980">
        <v>42774</v>
      </c>
      <c r="M42" s="980">
        <v>42825</v>
      </c>
      <c r="N42" s="980">
        <v>42916</v>
      </c>
      <c r="O42" s="980">
        <v>43100</v>
      </c>
      <c r="P42" s="980">
        <v>43281</v>
      </c>
      <c r="Q42" s="1418" t="s">
        <v>325</v>
      </c>
      <c r="R42" s="980"/>
      <c r="S42" s="980"/>
      <c r="T42" s="980"/>
      <c r="U42" s="980"/>
      <c r="V42" s="980"/>
      <c r="W42" s="980"/>
      <c r="X42" s="980"/>
      <c r="Y42" s="980"/>
      <c r="Z42" s="980"/>
      <c r="AA42" s="980"/>
      <c r="AB42" s="980"/>
      <c r="AC42" s="980"/>
      <c r="AD42" s="980"/>
      <c r="AE42" s="980"/>
      <c r="AF42" s="640">
        <f ca="1">SUM(P42-NOW())</f>
        <v>8.61546296296001</v>
      </c>
      <c r="AG42" s="121" t="str">
        <f ca="1" t="shared" si="5"/>
        <v>WARNING</v>
      </c>
      <c r="AH42" s="1425">
        <v>3200000</v>
      </c>
      <c r="AI42" s="1425">
        <v>200000</v>
      </c>
      <c r="AJ42" s="1001">
        <v>17000</v>
      </c>
      <c r="AK42" s="1001"/>
      <c r="AL42" s="1001"/>
      <c r="AM42" s="1001"/>
      <c r="AN42" s="1001"/>
      <c r="AO42" s="1001"/>
      <c r="AP42" s="1001"/>
      <c r="AQ42" s="1001" t="s">
        <v>112</v>
      </c>
      <c r="AR42" s="1001" t="s">
        <v>48</v>
      </c>
      <c r="AS42" s="1001" t="s">
        <v>49</v>
      </c>
      <c r="AT42" s="1414" t="s">
        <v>487</v>
      </c>
      <c r="AU42" s="976" t="s">
        <v>488</v>
      </c>
      <c r="AV42" s="1533" t="s">
        <v>489</v>
      </c>
      <c r="AW42" s="1011" t="s">
        <v>490</v>
      </c>
      <c r="AX42" s="1011" t="s">
        <v>491</v>
      </c>
      <c r="AY42" s="1011"/>
      <c r="AZ42" s="1011"/>
      <c r="BA42" s="1011"/>
      <c r="BB42" s="1011" t="s">
        <v>492</v>
      </c>
      <c r="BC42" s="980" t="s">
        <v>493</v>
      </c>
      <c r="BD42" s="1402" t="s">
        <v>55</v>
      </c>
      <c r="BE42" s="1308"/>
      <c r="BF42" s="1306"/>
      <c r="BG42" s="1402"/>
    </row>
    <row r="43" s="1282" customFormat="1" ht="21" spans="2:58">
      <c r="B43" s="1532" t="s">
        <v>494</v>
      </c>
      <c r="C43" s="14" t="s">
        <v>495</v>
      </c>
      <c r="D43" s="973" t="s">
        <v>496</v>
      </c>
      <c r="E43" s="975" t="s">
        <v>497</v>
      </c>
      <c r="F43" s="976" t="s">
        <v>43</v>
      </c>
      <c r="G43" s="977" t="s">
        <v>254</v>
      </c>
      <c r="H43" s="976" t="s">
        <v>361</v>
      </c>
      <c r="I43" s="976" t="s">
        <v>428</v>
      </c>
      <c r="J43" s="976" t="s">
        <v>208</v>
      </c>
      <c r="K43" s="980">
        <v>42702</v>
      </c>
      <c r="L43" s="980">
        <v>42794</v>
      </c>
      <c r="M43" s="980">
        <v>42855</v>
      </c>
      <c r="N43" s="980">
        <v>43100</v>
      </c>
      <c r="O43" s="980">
        <v>43281</v>
      </c>
      <c r="P43" s="980"/>
      <c r="Q43" s="980"/>
      <c r="R43" s="980"/>
      <c r="S43" s="980"/>
      <c r="T43" s="980"/>
      <c r="U43" s="980"/>
      <c r="V43" s="980"/>
      <c r="W43" s="980"/>
      <c r="X43" s="980"/>
      <c r="Y43" s="980"/>
      <c r="Z43" s="980"/>
      <c r="AA43" s="980"/>
      <c r="AB43" s="980"/>
      <c r="AC43" s="980"/>
      <c r="AD43" s="980"/>
      <c r="AE43" s="980"/>
      <c r="AF43" s="640">
        <f ca="1" t="shared" ref="AF43:AF50" si="6">SUM(O43-NOW())</f>
        <v>8.61546296296001</v>
      </c>
      <c r="AG43" s="121" t="str">
        <f ca="1" t="shared" si="5"/>
        <v>WARNING</v>
      </c>
      <c r="AH43" s="1000">
        <v>4200000</v>
      </c>
      <c r="AI43" s="1000">
        <v>250000</v>
      </c>
      <c r="AJ43" s="1001">
        <v>20000</v>
      </c>
      <c r="AK43" s="1001"/>
      <c r="AL43" s="1001"/>
      <c r="AM43" s="1001">
        <v>500000</v>
      </c>
      <c r="AN43" s="1001"/>
      <c r="AO43" s="1001"/>
      <c r="AP43" s="1001">
        <v>300000</v>
      </c>
      <c r="AQ43" s="1001" t="s">
        <v>112</v>
      </c>
      <c r="AR43" s="1001" t="s">
        <v>48</v>
      </c>
      <c r="AS43" s="1001" t="s">
        <v>49</v>
      </c>
      <c r="AT43" s="976" t="s">
        <v>498</v>
      </c>
      <c r="AU43" s="976" t="s">
        <v>499</v>
      </c>
      <c r="AV43" s="1533" t="s">
        <v>500</v>
      </c>
      <c r="AW43" s="1011" t="s">
        <v>501</v>
      </c>
      <c r="AX43" s="1011" t="s">
        <v>502</v>
      </c>
      <c r="AY43" s="1011"/>
      <c r="AZ43" s="1011"/>
      <c r="BA43" s="1011"/>
      <c r="BB43" s="1011" t="s">
        <v>503</v>
      </c>
      <c r="BC43" s="980"/>
      <c r="BD43" s="1402" t="s">
        <v>55</v>
      </c>
      <c r="BE43" s="1306"/>
      <c r="BF43" s="1306"/>
    </row>
    <row r="44" s="1021" customFormat="1" ht="21" spans="2:59">
      <c r="B44" s="1532" t="s">
        <v>504</v>
      </c>
      <c r="C44" s="14" t="s">
        <v>505</v>
      </c>
      <c r="D44" s="973" t="s">
        <v>506</v>
      </c>
      <c r="E44" s="975" t="s">
        <v>507</v>
      </c>
      <c r="F44" s="976" t="s">
        <v>125</v>
      </c>
      <c r="G44" s="977" t="s">
        <v>44</v>
      </c>
      <c r="H44" s="976" t="s">
        <v>361</v>
      </c>
      <c r="I44" s="976" t="s">
        <v>428</v>
      </c>
      <c r="J44" s="976" t="s">
        <v>508</v>
      </c>
      <c r="K44" s="980">
        <v>42741</v>
      </c>
      <c r="L44" s="980">
        <v>42825</v>
      </c>
      <c r="M44" s="980">
        <v>42916</v>
      </c>
      <c r="N44" s="980">
        <v>43100</v>
      </c>
      <c r="O44" s="980">
        <v>43281</v>
      </c>
      <c r="P44" s="980"/>
      <c r="Q44" s="980"/>
      <c r="R44" s="980"/>
      <c r="S44" s="980"/>
      <c r="T44" s="980"/>
      <c r="U44" s="980"/>
      <c r="V44" s="980"/>
      <c r="W44" s="980"/>
      <c r="X44" s="980"/>
      <c r="Y44" s="980"/>
      <c r="Z44" s="980"/>
      <c r="AA44" s="980"/>
      <c r="AB44" s="980"/>
      <c r="AC44" s="980"/>
      <c r="AD44" s="980"/>
      <c r="AE44" s="980"/>
      <c r="AF44" s="640">
        <f ca="1" t="shared" si="6"/>
        <v>8.61546296296001</v>
      </c>
      <c r="AG44" s="121" t="str">
        <f ca="1" t="shared" si="5"/>
        <v>WARNING</v>
      </c>
      <c r="AH44" s="1000">
        <v>2750000</v>
      </c>
      <c r="AI44" s="1000">
        <v>250000</v>
      </c>
      <c r="AJ44" s="1001">
        <v>20000</v>
      </c>
      <c r="AK44" s="1001"/>
      <c r="AL44" s="1001"/>
      <c r="AM44" s="1001">
        <v>500000</v>
      </c>
      <c r="AN44" s="1001"/>
      <c r="AO44" s="1001"/>
      <c r="AP44" s="1001"/>
      <c r="AQ44" s="1001" t="s">
        <v>112</v>
      </c>
      <c r="AR44" s="1001" t="s">
        <v>48</v>
      </c>
      <c r="AS44" s="1001" t="s">
        <v>49</v>
      </c>
      <c r="AT44" s="976"/>
      <c r="AU44" s="976" t="s">
        <v>509</v>
      </c>
      <c r="AV44" s="1533" t="s">
        <v>510</v>
      </c>
      <c r="AW44" s="1011" t="s">
        <v>511</v>
      </c>
      <c r="AX44" s="1011" t="s">
        <v>512</v>
      </c>
      <c r="AY44" s="1011"/>
      <c r="AZ44" s="1011"/>
      <c r="BA44" s="1011"/>
      <c r="BB44" s="1011" t="s">
        <v>513</v>
      </c>
      <c r="BC44" s="980"/>
      <c r="BD44" s="1402" t="s">
        <v>55</v>
      </c>
      <c r="BE44" s="1306"/>
      <c r="BF44" s="1306"/>
      <c r="BG44" s="1402"/>
    </row>
    <row r="45" s="1398" customFormat="1" ht="21" spans="2:58">
      <c r="B45" s="1532" t="s">
        <v>514</v>
      </c>
      <c r="C45" s="1404" t="s">
        <v>515</v>
      </c>
      <c r="D45" s="1405" t="s">
        <v>516</v>
      </c>
      <c r="E45" s="1409" t="s">
        <v>517</v>
      </c>
      <c r="F45" s="1410" t="s">
        <v>43</v>
      </c>
      <c r="G45" s="1411" t="s">
        <v>254</v>
      </c>
      <c r="H45" s="1410" t="s">
        <v>361</v>
      </c>
      <c r="I45" s="1410" t="s">
        <v>428</v>
      </c>
      <c r="J45" s="1410" t="s">
        <v>518</v>
      </c>
      <c r="K45" s="1415">
        <v>42724</v>
      </c>
      <c r="L45" s="1415">
        <v>42794</v>
      </c>
      <c r="M45" s="1415">
        <v>42855</v>
      </c>
      <c r="N45" s="1415">
        <v>43100</v>
      </c>
      <c r="O45" s="980">
        <v>43281</v>
      </c>
      <c r="P45" s="1417" t="s">
        <v>519</v>
      </c>
      <c r="Q45" s="1415"/>
      <c r="R45" s="1415"/>
      <c r="S45" s="1415"/>
      <c r="T45" s="1415"/>
      <c r="U45" s="1415"/>
      <c r="V45" s="1415"/>
      <c r="W45" s="1415"/>
      <c r="X45" s="1415"/>
      <c r="Y45" s="1415"/>
      <c r="Z45" s="1415"/>
      <c r="AA45" s="1415"/>
      <c r="AB45" s="1415"/>
      <c r="AC45" s="1415"/>
      <c r="AD45" s="1415"/>
      <c r="AE45" s="1415"/>
      <c r="AF45" s="640">
        <f ca="1" t="shared" si="6"/>
        <v>8.61546296296001</v>
      </c>
      <c r="AG45" s="1426" t="str">
        <f ca="1" t="shared" si="5"/>
        <v>WARNING</v>
      </c>
      <c r="AH45" s="1427">
        <v>2765000</v>
      </c>
      <c r="AI45" s="1427">
        <v>150000</v>
      </c>
      <c r="AJ45" s="1428">
        <v>17000</v>
      </c>
      <c r="AK45" s="1434">
        <v>0</v>
      </c>
      <c r="AL45" s="1428"/>
      <c r="AM45" s="1428"/>
      <c r="AN45" s="1428"/>
      <c r="AO45" s="1428"/>
      <c r="AP45" s="1428"/>
      <c r="AQ45" s="1428" t="s">
        <v>112</v>
      </c>
      <c r="AR45" s="1428" t="s">
        <v>48</v>
      </c>
      <c r="AS45" s="1428" t="s">
        <v>49</v>
      </c>
      <c r="AT45" s="1439" t="s">
        <v>520</v>
      </c>
      <c r="AU45" s="1410" t="s">
        <v>521</v>
      </c>
      <c r="AV45" s="1535" t="s">
        <v>522</v>
      </c>
      <c r="AW45" s="1438"/>
      <c r="AX45" s="1438" t="s">
        <v>523</v>
      </c>
      <c r="AY45" s="1438"/>
      <c r="AZ45" s="1438"/>
      <c r="BA45" s="1438"/>
      <c r="BB45" s="1438"/>
      <c r="BC45" s="1415" t="s">
        <v>524</v>
      </c>
      <c r="BD45" s="1402" t="s">
        <v>55</v>
      </c>
      <c r="BE45" s="1450"/>
      <c r="BF45" s="1306"/>
    </row>
    <row r="46" s="1282" customFormat="1" ht="21" spans="2:58">
      <c r="B46" s="1532" t="s">
        <v>525</v>
      </c>
      <c r="C46" s="14" t="s">
        <v>526</v>
      </c>
      <c r="D46" s="973" t="s">
        <v>527</v>
      </c>
      <c r="E46" s="975">
        <v>30901</v>
      </c>
      <c r="F46" s="976" t="s">
        <v>43</v>
      </c>
      <c r="G46" s="977" t="s">
        <v>60</v>
      </c>
      <c r="H46" s="976" t="s">
        <v>361</v>
      </c>
      <c r="I46" s="976" t="s">
        <v>428</v>
      </c>
      <c r="J46" s="976" t="s">
        <v>185</v>
      </c>
      <c r="K46" s="980">
        <v>42724</v>
      </c>
      <c r="L46" s="980">
        <v>42794</v>
      </c>
      <c r="M46" s="980">
        <v>42855</v>
      </c>
      <c r="N46" s="980">
        <v>43100</v>
      </c>
      <c r="O46" s="980">
        <v>43281</v>
      </c>
      <c r="P46" s="980"/>
      <c r="Q46" s="980"/>
      <c r="R46" s="980"/>
      <c r="S46" s="980"/>
      <c r="T46" s="980"/>
      <c r="U46" s="980"/>
      <c r="V46" s="980"/>
      <c r="W46" s="980"/>
      <c r="X46" s="980"/>
      <c r="Y46" s="980"/>
      <c r="Z46" s="980"/>
      <c r="AA46" s="980"/>
      <c r="AB46" s="980"/>
      <c r="AC46" s="980"/>
      <c r="AD46" s="980"/>
      <c r="AE46" s="980"/>
      <c r="AF46" s="640">
        <f ca="1" t="shared" si="6"/>
        <v>8.61546296296001</v>
      </c>
      <c r="AG46" s="121" t="str">
        <f ca="1" t="shared" si="5"/>
        <v>WARNING</v>
      </c>
      <c r="AH46" s="1000">
        <v>2765000</v>
      </c>
      <c r="AI46" s="1000">
        <v>150000</v>
      </c>
      <c r="AJ46" s="1001">
        <v>17000</v>
      </c>
      <c r="AK46" s="1001">
        <v>30000</v>
      </c>
      <c r="AL46" s="1001"/>
      <c r="AM46" s="1001"/>
      <c r="AN46" s="1001"/>
      <c r="AO46" s="1001"/>
      <c r="AP46" s="1001"/>
      <c r="AQ46" s="1001" t="s">
        <v>112</v>
      </c>
      <c r="AR46" s="1001" t="s">
        <v>48</v>
      </c>
      <c r="AS46" s="1001" t="s">
        <v>49</v>
      </c>
      <c r="AT46" s="976" t="s">
        <v>528</v>
      </c>
      <c r="AU46" s="976" t="s">
        <v>529</v>
      </c>
      <c r="AV46" s="1533" t="s">
        <v>530</v>
      </c>
      <c r="AW46" s="1011"/>
      <c r="AX46" s="1011" t="s">
        <v>531</v>
      </c>
      <c r="AY46" s="1011"/>
      <c r="AZ46" s="1011"/>
      <c r="BA46" s="1011"/>
      <c r="BB46" s="1011" t="s">
        <v>532</v>
      </c>
      <c r="BC46" s="980"/>
      <c r="BD46" s="1402" t="s">
        <v>55</v>
      </c>
      <c r="BE46" s="1306"/>
      <c r="BF46" s="1306"/>
    </row>
    <row r="47" s="1021" customFormat="1" ht="21" spans="2:59">
      <c r="B47" s="1532" t="s">
        <v>533</v>
      </c>
      <c r="C47" s="14" t="s">
        <v>534</v>
      </c>
      <c r="D47" s="973" t="s">
        <v>535</v>
      </c>
      <c r="E47" s="975" t="s">
        <v>536</v>
      </c>
      <c r="F47" s="976" t="s">
        <v>43</v>
      </c>
      <c r="G47" s="977" t="s">
        <v>44</v>
      </c>
      <c r="H47" s="976" t="s">
        <v>361</v>
      </c>
      <c r="I47" s="976" t="s">
        <v>428</v>
      </c>
      <c r="J47" s="976" t="s">
        <v>208</v>
      </c>
      <c r="K47" s="980">
        <v>42740</v>
      </c>
      <c r="L47" s="980">
        <v>42825</v>
      </c>
      <c r="M47" s="980">
        <v>42916</v>
      </c>
      <c r="N47" s="980">
        <v>43100</v>
      </c>
      <c r="O47" s="980">
        <v>43281</v>
      </c>
      <c r="P47" s="980"/>
      <c r="Q47" s="980"/>
      <c r="R47" s="980"/>
      <c r="S47" s="980"/>
      <c r="T47" s="980"/>
      <c r="U47" s="980"/>
      <c r="V47" s="980"/>
      <c r="W47" s="980"/>
      <c r="X47" s="980"/>
      <c r="Y47" s="980"/>
      <c r="Z47" s="980"/>
      <c r="AA47" s="980"/>
      <c r="AB47" s="980"/>
      <c r="AC47" s="980"/>
      <c r="AD47" s="980"/>
      <c r="AE47" s="980"/>
      <c r="AF47" s="640">
        <f ca="1" t="shared" si="6"/>
        <v>8.61546296296001</v>
      </c>
      <c r="AG47" s="121" t="str">
        <f ca="1" t="shared" si="5"/>
        <v>WARNING</v>
      </c>
      <c r="AH47" s="1000">
        <v>4200000</v>
      </c>
      <c r="AI47" s="1000">
        <v>250000</v>
      </c>
      <c r="AJ47" s="1001">
        <v>20000</v>
      </c>
      <c r="AK47" s="1001"/>
      <c r="AL47" s="1001"/>
      <c r="AM47" s="1001">
        <v>500000</v>
      </c>
      <c r="AN47" s="1001"/>
      <c r="AO47" s="1001"/>
      <c r="AP47" s="1001"/>
      <c r="AQ47" s="1001" t="s">
        <v>112</v>
      </c>
      <c r="AR47" s="1001" t="s">
        <v>48</v>
      </c>
      <c r="AS47" s="1001" t="s">
        <v>49</v>
      </c>
      <c r="AT47" s="976"/>
      <c r="AU47" s="976" t="s">
        <v>537</v>
      </c>
      <c r="AV47" s="1533" t="s">
        <v>538</v>
      </c>
      <c r="AW47" s="1011" t="s">
        <v>539</v>
      </c>
      <c r="AX47" s="1011" t="s">
        <v>540</v>
      </c>
      <c r="AY47" s="1011" t="s">
        <v>541</v>
      </c>
      <c r="AZ47" s="1011"/>
      <c r="BA47" s="1011"/>
      <c r="BB47" s="1011"/>
      <c r="BC47" s="980"/>
      <c r="BD47" s="1402" t="s">
        <v>55</v>
      </c>
      <c r="BE47" s="1306"/>
      <c r="BF47" s="1306"/>
      <c r="BG47" s="1402"/>
    </row>
    <row r="48" s="1282" customFormat="1" spans="2:58">
      <c r="B48" s="1532" t="s">
        <v>542</v>
      </c>
      <c r="C48" s="14" t="s">
        <v>543</v>
      </c>
      <c r="D48" s="973" t="s">
        <v>544</v>
      </c>
      <c r="E48" s="975" t="s">
        <v>545</v>
      </c>
      <c r="F48" s="976" t="s">
        <v>43</v>
      </c>
      <c r="G48" s="977" t="s">
        <v>44</v>
      </c>
      <c r="H48" s="976" t="s">
        <v>361</v>
      </c>
      <c r="I48" s="976" t="s">
        <v>428</v>
      </c>
      <c r="J48" s="976" t="s">
        <v>185</v>
      </c>
      <c r="K48" s="980">
        <v>42727</v>
      </c>
      <c r="L48" s="980">
        <v>42794</v>
      </c>
      <c r="M48" s="980">
        <v>42855</v>
      </c>
      <c r="N48" s="980">
        <v>43100</v>
      </c>
      <c r="O48" s="980">
        <v>43281</v>
      </c>
      <c r="P48" s="980"/>
      <c r="Q48" s="980"/>
      <c r="R48" s="980"/>
      <c r="S48" s="980"/>
      <c r="T48" s="980"/>
      <c r="U48" s="980"/>
      <c r="V48" s="980"/>
      <c r="W48" s="980"/>
      <c r="X48" s="980"/>
      <c r="Y48" s="980"/>
      <c r="Z48" s="980"/>
      <c r="AA48" s="980"/>
      <c r="AB48" s="980"/>
      <c r="AC48" s="980"/>
      <c r="AD48" s="980"/>
      <c r="AE48" s="980"/>
      <c r="AF48" s="640">
        <f ca="1" t="shared" si="6"/>
        <v>8.61546296296001</v>
      </c>
      <c r="AG48" s="121" t="str">
        <f ca="1" t="shared" si="5"/>
        <v>WARNING</v>
      </c>
      <c r="AH48" s="1000">
        <v>2765000</v>
      </c>
      <c r="AI48" s="1000">
        <v>150000</v>
      </c>
      <c r="AJ48" s="1001">
        <v>17000</v>
      </c>
      <c r="AK48" s="1001"/>
      <c r="AL48" s="1001"/>
      <c r="AM48" s="1001"/>
      <c r="AN48" s="1001"/>
      <c r="AO48" s="1001"/>
      <c r="AP48" s="1001"/>
      <c r="AQ48" s="1001" t="s">
        <v>112</v>
      </c>
      <c r="AR48" s="1001" t="s">
        <v>48</v>
      </c>
      <c r="AS48" s="1001" t="s">
        <v>49</v>
      </c>
      <c r="AT48" s="976"/>
      <c r="AU48" s="976" t="s">
        <v>546</v>
      </c>
      <c r="AV48" s="1533" t="s">
        <v>547</v>
      </c>
      <c r="AW48" s="1011"/>
      <c r="AX48" s="1011" t="s">
        <v>548</v>
      </c>
      <c r="AY48" s="1011"/>
      <c r="AZ48" s="1011"/>
      <c r="BA48" s="1011"/>
      <c r="BB48" s="1011" t="s">
        <v>549</v>
      </c>
      <c r="BC48" s="980"/>
      <c r="BD48" s="1402" t="s">
        <v>55</v>
      </c>
      <c r="BE48" s="1306"/>
      <c r="BF48" s="1306"/>
    </row>
    <row r="49" s="1398" customFormat="1" ht="21" spans="2:59">
      <c r="B49" s="1532" t="s">
        <v>550</v>
      </c>
      <c r="C49" s="1404" t="s">
        <v>551</v>
      </c>
      <c r="D49" s="1405" t="s">
        <v>552</v>
      </c>
      <c r="E49" s="1409" t="s">
        <v>553</v>
      </c>
      <c r="F49" s="1410" t="s">
        <v>43</v>
      </c>
      <c r="G49" s="1411" t="s">
        <v>44</v>
      </c>
      <c r="H49" s="1410" t="s">
        <v>361</v>
      </c>
      <c r="I49" s="1410" t="s">
        <v>428</v>
      </c>
      <c r="J49" s="1410" t="s">
        <v>185</v>
      </c>
      <c r="K49" s="1415">
        <v>42751</v>
      </c>
      <c r="L49" s="1415">
        <v>42825</v>
      </c>
      <c r="M49" s="1415">
        <v>42916</v>
      </c>
      <c r="N49" s="1415">
        <v>43100</v>
      </c>
      <c r="O49" s="980">
        <v>43281</v>
      </c>
      <c r="P49" s="1415"/>
      <c r="Q49" s="1415"/>
      <c r="R49" s="1415"/>
      <c r="S49" s="1415"/>
      <c r="T49" s="1415"/>
      <c r="U49" s="1415"/>
      <c r="V49" s="1415"/>
      <c r="W49" s="1415"/>
      <c r="X49" s="1415"/>
      <c r="Y49" s="1415"/>
      <c r="Z49" s="1415"/>
      <c r="AA49" s="1415"/>
      <c r="AB49" s="1415"/>
      <c r="AC49" s="1415"/>
      <c r="AD49" s="1415"/>
      <c r="AE49" s="1415"/>
      <c r="AF49" s="640">
        <f ca="1" t="shared" si="6"/>
        <v>8.61546296296001</v>
      </c>
      <c r="AG49" s="1426" t="str">
        <f ca="1" t="shared" si="5"/>
        <v>WARNING</v>
      </c>
      <c r="AH49" s="1427">
        <v>2765000</v>
      </c>
      <c r="AI49" s="1427">
        <v>150000</v>
      </c>
      <c r="AJ49" s="1428">
        <v>17000</v>
      </c>
      <c r="AK49" s="1428"/>
      <c r="AL49" s="1428"/>
      <c r="AM49" s="1428"/>
      <c r="AN49" s="1428"/>
      <c r="AO49" s="1428"/>
      <c r="AP49" s="1428"/>
      <c r="AQ49" s="1428" t="s">
        <v>112</v>
      </c>
      <c r="AR49" s="1428" t="s">
        <v>48</v>
      </c>
      <c r="AS49" s="1428" t="s">
        <v>49</v>
      </c>
      <c r="AT49" s="1410"/>
      <c r="AU49" s="1410" t="s">
        <v>554</v>
      </c>
      <c r="AV49" s="1535" t="s">
        <v>555</v>
      </c>
      <c r="AW49" s="1438" t="s">
        <v>556</v>
      </c>
      <c r="AX49" s="1438" t="s">
        <v>557</v>
      </c>
      <c r="AY49" s="1438"/>
      <c r="AZ49" s="1438"/>
      <c r="BA49" s="1438"/>
      <c r="BB49" s="1438"/>
      <c r="BC49" s="1415" t="s">
        <v>558</v>
      </c>
      <c r="BD49" s="1402" t="s">
        <v>55</v>
      </c>
      <c r="BE49" s="1450"/>
      <c r="BF49" s="1306"/>
      <c r="BG49" s="1451"/>
    </row>
    <row r="50" s="1021" customFormat="1" spans="2:59">
      <c r="B50" s="1532" t="s">
        <v>559</v>
      </c>
      <c r="C50" s="14" t="s">
        <v>560</v>
      </c>
      <c r="D50" s="973" t="s">
        <v>561</v>
      </c>
      <c r="E50" s="975" t="s">
        <v>562</v>
      </c>
      <c r="F50" s="976" t="s">
        <v>43</v>
      </c>
      <c r="G50" s="977" t="s">
        <v>96</v>
      </c>
      <c r="H50" s="976" t="s">
        <v>361</v>
      </c>
      <c r="I50" s="976" t="s">
        <v>428</v>
      </c>
      <c r="J50" s="976" t="s">
        <v>208</v>
      </c>
      <c r="K50" s="980">
        <v>42758</v>
      </c>
      <c r="L50" s="980">
        <v>42825</v>
      </c>
      <c r="M50" s="980">
        <v>42916</v>
      </c>
      <c r="N50" s="980">
        <v>43100</v>
      </c>
      <c r="O50" s="980">
        <v>43281</v>
      </c>
      <c r="P50" s="980"/>
      <c r="Q50" s="980"/>
      <c r="R50" s="980"/>
      <c r="S50" s="980"/>
      <c r="T50" s="980"/>
      <c r="U50" s="980"/>
      <c r="V50" s="980"/>
      <c r="W50" s="980"/>
      <c r="X50" s="980"/>
      <c r="Y50" s="980"/>
      <c r="Z50" s="980"/>
      <c r="AA50" s="980"/>
      <c r="AB50" s="980"/>
      <c r="AC50" s="980"/>
      <c r="AD50" s="980"/>
      <c r="AE50" s="980"/>
      <c r="AF50" s="640">
        <f ca="1" t="shared" si="6"/>
        <v>8.61546296296001</v>
      </c>
      <c r="AG50" s="121" t="str">
        <f ca="1" t="shared" si="5"/>
        <v>WARNING</v>
      </c>
      <c r="AH50" s="1000">
        <v>4200000</v>
      </c>
      <c r="AI50" s="1000">
        <v>250000</v>
      </c>
      <c r="AJ50" s="1001">
        <v>20000</v>
      </c>
      <c r="AK50" s="1001"/>
      <c r="AL50" s="1001"/>
      <c r="AM50" s="1435">
        <v>500000</v>
      </c>
      <c r="AN50" s="1001"/>
      <c r="AO50" s="1001"/>
      <c r="AP50" s="1001">
        <v>500000</v>
      </c>
      <c r="AQ50" s="1001" t="s">
        <v>112</v>
      </c>
      <c r="AR50" s="1001" t="s">
        <v>48</v>
      </c>
      <c r="AS50" s="1001" t="s">
        <v>49</v>
      </c>
      <c r="AT50" s="976" t="s">
        <v>563</v>
      </c>
      <c r="AU50" s="976" t="s">
        <v>564</v>
      </c>
      <c r="AV50" s="1533" t="s">
        <v>565</v>
      </c>
      <c r="AW50" s="1011"/>
      <c r="AX50" s="1011" t="s">
        <v>566</v>
      </c>
      <c r="AY50" s="1011" t="s">
        <v>567</v>
      </c>
      <c r="AZ50" s="1011"/>
      <c r="BA50" s="1011"/>
      <c r="BB50" s="1011" t="s">
        <v>568</v>
      </c>
      <c r="BC50" s="980"/>
      <c r="BD50" s="1402" t="e">
        <v>#N/A</v>
      </c>
      <c r="BE50" s="1306"/>
      <c r="BF50" s="1306"/>
      <c r="BG50" s="1402"/>
    </row>
    <row r="51" s="1282" customFormat="1" ht="21" spans="2:58">
      <c r="B51" s="1532" t="s">
        <v>569</v>
      </c>
      <c r="C51" s="14" t="s">
        <v>570</v>
      </c>
      <c r="D51" s="973" t="s">
        <v>571</v>
      </c>
      <c r="E51" s="975" t="s">
        <v>572</v>
      </c>
      <c r="F51" s="976" t="s">
        <v>43</v>
      </c>
      <c r="G51" s="977" t="s">
        <v>60</v>
      </c>
      <c r="H51" s="976" t="s">
        <v>361</v>
      </c>
      <c r="I51" s="976" t="s">
        <v>428</v>
      </c>
      <c r="J51" s="1414" t="s">
        <v>573</v>
      </c>
      <c r="K51" s="980">
        <v>42768</v>
      </c>
      <c r="L51" s="980">
        <v>42855</v>
      </c>
      <c r="M51" s="980">
        <v>43100</v>
      </c>
      <c r="N51" s="980">
        <v>43281</v>
      </c>
      <c r="O51" s="1418" t="s">
        <v>325</v>
      </c>
      <c r="P51" s="980"/>
      <c r="Q51" s="980"/>
      <c r="R51" s="980"/>
      <c r="S51" s="980"/>
      <c r="T51" s="980"/>
      <c r="U51" s="980"/>
      <c r="V51" s="980"/>
      <c r="W51" s="980"/>
      <c r="X51" s="980"/>
      <c r="Y51" s="980"/>
      <c r="Z51" s="980"/>
      <c r="AA51" s="980"/>
      <c r="AB51" s="980"/>
      <c r="AC51" s="980"/>
      <c r="AD51" s="980"/>
      <c r="AE51" s="980"/>
      <c r="AF51" s="640">
        <f ca="1">SUM(N51-NOW())</f>
        <v>8.61546296296001</v>
      </c>
      <c r="AG51" s="121" t="str">
        <f ca="1" t="shared" si="5"/>
        <v>WARNING</v>
      </c>
      <c r="AH51" s="1425">
        <v>4500000</v>
      </c>
      <c r="AI51" s="1425">
        <v>400000</v>
      </c>
      <c r="AJ51" s="1001">
        <v>20000</v>
      </c>
      <c r="AK51" s="1429">
        <v>0</v>
      </c>
      <c r="AL51" s="1429">
        <v>500000</v>
      </c>
      <c r="AM51" s="1001">
        <v>500000</v>
      </c>
      <c r="AN51" s="1001"/>
      <c r="AO51" s="1001"/>
      <c r="AP51" s="1001"/>
      <c r="AQ51" s="1001" t="s">
        <v>112</v>
      </c>
      <c r="AR51" s="1001" t="s">
        <v>48</v>
      </c>
      <c r="AS51" s="1001" t="s">
        <v>49</v>
      </c>
      <c r="AT51" s="1414" t="s">
        <v>574</v>
      </c>
      <c r="AU51" s="976" t="s">
        <v>575</v>
      </c>
      <c r="AV51" s="1011">
        <v>81351400172</v>
      </c>
      <c r="AW51" s="1011" t="s">
        <v>576</v>
      </c>
      <c r="AX51" s="1011" t="s">
        <v>577</v>
      </c>
      <c r="AY51" s="1011"/>
      <c r="AZ51" s="1011"/>
      <c r="BA51" s="1011"/>
      <c r="BB51" s="1011" t="s">
        <v>578</v>
      </c>
      <c r="BC51" s="980"/>
      <c r="BD51" s="1402" t="s">
        <v>55</v>
      </c>
      <c r="BE51" s="1306"/>
      <c r="BF51" s="1306"/>
    </row>
    <row r="52" s="1398" customFormat="1" ht="21" spans="2:58">
      <c r="B52" s="1532" t="s">
        <v>579</v>
      </c>
      <c r="C52" s="1404" t="s">
        <v>580</v>
      </c>
      <c r="D52" s="1405" t="s">
        <v>581</v>
      </c>
      <c r="E52" s="1409" t="s">
        <v>582</v>
      </c>
      <c r="F52" s="1410" t="s">
        <v>43</v>
      </c>
      <c r="G52" s="1411" t="s">
        <v>96</v>
      </c>
      <c r="H52" s="1410" t="s">
        <v>361</v>
      </c>
      <c r="I52" s="1410" t="s">
        <v>428</v>
      </c>
      <c r="J52" s="1410" t="s">
        <v>185</v>
      </c>
      <c r="K52" s="1416">
        <v>42768</v>
      </c>
      <c r="L52" s="1416">
        <v>42855</v>
      </c>
      <c r="M52" s="1415">
        <v>43100</v>
      </c>
      <c r="N52" s="980">
        <v>43281</v>
      </c>
      <c r="O52" s="980"/>
      <c r="P52" s="1415" t="s">
        <v>583</v>
      </c>
      <c r="Q52" s="1415" t="s">
        <v>583</v>
      </c>
      <c r="R52" s="1415" t="s">
        <v>583</v>
      </c>
      <c r="S52" s="1415"/>
      <c r="T52" s="1415"/>
      <c r="U52" s="1415"/>
      <c r="V52" s="1415"/>
      <c r="W52" s="1415"/>
      <c r="X52" s="1415"/>
      <c r="Y52" s="1415"/>
      <c r="Z52" s="1415"/>
      <c r="AA52" s="1415"/>
      <c r="AB52" s="1415"/>
      <c r="AC52" s="1415"/>
      <c r="AD52" s="1415"/>
      <c r="AE52" s="1415"/>
      <c r="AF52" s="640">
        <f ca="1">SUM(N52-NOW())</f>
        <v>8.61546296296001</v>
      </c>
      <c r="AG52" s="1426" t="str">
        <f ca="1" t="shared" si="5"/>
        <v>WARNING</v>
      </c>
      <c r="AH52" s="1427">
        <v>2765000</v>
      </c>
      <c r="AI52" s="1427">
        <v>150000</v>
      </c>
      <c r="AJ52" s="1428">
        <v>17000</v>
      </c>
      <c r="AK52" s="1428"/>
      <c r="AL52" s="1428"/>
      <c r="AM52" s="1428" t="s">
        <v>583</v>
      </c>
      <c r="AN52" s="1428"/>
      <c r="AO52" s="1428"/>
      <c r="AP52" s="1428"/>
      <c r="AQ52" s="1428" t="s">
        <v>112</v>
      </c>
      <c r="AR52" s="1428" t="s">
        <v>48</v>
      </c>
      <c r="AS52" s="1428" t="s">
        <v>49</v>
      </c>
      <c r="AT52" s="1410"/>
      <c r="AU52" s="1410" t="s">
        <v>584</v>
      </c>
      <c r="AV52" s="1438">
        <v>81316219926</v>
      </c>
      <c r="AW52" s="1438"/>
      <c r="AX52" s="1438" t="s">
        <v>585</v>
      </c>
      <c r="AY52" s="1438"/>
      <c r="AZ52" s="1438"/>
      <c r="BA52" s="1438"/>
      <c r="BB52" s="1438" t="s">
        <v>586</v>
      </c>
      <c r="BC52" s="1415" t="s">
        <v>587</v>
      </c>
      <c r="BD52" s="1402" t="s">
        <v>55</v>
      </c>
      <c r="BE52" s="1450"/>
      <c r="BF52" s="1306"/>
    </row>
    <row r="53" s="1021" customFormat="1" ht="21" spans="2:59">
      <c r="B53" s="1532" t="s">
        <v>588</v>
      </c>
      <c r="C53" s="14" t="s">
        <v>589</v>
      </c>
      <c r="D53" s="973" t="s">
        <v>590</v>
      </c>
      <c r="E53" s="975" t="s">
        <v>591</v>
      </c>
      <c r="F53" s="976" t="s">
        <v>43</v>
      </c>
      <c r="G53" s="977" t="s">
        <v>60</v>
      </c>
      <c r="H53" s="976" t="s">
        <v>361</v>
      </c>
      <c r="I53" s="976" t="s">
        <v>428</v>
      </c>
      <c r="J53" s="1414" t="s">
        <v>592</v>
      </c>
      <c r="K53" s="980">
        <v>42776</v>
      </c>
      <c r="L53" s="980">
        <v>42825</v>
      </c>
      <c r="M53" s="980">
        <v>42886</v>
      </c>
      <c r="N53" s="980">
        <v>43039</v>
      </c>
      <c r="O53" s="980">
        <v>43100</v>
      </c>
      <c r="P53" s="980">
        <v>43281</v>
      </c>
      <c r="Q53" s="980" t="s">
        <v>583</v>
      </c>
      <c r="R53" s="980" t="s">
        <v>583</v>
      </c>
      <c r="S53" s="980"/>
      <c r="T53" s="980"/>
      <c r="U53" s="980"/>
      <c r="V53" s="980"/>
      <c r="W53" s="980"/>
      <c r="X53" s="980"/>
      <c r="Y53" s="980"/>
      <c r="Z53" s="980"/>
      <c r="AA53" s="980"/>
      <c r="AB53" s="980"/>
      <c r="AC53" s="980"/>
      <c r="AD53" s="980"/>
      <c r="AE53" s="980"/>
      <c r="AF53" s="640">
        <f ca="1">SUM(P53-NOW())</f>
        <v>8.61546296296001</v>
      </c>
      <c r="AG53" s="121" t="str">
        <f ca="1" t="shared" si="5"/>
        <v>WARNING</v>
      </c>
      <c r="AH53" s="1000">
        <v>3000000</v>
      </c>
      <c r="AI53" s="1000">
        <v>200000</v>
      </c>
      <c r="AJ53" s="1001">
        <v>17000</v>
      </c>
      <c r="AK53" s="1429">
        <v>0</v>
      </c>
      <c r="AL53" s="1001"/>
      <c r="AM53" s="1001"/>
      <c r="AN53" s="1001"/>
      <c r="AO53" s="1001"/>
      <c r="AP53" s="1001"/>
      <c r="AQ53" s="1001" t="s">
        <v>112</v>
      </c>
      <c r="AR53" s="1001" t="s">
        <v>48</v>
      </c>
      <c r="AS53" s="1001" t="s">
        <v>49</v>
      </c>
      <c r="AT53" s="1414" t="s">
        <v>593</v>
      </c>
      <c r="AU53" s="976" t="s">
        <v>594</v>
      </c>
      <c r="AV53" s="1011">
        <v>85710257994</v>
      </c>
      <c r="AW53" s="1011" t="s">
        <v>595</v>
      </c>
      <c r="AX53" s="1011" t="s">
        <v>596</v>
      </c>
      <c r="AY53" s="1011"/>
      <c r="AZ53" s="1011"/>
      <c r="BA53" s="1011"/>
      <c r="BB53" s="1011" t="s">
        <v>597</v>
      </c>
      <c r="BC53" s="980"/>
      <c r="BD53" s="1402" t="s">
        <v>55</v>
      </c>
      <c r="BE53" s="1306"/>
      <c r="BF53" s="1306"/>
      <c r="BG53" s="1402"/>
    </row>
    <row r="54" s="1021" customFormat="1" spans="2:59">
      <c r="B54" s="1532" t="s">
        <v>598</v>
      </c>
      <c r="C54" s="14" t="s">
        <v>599</v>
      </c>
      <c r="D54" s="973" t="s">
        <v>600</v>
      </c>
      <c r="E54" s="975" t="s">
        <v>601</v>
      </c>
      <c r="F54" s="976" t="s">
        <v>125</v>
      </c>
      <c r="G54" s="977" t="s">
        <v>602</v>
      </c>
      <c r="H54" s="976" t="s">
        <v>361</v>
      </c>
      <c r="I54" s="976" t="s">
        <v>428</v>
      </c>
      <c r="J54" s="1414" t="s">
        <v>603</v>
      </c>
      <c r="K54" s="980">
        <v>42779</v>
      </c>
      <c r="L54" s="980">
        <v>42855</v>
      </c>
      <c r="M54" s="980">
        <v>42947</v>
      </c>
      <c r="N54" s="980">
        <v>43100</v>
      </c>
      <c r="O54" s="980">
        <v>43281</v>
      </c>
      <c r="P54" s="1418" t="s">
        <v>604</v>
      </c>
      <c r="Q54" s="980"/>
      <c r="R54" s="980"/>
      <c r="S54" s="980"/>
      <c r="T54" s="980"/>
      <c r="U54" s="980"/>
      <c r="V54" s="980"/>
      <c r="W54" s="980"/>
      <c r="X54" s="980"/>
      <c r="Y54" s="980"/>
      <c r="Z54" s="980"/>
      <c r="AA54" s="980"/>
      <c r="AB54" s="980"/>
      <c r="AC54" s="980"/>
      <c r="AD54" s="980"/>
      <c r="AE54" s="980"/>
      <c r="AF54" s="640">
        <f ca="1" t="shared" ref="AF54:AF56" si="7">SUM(O54-NOW())</f>
        <v>8.61546296296001</v>
      </c>
      <c r="AG54" s="121" t="str">
        <f ca="1" t="shared" si="5"/>
        <v>WARNING</v>
      </c>
      <c r="AH54" s="1425">
        <v>2960000</v>
      </c>
      <c r="AI54" s="1425">
        <v>200000</v>
      </c>
      <c r="AJ54" s="1429">
        <v>20000</v>
      </c>
      <c r="AK54" s="1001"/>
      <c r="AL54" s="1001"/>
      <c r="AM54" s="1001" t="s">
        <v>583</v>
      </c>
      <c r="AN54" s="1001" t="s">
        <v>583</v>
      </c>
      <c r="AO54" s="1001" t="s">
        <v>583</v>
      </c>
      <c r="AP54" s="1001" t="s">
        <v>583</v>
      </c>
      <c r="AQ54" s="1001" t="s">
        <v>112</v>
      </c>
      <c r="AR54" s="1001" t="s">
        <v>48</v>
      </c>
      <c r="AS54" s="1001" t="s">
        <v>49</v>
      </c>
      <c r="AT54" s="1414" t="s">
        <v>605</v>
      </c>
      <c r="AU54" s="976" t="s">
        <v>606</v>
      </c>
      <c r="AV54" s="1011"/>
      <c r="AW54" s="1011" t="s">
        <v>607</v>
      </c>
      <c r="AX54" s="1011" t="s">
        <v>608</v>
      </c>
      <c r="AY54" s="1011"/>
      <c r="AZ54" s="1011"/>
      <c r="BA54" s="1011"/>
      <c r="BB54" s="1011"/>
      <c r="BC54" s="980"/>
      <c r="BD54" s="1402" t="s">
        <v>55</v>
      </c>
      <c r="BE54" s="1306"/>
      <c r="BF54" s="1306"/>
      <c r="BG54" s="1402"/>
    </row>
    <row r="55" s="1282" customFormat="1" spans="2:58">
      <c r="B55" s="1532" t="s">
        <v>609</v>
      </c>
      <c r="C55" s="14" t="s">
        <v>610</v>
      </c>
      <c r="D55" s="973" t="s">
        <v>611</v>
      </c>
      <c r="E55" s="975" t="s">
        <v>612</v>
      </c>
      <c r="F55" s="976" t="s">
        <v>43</v>
      </c>
      <c r="G55" s="977" t="s">
        <v>44</v>
      </c>
      <c r="H55" s="976" t="s">
        <v>361</v>
      </c>
      <c r="I55" s="976" t="s">
        <v>428</v>
      </c>
      <c r="J55" s="1414" t="s">
        <v>613</v>
      </c>
      <c r="K55" s="980">
        <v>42780</v>
      </c>
      <c r="L55" s="980">
        <v>42855</v>
      </c>
      <c r="M55" s="980">
        <v>43039</v>
      </c>
      <c r="N55" s="980">
        <v>43100</v>
      </c>
      <c r="O55" s="980">
        <v>43281</v>
      </c>
      <c r="P55" s="1418" t="s">
        <v>325</v>
      </c>
      <c r="Q55" s="980"/>
      <c r="R55" s="980"/>
      <c r="S55" s="980"/>
      <c r="T55" s="980"/>
      <c r="U55" s="980"/>
      <c r="V55" s="980"/>
      <c r="W55" s="980"/>
      <c r="X55" s="980"/>
      <c r="Y55" s="980"/>
      <c r="Z55" s="980"/>
      <c r="AA55" s="980"/>
      <c r="AB55" s="980"/>
      <c r="AC55" s="980"/>
      <c r="AD55" s="980"/>
      <c r="AE55" s="980"/>
      <c r="AF55" s="640">
        <f ca="1" t="shared" si="7"/>
        <v>8.61546296296001</v>
      </c>
      <c r="AG55" s="121" t="str">
        <f ca="1" t="shared" si="5"/>
        <v>WARNING</v>
      </c>
      <c r="AH55" s="1425">
        <v>3000000</v>
      </c>
      <c r="AI55" s="1425">
        <v>200000</v>
      </c>
      <c r="AJ55" s="1001">
        <v>17000</v>
      </c>
      <c r="AK55" s="1001"/>
      <c r="AL55" s="1001"/>
      <c r="AM55" s="1001" t="s">
        <v>583</v>
      </c>
      <c r="AN55" s="1001" t="s">
        <v>583</v>
      </c>
      <c r="AO55" s="1001" t="s">
        <v>583</v>
      </c>
      <c r="AP55" s="1001" t="s">
        <v>583</v>
      </c>
      <c r="AQ55" s="1001" t="s">
        <v>112</v>
      </c>
      <c r="AR55" s="1001" t="s">
        <v>48</v>
      </c>
      <c r="AS55" s="1001" t="s">
        <v>49</v>
      </c>
      <c r="AT55" s="976" t="s">
        <v>614</v>
      </c>
      <c r="AU55" s="976" t="s">
        <v>615</v>
      </c>
      <c r="AV55" s="1533" t="s">
        <v>616</v>
      </c>
      <c r="AW55" s="1011"/>
      <c r="AX55" s="1011" t="s">
        <v>617</v>
      </c>
      <c r="AY55" s="1011"/>
      <c r="AZ55" s="1011"/>
      <c r="BA55" s="1011"/>
      <c r="BB55" s="1011" t="s">
        <v>618</v>
      </c>
      <c r="BC55" s="980"/>
      <c r="BD55" s="1402" t="s">
        <v>55</v>
      </c>
      <c r="BE55" s="1306"/>
      <c r="BF55" s="1306"/>
    </row>
    <row r="56" s="1021" customFormat="1" spans="2:59">
      <c r="B56" s="1532" t="s">
        <v>619</v>
      </c>
      <c r="C56" s="14" t="s">
        <v>620</v>
      </c>
      <c r="D56" s="973" t="s">
        <v>621</v>
      </c>
      <c r="E56" s="975" t="s">
        <v>622</v>
      </c>
      <c r="F56" s="976" t="s">
        <v>43</v>
      </c>
      <c r="G56" s="977" t="s">
        <v>96</v>
      </c>
      <c r="H56" s="976" t="s">
        <v>361</v>
      </c>
      <c r="I56" s="976" t="s">
        <v>428</v>
      </c>
      <c r="J56" s="976" t="s">
        <v>623</v>
      </c>
      <c r="K56" s="980">
        <v>42782</v>
      </c>
      <c r="L56" s="980">
        <v>42855</v>
      </c>
      <c r="M56" s="980">
        <v>42962</v>
      </c>
      <c r="N56" s="980">
        <v>43100</v>
      </c>
      <c r="O56" s="980">
        <v>43281</v>
      </c>
      <c r="P56" s="980"/>
      <c r="Q56" s="980"/>
      <c r="R56" s="980"/>
      <c r="S56" s="980"/>
      <c r="T56" s="980"/>
      <c r="U56" s="980"/>
      <c r="V56" s="980"/>
      <c r="W56" s="980"/>
      <c r="X56" s="980"/>
      <c r="Y56" s="980"/>
      <c r="Z56" s="980"/>
      <c r="AA56" s="980"/>
      <c r="AB56" s="980"/>
      <c r="AC56" s="980"/>
      <c r="AD56" s="980"/>
      <c r="AE56" s="980"/>
      <c r="AF56" s="640">
        <f ca="1" t="shared" si="7"/>
        <v>8.61546296296001</v>
      </c>
      <c r="AG56" s="121" t="str">
        <f ca="1" t="shared" si="5"/>
        <v>WARNING</v>
      </c>
      <c r="AH56" s="1000">
        <v>3000000</v>
      </c>
      <c r="AI56" s="1000">
        <v>200000</v>
      </c>
      <c r="AJ56" s="1001">
        <v>17000</v>
      </c>
      <c r="AK56" s="1001"/>
      <c r="AL56" s="1001"/>
      <c r="AM56" s="1001">
        <v>500000</v>
      </c>
      <c r="AN56" s="1001" t="s">
        <v>583</v>
      </c>
      <c r="AO56" s="1001" t="s">
        <v>583</v>
      </c>
      <c r="AP56" s="1001" t="s">
        <v>583</v>
      </c>
      <c r="AQ56" s="1001" t="s">
        <v>112</v>
      </c>
      <c r="AR56" s="1001" t="s">
        <v>48</v>
      </c>
      <c r="AS56" s="1001" t="s">
        <v>49</v>
      </c>
      <c r="AT56" s="976"/>
      <c r="AU56" s="976" t="s">
        <v>624</v>
      </c>
      <c r="AV56" s="1533" t="s">
        <v>625</v>
      </c>
      <c r="AW56" s="1011" t="s">
        <v>626</v>
      </c>
      <c r="AX56" s="1011" t="s">
        <v>627</v>
      </c>
      <c r="AY56" s="1011" t="s">
        <v>628</v>
      </c>
      <c r="AZ56" s="1011" t="s">
        <v>629</v>
      </c>
      <c r="BA56" s="1011"/>
      <c r="BB56" s="1011" t="s">
        <v>630</v>
      </c>
      <c r="BC56" s="980"/>
      <c r="BD56" s="1402" t="s">
        <v>55</v>
      </c>
      <c r="BE56" s="1306"/>
      <c r="BF56" s="1306"/>
      <c r="BG56" s="1402"/>
    </row>
    <row r="57" s="1021" customFormat="1" ht="21" spans="2:58">
      <c r="B57" s="1532" t="s">
        <v>631</v>
      </c>
      <c r="C57" s="14" t="s">
        <v>632</v>
      </c>
      <c r="D57" s="973" t="s">
        <v>633</v>
      </c>
      <c r="E57" s="975" t="s">
        <v>634</v>
      </c>
      <c r="F57" s="976" t="s">
        <v>43</v>
      </c>
      <c r="G57" s="977" t="s">
        <v>404</v>
      </c>
      <c r="H57" s="976" t="s">
        <v>45</v>
      </c>
      <c r="I57" s="976" t="s">
        <v>46</v>
      </c>
      <c r="J57" s="976" t="s">
        <v>47</v>
      </c>
      <c r="K57" s="980">
        <v>42278</v>
      </c>
      <c r="L57" s="980">
        <v>42369</v>
      </c>
      <c r="M57" s="980">
        <v>42429</v>
      </c>
      <c r="N57" s="980">
        <v>42490</v>
      </c>
      <c r="O57" s="980">
        <v>42582</v>
      </c>
      <c r="P57" s="980">
        <v>42674</v>
      </c>
      <c r="Q57" s="980">
        <v>42735</v>
      </c>
      <c r="R57" s="980">
        <v>42766</v>
      </c>
      <c r="S57" s="980">
        <v>42794</v>
      </c>
      <c r="T57" s="980">
        <v>42886</v>
      </c>
      <c r="U57" s="980">
        <v>43008</v>
      </c>
      <c r="V57" s="980">
        <v>43009</v>
      </c>
      <c r="W57" s="980">
        <v>43039</v>
      </c>
      <c r="X57" s="980">
        <v>43100</v>
      </c>
      <c r="Y57" s="980">
        <v>43281</v>
      </c>
      <c r="Z57" s="980"/>
      <c r="AA57" s="980"/>
      <c r="AB57" s="980"/>
      <c r="AC57" s="980"/>
      <c r="AD57" s="980"/>
      <c r="AE57" s="980"/>
      <c r="AF57" s="640">
        <f ca="1">SUM(Y57-NOW())</f>
        <v>8.61546296296001</v>
      </c>
      <c r="AG57" s="121" t="str">
        <f ca="1" t="shared" si="5"/>
        <v>WARNING</v>
      </c>
      <c r="AH57" s="1000">
        <v>3000000</v>
      </c>
      <c r="AI57" s="1000">
        <v>200000</v>
      </c>
      <c r="AJ57" s="1001">
        <v>17000</v>
      </c>
      <c r="AK57" s="1001"/>
      <c r="AL57" s="1001"/>
      <c r="AM57" s="1001"/>
      <c r="AN57" s="1001"/>
      <c r="AO57" s="1001"/>
      <c r="AP57" s="1001"/>
      <c r="AQ57" s="1001" t="s">
        <v>112</v>
      </c>
      <c r="AR57" s="1001" t="s">
        <v>113</v>
      </c>
      <c r="AS57" s="1001" t="s">
        <v>49</v>
      </c>
      <c r="AT57" s="976" t="s">
        <v>635</v>
      </c>
      <c r="AU57" s="976" t="s">
        <v>636</v>
      </c>
      <c r="AV57" s="1533" t="s">
        <v>637</v>
      </c>
      <c r="AW57" s="1011" t="s">
        <v>638</v>
      </c>
      <c r="AX57" s="1011" t="s">
        <v>639</v>
      </c>
      <c r="AY57" s="1011">
        <v>0</v>
      </c>
      <c r="AZ57" s="1011">
        <v>11042436009</v>
      </c>
      <c r="BA57" s="1011" t="s">
        <v>640</v>
      </c>
      <c r="BB57" s="1011" t="s">
        <v>641</v>
      </c>
      <c r="BC57" s="980"/>
      <c r="BD57" s="1402" t="s">
        <v>55</v>
      </c>
      <c r="BE57" s="1306"/>
      <c r="BF57" s="1306"/>
    </row>
    <row r="58" s="1282" customFormat="1" ht="21" spans="2:58">
      <c r="B58" s="1532" t="s">
        <v>642</v>
      </c>
      <c r="C58" s="14" t="s">
        <v>643</v>
      </c>
      <c r="D58" s="973" t="s">
        <v>644</v>
      </c>
      <c r="E58" s="975" t="s">
        <v>645</v>
      </c>
      <c r="F58" s="976" t="s">
        <v>43</v>
      </c>
      <c r="G58" s="977" t="s">
        <v>44</v>
      </c>
      <c r="H58" s="976" t="s">
        <v>361</v>
      </c>
      <c r="I58" s="976" t="s">
        <v>428</v>
      </c>
      <c r="J58" s="976" t="s">
        <v>185</v>
      </c>
      <c r="K58" s="980">
        <v>42705</v>
      </c>
      <c r="L58" s="980">
        <v>42794</v>
      </c>
      <c r="M58" s="980">
        <v>42855</v>
      </c>
      <c r="N58" s="980">
        <v>43039</v>
      </c>
      <c r="O58" s="980">
        <v>43100</v>
      </c>
      <c r="P58" s="980">
        <v>43281</v>
      </c>
      <c r="Q58" s="980"/>
      <c r="R58" s="980"/>
      <c r="S58" s="980"/>
      <c r="T58" s="980"/>
      <c r="U58" s="980"/>
      <c r="V58" s="980"/>
      <c r="W58" s="980"/>
      <c r="X58" s="980"/>
      <c r="Y58" s="980"/>
      <c r="Z58" s="980"/>
      <c r="AA58" s="980"/>
      <c r="AB58" s="980"/>
      <c r="AC58" s="980"/>
      <c r="AD58" s="980"/>
      <c r="AE58" s="980"/>
      <c r="AF58" s="640">
        <f ca="1" t="shared" ref="AF58:AF62" si="8">SUM(P58-NOW())</f>
        <v>8.61546296296001</v>
      </c>
      <c r="AG58" s="121" t="str">
        <f ca="1" t="shared" si="5"/>
        <v>WARNING</v>
      </c>
      <c r="AH58" s="1000">
        <v>2765000</v>
      </c>
      <c r="AI58" s="1000">
        <v>150000</v>
      </c>
      <c r="AJ58" s="1001">
        <v>17000</v>
      </c>
      <c r="AK58" s="1001"/>
      <c r="AL58" s="1001"/>
      <c r="AM58" s="1001"/>
      <c r="AN58" s="1001"/>
      <c r="AO58" s="1001"/>
      <c r="AP58" s="1001"/>
      <c r="AQ58" s="1001" t="s">
        <v>112</v>
      </c>
      <c r="AR58" s="1001" t="s">
        <v>48</v>
      </c>
      <c r="AS58" s="1001" t="s">
        <v>49</v>
      </c>
      <c r="AT58" s="976" t="s">
        <v>467</v>
      </c>
      <c r="AU58" s="976" t="s">
        <v>646</v>
      </c>
      <c r="AV58" s="1533" t="s">
        <v>647</v>
      </c>
      <c r="AW58" s="1011" t="s">
        <v>648</v>
      </c>
      <c r="AX58" s="1011" t="s">
        <v>649</v>
      </c>
      <c r="AY58" s="1011"/>
      <c r="AZ58" s="1011"/>
      <c r="BA58" s="1011"/>
      <c r="BB58" s="1011" t="s">
        <v>650</v>
      </c>
      <c r="BC58" s="980"/>
      <c r="BD58" s="1402" t="s">
        <v>55</v>
      </c>
      <c r="BE58" s="1306"/>
      <c r="BF58" s="1306"/>
    </row>
    <row r="59" s="1282" customFormat="1" ht="21" spans="2:58">
      <c r="B59" s="1532" t="s">
        <v>651</v>
      </c>
      <c r="C59" s="14" t="s">
        <v>652</v>
      </c>
      <c r="D59" s="973" t="s">
        <v>653</v>
      </c>
      <c r="E59" s="975" t="s">
        <v>654</v>
      </c>
      <c r="F59" s="976" t="s">
        <v>43</v>
      </c>
      <c r="G59" s="977" t="s">
        <v>404</v>
      </c>
      <c r="H59" s="976" t="s">
        <v>361</v>
      </c>
      <c r="I59" s="976" t="s">
        <v>428</v>
      </c>
      <c r="J59" s="976" t="s">
        <v>185</v>
      </c>
      <c r="K59" s="980">
        <v>42718</v>
      </c>
      <c r="L59" s="980">
        <v>42794</v>
      </c>
      <c r="M59" s="980">
        <v>42855</v>
      </c>
      <c r="N59" s="980">
        <v>43039</v>
      </c>
      <c r="O59" s="980">
        <v>43100</v>
      </c>
      <c r="P59" s="980">
        <v>43281</v>
      </c>
      <c r="Q59" s="980"/>
      <c r="R59" s="980"/>
      <c r="S59" s="980"/>
      <c r="T59" s="980"/>
      <c r="U59" s="980"/>
      <c r="V59" s="980"/>
      <c r="W59" s="980"/>
      <c r="X59" s="980"/>
      <c r="Y59" s="980"/>
      <c r="Z59" s="980"/>
      <c r="AA59" s="980"/>
      <c r="AB59" s="980"/>
      <c r="AC59" s="980"/>
      <c r="AD59" s="980"/>
      <c r="AE59" s="980"/>
      <c r="AF59" s="640">
        <f ca="1" t="shared" si="8"/>
        <v>8.61546296296001</v>
      </c>
      <c r="AG59" s="121" t="str">
        <f ca="1" t="shared" si="5"/>
        <v>WARNING</v>
      </c>
      <c r="AH59" s="1000">
        <v>2765000</v>
      </c>
      <c r="AI59" s="1000">
        <v>150000</v>
      </c>
      <c r="AJ59" s="1001">
        <v>17000</v>
      </c>
      <c r="AK59" s="1001"/>
      <c r="AL59" s="1001"/>
      <c r="AM59" s="1001"/>
      <c r="AN59" s="1001"/>
      <c r="AO59" s="1001"/>
      <c r="AP59" s="1001"/>
      <c r="AQ59" s="1001" t="s">
        <v>112</v>
      </c>
      <c r="AR59" s="1001" t="s">
        <v>48</v>
      </c>
      <c r="AS59" s="1001" t="s">
        <v>49</v>
      </c>
      <c r="AT59" s="976" t="s">
        <v>655</v>
      </c>
      <c r="AU59" s="976" t="s">
        <v>656</v>
      </c>
      <c r="AV59" s="1533" t="s">
        <v>657</v>
      </c>
      <c r="AW59" s="1011" t="s">
        <v>658</v>
      </c>
      <c r="AX59" s="1011" t="s">
        <v>659</v>
      </c>
      <c r="AY59" s="1011" t="s">
        <v>660</v>
      </c>
      <c r="AZ59" s="1011"/>
      <c r="BA59" s="1011"/>
      <c r="BB59" s="1011"/>
      <c r="BC59" s="980"/>
      <c r="BD59" s="1402" t="s">
        <v>55</v>
      </c>
      <c r="BE59" s="1306"/>
      <c r="BF59" s="1306"/>
    </row>
    <row r="60" s="1021" customFormat="1" spans="2:58">
      <c r="B60" s="1532" t="s">
        <v>661</v>
      </c>
      <c r="C60" s="14" t="s">
        <v>662</v>
      </c>
      <c r="D60" s="973" t="s">
        <v>663</v>
      </c>
      <c r="E60" s="975" t="s">
        <v>664</v>
      </c>
      <c r="F60" s="976"/>
      <c r="G60" s="977"/>
      <c r="H60" s="976" t="s">
        <v>665</v>
      </c>
      <c r="I60" s="976" t="s">
        <v>428</v>
      </c>
      <c r="J60" s="1414" t="s">
        <v>666</v>
      </c>
      <c r="K60" s="980">
        <v>42870</v>
      </c>
      <c r="L60" s="980">
        <v>42947</v>
      </c>
      <c r="M60" s="980">
        <v>43100</v>
      </c>
      <c r="N60" s="980">
        <v>43159</v>
      </c>
      <c r="O60" s="1419">
        <v>43343</v>
      </c>
      <c r="P60" s="1418" t="s">
        <v>325</v>
      </c>
      <c r="Q60" s="980"/>
      <c r="R60" s="980"/>
      <c r="S60" s="980"/>
      <c r="T60" s="980"/>
      <c r="U60" s="980"/>
      <c r="V60" s="980"/>
      <c r="W60" s="980"/>
      <c r="X60" s="980"/>
      <c r="Y60" s="980"/>
      <c r="Z60" s="980"/>
      <c r="AA60" s="980"/>
      <c r="AB60" s="980"/>
      <c r="AC60" s="980"/>
      <c r="AD60" s="980"/>
      <c r="AE60" s="980"/>
      <c r="AF60" s="640">
        <f ca="1" t="shared" ref="AF60:AF64" si="9">SUM(O60-NOW())</f>
        <v>70.61546296296</v>
      </c>
      <c r="AG60" s="121" t="str">
        <f ca="1" t="shared" si="5"/>
        <v>ACTIVE</v>
      </c>
      <c r="AH60" s="1430">
        <v>3000000</v>
      </c>
      <c r="AI60" s="1430">
        <v>200000</v>
      </c>
      <c r="AJ60" s="1001">
        <v>17000</v>
      </c>
      <c r="AK60" s="1436"/>
      <c r="AL60" s="1436"/>
      <c r="AM60" s="1436"/>
      <c r="AN60" s="1436"/>
      <c r="AO60" s="1436"/>
      <c r="AP60" s="1436"/>
      <c r="AQ60" s="1001" t="s">
        <v>112</v>
      </c>
      <c r="AR60" s="1001" t="s">
        <v>48</v>
      </c>
      <c r="AS60" s="1001" t="s">
        <v>49</v>
      </c>
      <c r="AT60" s="1414" t="s">
        <v>667</v>
      </c>
      <c r="AU60" s="976" t="s">
        <v>668</v>
      </c>
      <c r="AV60" s="1533" t="s">
        <v>669</v>
      </c>
      <c r="AW60" s="1011"/>
      <c r="AX60" s="1011"/>
      <c r="AY60" s="1011"/>
      <c r="AZ60" s="1011"/>
      <c r="BA60" s="1011"/>
      <c r="BB60" s="1444" t="s">
        <v>670</v>
      </c>
      <c r="BC60" s="1445"/>
      <c r="BD60" s="1402" t="s">
        <v>55</v>
      </c>
      <c r="BF60" s="1306"/>
    </row>
    <row r="61" s="1021" customFormat="1" spans="2:58">
      <c r="B61" s="1532" t="s">
        <v>671</v>
      </c>
      <c r="C61" s="14" t="s">
        <v>672</v>
      </c>
      <c r="D61" s="973" t="s">
        <v>673</v>
      </c>
      <c r="E61" s="975" t="s">
        <v>674</v>
      </c>
      <c r="F61" s="976" t="s">
        <v>43</v>
      </c>
      <c r="G61" s="977" t="s">
        <v>44</v>
      </c>
      <c r="H61" s="976" t="s">
        <v>665</v>
      </c>
      <c r="I61" s="976" t="s">
        <v>428</v>
      </c>
      <c r="J61" s="976" t="s">
        <v>185</v>
      </c>
      <c r="K61" s="980">
        <v>42870</v>
      </c>
      <c r="L61" s="980">
        <v>42947</v>
      </c>
      <c r="M61" s="980">
        <v>43039</v>
      </c>
      <c r="N61" s="980">
        <v>43100</v>
      </c>
      <c r="O61" s="980">
        <v>43159</v>
      </c>
      <c r="P61" s="1412">
        <v>43343</v>
      </c>
      <c r="Q61" s="980"/>
      <c r="R61" s="980"/>
      <c r="S61" s="980"/>
      <c r="T61" s="980"/>
      <c r="U61" s="980"/>
      <c r="V61" s="980"/>
      <c r="W61" s="980"/>
      <c r="X61" s="980"/>
      <c r="Y61" s="980"/>
      <c r="Z61" s="980"/>
      <c r="AA61" s="980"/>
      <c r="AB61" s="980"/>
      <c r="AC61" s="980"/>
      <c r="AD61" s="980"/>
      <c r="AE61" s="980"/>
      <c r="AF61" s="640">
        <f ca="1" t="shared" si="8"/>
        <v>70.61546296296</v>
      </c>
      <c r="AG61" s="121" t="str">
        <f ca="1" t="shared" si="5"/>
        <v>ACTIVE</v>
      </c>
      <c r="AH61" s="1431">
        <v>2765000</v>
      </c>
      <c r="AI61" s="1431">
        <v>150000</v>
      </c>
      <c r="AJ61" s="1001">
        <v>17000</v>
      </c>
      <c r="AK61" s="1436"/>
      <c r="AL61" s="1436"/>
      <c r="AM61" s="1436"/>
      <c r="AN61" s="1436"/>
      <c r="AO61" s="1436"/>
      <c r="AP61" s="1436"/>
      <c r="AQ61" s="1001" t="s">
        <v>112</v>
      </c>
      <c r="AR61" s="1001" t="s">
        <v>48</v>
      </c>
      <c r="AS61" s="1001" t="s">
        <v>49</v>
      </c>
      <c r="AT61" s="976"/>
      <c r="AU61" s="976" t="s">
        <v>675</v>
      </c>
      <c r="AV61" s="1011">
        <v>82220899957</v>
      </c>
      <c r="AW61" s="1011" t="s">
        <v>676</v>
      </c>
      <c r="AX61" s="1011" t="s">
        <v>677</v>
      </c>
      <c r="AY61" s="1011"/>
      <c r="AZ61" s="1011" t="s">
        <v>678</v>
      </c>
      <c r="BA61" s="1011"/>
      <c r="BB61" s="1011" t="s">
        <v>679</v>
      </c>
      <c r="BC61" s="1445"/>
      <c r="BD61" s="1402" t="s">
        <v>55</v>
      </c>
      <c r="BF61" s="1306"/>
    </row>
    <row r="62" s="1021" customFormat="1" spans="2:58">
      <c r="B62" s="1532" t="s">
        <v>680</v>
      </c>
      <c r="C62" s="14" t="s">
        <v>681</v>
      </c>
      <c r="D62" s="973" t="s">
        <v>682</v>
      </c>
      <c r="E62" s="975" t="s">
        <v>683</v>
      </c>
      <c r="F62" s="976" t="s">
        <v>43</v>
      </c>
      <c r="G62" s="977" t="s">
        <v>44</v>
      </c>
      <c r="H62" s="976" t="s">
        <v>665</v>
      </c>
      <c r="I62" s="976" t="s">
        <v>428</v>
      </c>
      <c r="J62" s="1414" t="s">
        <v>684</v>
      </c>
      <c r="K62" s="980">
        <v>42877</v>
      </c>
      <c r="L62" s="980">
        <v>42947</v>
      </c>
      <c r="M62" s="980">
        <v>43039</v>
      </c>
      <c r="N62" s="980">
        <v>43100</v>
      </c>
      <c r="O62" s="980">
        <v>43159</v>
      </c>
      <c r="P62" s="1419">
        <v>43343</v>
      </c>
      <c r="Q62" s="1418" t="s">
        <v>325</v>
      </c>
      <c r="R62" s="980"/>
      <c r="S62" s="980"/>
      <c r="T62" s="980"/>
      <c r="U62" s="980"/>
      <c r="V62" s="980"/>
      <c r="W62" s="980"/>
      <c r="X62" s="980"/>
      <c r="Y62" s="980"/>
      <c r="Z62" s="980"/>
      <c r="AA62" s="980"/>
      <c r="AB62" s="980"/>
      <c r="AC62" s="980"/>
      <c r="AD62" s="980"/>
      <c r="AE62" s="980"/>
      <c r="AF62" s="640">
        <f ca="1" t="shared" si="8"/>
        <v>70.61546296296</v>
      </c>
      <c r="AG62" s="121" t="str">
        <f ca="1" t="shared" si="5"/>
        <v>ACTIVE</v>
      </c>
      <c r="AH62" s="1000">
        <v>2765000</v>
      </c>
      <c r="AI62" s="1000">
        <v>150000</v>
      </c>
      <c r="AJ62" s="1001">
        <v>17000</v>
      </c>
      <c r="AK62" s="1429">
        <v>30000</v>
      </c>
      <c r="AL62" s="1001"/>
      <c r="AM62" s="1001"/>
      <c r="AN62" s="1001"/>
      <c r="AO62" s="1001"/>
      <c r="AP62" s="1001" t="s">
        <v>583</v>
      </c>
      <c r="AQ62" s="1001" t="s">
        <v>112</v>
      </c>
      <c r="AR62" s="1001" t="s">
        <v>48</v>
      </c>
      <c r="AS62" s="1001" t="s">
        <v>49</v>
      </c>
      <c r="AT62" s="1414" t="s">
        <v>685</v>
      </c>
      <c r="AU62" s="976" t="s">
        <v>686</v>
      </c>
      <c r="AV62" s="1533" t="s">
        <v>687</v>
      </c>
      <c r="AW62" s="1011"/>
      <c r="AX62" s="1011" t="s">
        <v>688</v>
      </c>
      <c r="AY62" s="1011"/>
      <c r="AZ62" s="1011"/>
      <c r="BA62" s="1011"/>
      <c r="BB62" s="1446" t="s">
        <v>689</v>
      </c>
      <c r="BC62" s="1445"/>
      <c r="BD62" s="1402" t="s">
        <v>55</v>
      </c>
      <c r="BF62" s="1306"/>
    </row>
    <row r="63" s="1021" customFormat="1" ht="14.1" customHeight="1" spans="2:58">
      <c r="B63" s="1532" t="s">
        <v>690</v>
      </c>
      <c r="C63" s="14" t="s">
        <v>691</v>
      </c>
      <c r="D63" s="973" t="s">
        <v>692</v>
      </c>
      <c r="E63" s="975" t="s">
        <v>693</v>
      </c>
      <c r="F63" s="976" t="s">
        <v>43</v>
      </c>
      <c r="G63" s="977" t="s">
        <v>96</v>
      </c>
      <c r="H63" s="976" t="s">
        <v>665</v>
      </c>
      <c r="I63" s="976" t="s">
        <v>428</v>
      </c>
      <c r="J63" s="976" t="s">
        <v>61</v>
      </c>
      <c r="K63" s="980">
        <v>42877</v>
      </c>
      <c r="L63" s="980">
        <v>42947</v>
      </c>
      <c r="M63" s="980">
        <v>43100</v>
      </c>
      <c r="N63" s="980">
        <v>43159</v>
      </c>
      <c r="O63" s="1419">
        <v>43343</v>
      </c>
      <c r="P63" s="980"/>
      <c r="Q63" s="980"/>
      <c r="R63" s="980"/>
      <c r="S63" s="980"/>
      <c r="T63" s="980"/>
      <c r="U63" s="980"/>
      <c r="V63" s="980"/>
      <c r="W63" s="980"/>
      <c r="X63" s="980"/>
      <c r="Y63" s="980"/>
      <c r="Z63" s="980"/>
      <c r="AA63" s="980"/>
      <c r="AB63" s="980"/>
      <c r="AC63" s="980"/>
      <c r="AD63" s="980"/>
      <c r="AE63" s="980"/>
      <c r="AF63" s="640">
        <f ca="1" t="shared" si="9"/>
        <v>70.61546296296</v>
      </c>
      <c r="AG63" s="121" t="str">
        <f ca="1" t="shared" si="5"/>
        <v>ACTIVE</v>
      </c>
      <c r="AH63" s="1432">
        <v>3000000</v>
      </c>
      <c r="AI63" s="1432">
        <v>200000</v>
      </c>
      <c r="AJ63" s="1432">
        <v>17000</v>
      </c>
      <c r="AK63" s="1432" t="s">
        <v>583</v>
      </c>
      <c r="AL63" s="1432" t="s">
        <v>583</v>
      </c>
      <c r="AM63" s="1432" t="s">
        <v>583</v>
      </c>
      <c r="AN63" s="1432" t="s">
        <v>583</v>
      </c>
      <c r="AO63" s="1432" t="s">
        <v>583</v>
      </c>
      <c r="AP63" s="1432"/>
      <c r="AQ63" s="1001" t="s">
        <v>112</v>
      </c>
      <c r="AR63" s="1001" t="s">
        <v>48</v>
      </c>
      <c r="AS63" s="1001" t="s">
        <v>49</v>
      </c>
      <c r="AT63" s="976"/>
      <c r="AU63" s="976" t="s">
        <v>694</v>
      </c>
      <c r="AV63" s="1011" t="s">
        <v>695</v>
      </c>
      <c r="AW63" s="1011" t="s">
        <v>696</v>
      </c>
      <c r="AX63" s="1011" t="s">
        <v>697</v>
      </c>
      <c r="AY63" s="1011"/>
      <c r="AZ63" s="1011"/>
      <c r="BA63" s="1011"/>
      <c r="BB63" s="1447" t="s">
        <v>698</v>
      </c>
      <c r="BC63" s="1445"/>
      <c r="BD63" s="1402" t="s">
        <v>55</v>
      </c>
      <c r="BF63" s="1306"/>
    </row>
    <row r="64" s="1021" customFormat="1" ht="14.1" customHeight="1" spans="2:58">
      <c r="B64" s="1532" t="s">
        <v>699</v>
      </c>
      <c r="C64" s="14" t="s">
        <v>700</v>
      </c>
      <c r="D64" s="973" t="s">
        <v>701</v>
      </c>
      <c r="E64" s="975" t="s">
        <v>702</v>
      </c>
      <c r="F64" s="976" t="s">
        <v>43</v>
      </c>
      <c r="G64" s="977" t="s">
        <v>44</v>
      </c>
      <c r="H64" s="976" t="s">
        <v>665</v>
      </c>
      <c r="I64" s="976" t="s">
        <v>428</v>
      </c>
      <c r="J64" s="976" t="s">
        <v>185</v>
      </c>
      <c r="K64" s="980">
        <v>42877</v>
      </c>
      <c r="L64" s="980">
        <v>42947</v>
      </c>
      <c r="M64" s="980">
        <v>43100</v>
      </c>
      <c r="N64" s="980">
        <v>43159</v>
      </c>
      <c r="O64" s="1419">
        <v>43343</v>
      </c>
      <c r="P64" s="980"/>
      <c r="Q64" s="980"/>
      <c r="R64" s="980"/>
      <c r="S64" s="980"/>
      <c r="T64" s="980"/>
      <c r="U64" s="980"/>
      <c r="V64" s="980"/>
      <c r="W64" s="980"/>
      <c r="X64" s="980"/>
      <c r="Y64" s="980"/>
      <c r="Z64" s="980"/>
      <c r="AA64" s="980"/>
      <c r="AB64" s="980"/>
      <c r="AC64" s="980"/>
      <c r="AD64" s="980"/>
      <c r="AE64" s="980"/>
      <c r="AF64" s="640">
        <f ca="1" t="shared" si="9"/>
        <v>70.61546296296</v>
      </c>
      <c r="AG64" s="121" t="str">
        <f ca="1" t="shared" si="5"/>
        <v>ACTIVE</v>
      </c>
      <c r="AH64" s="1432">
        <v>2765000</v>
      </c>
      <c r="AI64" s="1432">
        <v>150000</v>
      </c>
      <c r="AJ64" s="1432">
        <v>17000</v>
      </c>
      <c r="AK64" s="1432">
        <v>30000</v>
      </c>
      <c r="AL64" s="1432" t="s">
        <v>583</v>
      </c>
      <c r="AM64" s="1432" t="s">
        <v>583</v>
      </c>
      <c r="AN64" s="1432" t="s">
        <v>583</v>
      </c>
      <c r="AO64" s="1432" t="s">
        <v>583</v>
      </c>
      <c r="AP64" s="1432"/>
      <c r="AQ64" s="1001" t="s">
        <v>112</v>
      </c>
      <c r="AR64" s="1001" t="s">
        <v>48</v>
      </c>
      <c r="AS64" s="1001" t="s">
        <v>49</v>
      </c>
      <c r="AT64" s="976"/>
      <c r="AU64" s="976" t="s">
        <v>703</v>
      </c>
      <c r="AV64" s="1011" t="s">
        <v>704</v>
      </c>
      <c r="AW64" s="1011" t="s">
        <v>705</v>
      </c>
      <c r="AX64" s="1011" t="s">
        <v>706</v>
      </c>
      <c r="AY64" s="1011"/>
      <c r="AZ64" s="1011"/>
      <c r="BA64" s="1011" t="s">
        <v>707</v>
      </c>
      <c r="BB64" s="1447" t="s">
        <v>708</v>
      </c>
      <c r="BC64" s="1445"/>
      <c r="BD64" s="1402" t="s">
        <v>55</v>
      </c>
      <c r="BF64" s="1306"/>
    </row>
    <row r="65" s="1021" customFormat="1" ht="14.1" customHeight="1" spans="2:58">
      <c r="B65" s="1532" t="s">
        <v>709</v>
      </c>
      <c r="C65" s="14" t="s">
        <v>710</v>
      </c>
      <c r="D65" s="973" t="s">
        <v>711</v>
      </c>
      <c r="E65" s="975" t="s">
        <v>712</v>
      </c>
      <c r="F65" s="976" t="s">
        <v>43</v>
      </c>
      <c r="G65" s="977" t="s">
        <v>60</v>
      </c>
      <c r="H65" s="976" t="s">
        <v>665</v>
      </c>
      <c r="I65" s="976" t="s">
        <v>428</v>
      </c>
      <c r="J65" s="976" t="s">
        <v>185</v>
      </c>
      <c r="K65" s="980">
        <v>42877</v>
      </c>
      <c r="L65" s="980">
        <v>42947</v>
      </c>
      <c r="M65" s="980">
        <v>43039</v>
      </c>
      <c r="N65" s="980">
        <v>43100</v>
      </c>
      <c r="O65" s="980">
        <v>43159</v>
      </c>
      <c r="P65" s="1419">
        <v>43343</v>
      </c>
      <c r="Q65" s="980"/>
      <c r="R65" s="980"/>
      <c r="S65" s="980"/>
      <c r="T65" s="980"/>
      <c r="U65" s="980"/>
      <c r="V65" s="980"/>
      <c r="W65" s="980"/>
      <c r="X65" s="980"/>
      <c r="Y65" s="980"/>
      <c r="Z65" s="980"/>
      <c r="AA65" s="980"/>
      <c r="AB65" s="980"/>
      <c r="AC65" s="980"/>
      <c r="AD65" s="980"/>
      <c r="AE65" s="980"/>
      <c r="AF65" s="640">
        <f ca="1">SUM(P65-NOW())</f>
        <v>70.61546296296</v>
      </c>
      <c r="AG65" s="121" t="str">
        <f ca="1" t="shared" si="5"/>
        <v>ACTIVE</v>
      </c>
      <c r="AH65" s="1432">
        <v>2765000</v>
      </c>
      <c r="AI65" s="1432">
        <v>150000</v>
      </c>
      <c r="AJ65" s="1432">
        <v>17000</v>
      </c>
      <c r="AK65" s="1432" t="s">
        <v>583</v>
      </c>
      <c r="AL65" s="1432" t="s">
        <v>583</v>
      </c>
      <c r="AM65" s="1432" t="s">
        <v>583</v>
      </c>
      <c r="AN65" s="1432" t="s">
        <v>583</v>
      </c>
      <c r="AO65" s="1432" t="s">
        <v>583</v>
      </c>
      <c r="AP65" s="1432"/>
      <c r="AQ65" s="1001" t="s">
        <v>112</v>
      </c>
      <c r="AR65" s="1001" t="s">
        <v>48</v>
      </c>
      <c r="AS65" s="1001" t="s">
        <v>49</v>
      </c>
      <c r="AT65" s="976"/>
      <c r="AU65" s="976" t="s">
        <v>713</v>
      </c>
      <c r="AV65" s="1011" t="s">
        <v>714</v>
      </c>
      <c r="AW65" s="1011" t="s">
        <v>715</v>
      </c>
      <c r="AX65" s="1011" t="s">
        <v>716</v>
      </c>
      <c r="AY65" s="1011"/>
      <c r="AZ65" s="1011"/>
      <c r="BA65" s="1011"/>
      <c r="BB65" s="1447" t="s">
        <v>717</v>
      </c>
      <c r="BC65" s="1445"/>
      <c r="BD65" s="1402" t="s">
        <v>55</v>
      </c>
      <c r="BF65" s="1306"/>
    </row>
    <row r="66" s="873" customFormat="1" ht="14.1" customHeight="1" spans="2:58">
      <c r="B66" s="1532" t="s">
        <v>718</v>
      </c>
      <c r="C66" s="976" t="s">
        <v>719</v>
      </c>
      <c r="D66" s="1452" t="s">
        <v>720</v>
      </c>
      <c r="E66" s="975" t="s">
        <v>721</v>
      </c>
      <c r="F66" s="976" t="s">
        <v>43</v>
      </c>
      <c r="G66" s="977" t="s">
        <v>404</v>
      </c>
      <c r="H66" s="976" t="s">
        <v>665</v>
      </c>
      <c r="I66" s="976" t="s">
        <v>428</v>
      </c>
      <c r="J66" s="976" t="s">
        <v>722</v>
      </c>
      <c r="K66" s="1453">
        <v>42948</v>
      </c>
      <c r="L66" s="1453">
        <v>43100</v>
      </c>
      <c r="M66" s="980">
        <v>43190</v>
      </c>
      <c r="N66" s="1453">
        <v>43373</v>
      </c>
      <c r="O66" s="981"/>
      <c r="P66" s="981"/>
      <c r="Q66" s="981"/>
      <c r="R66" s="1453"/>
      <c r="S66" s="981"/>
      <c r="T66" s="1453"/>
      <c r="U66" s="981"/>
      <c r="V66" s="1453"/>
      <c r="W66" s="1453"/>
      <c r="X66" s="1456"/>
      <c r="Y66" s="1457"/>
      <c r="Z66" s="1457"/>
      <c r="AA66" s="1457"/>
      <c r="AB66" s="1457"/>
      <c r="AC66" s="1457"/>
      <c r="AD66" s="1457"/>
      <c r="AE66" s="1457"/>
      <c r="AF66" s="640">
        <f ca="1">SUM(N66-NOW())</f>
        <v>100.61546296296</v>
      </c>
      <c r="AG66" s="121" t="str">
        <f ca="1" t="shared" si="5"/>
        <v>ACTIVE</v>
      </c>
      <c r="AH66" s="1432">
        <v>3300000</v>
      </c>
      <c r="AI66" s="1432">
        <v>100000</v>
      </c>
      <c r="AJ66" s="1432">
        <v>17000</v>
      </c>
      <c r="AK66" s="1432"/>
      <c r="AL66" s="1432" t="s">
        <v>583</v>
      </c>
      <c r="AM66" s="1432">
        <v>500000</v>
      </c>
      <c r="AN66" s="1432"/>
      <c r="AO66" s="1432" t="s">
        <v>583</v>
      </c>
      <c r="AP66" s="1432"/>
      <c r="AQ66" s="1001" t="s">
        <v>112</v>
      </c>
      <c r="AR66" s="1001" t="s">
        <v>48</v>
      </c>
      <c r="AS66" s="1001" t="s">
        <v>49</v>
      </c>
      <c r="AT66" s="976"/>
      <c r="AU66" s="976" t="s">
        <v>723</v>
      </c>
      <c r="AV66" s="976">
        <v>82257471033</v>
      </c>
      <c r="AW66" s="976" t="s">
        <v>724</v>
      </c>
      <c r="AX66" s="1011" t="s">
        <v>725</v>
      </c>
      <c r="AY66" s="1011" t="s">
        <v>726</v>
      </c>
      <c r="AZ66" s="1011"/>
      <c r="BA66" s="1533" t="s">
        <v>727</v>
      </c>
      <c r="BB66" s="1463" t="s">
        <v>728</v>
      </c>
      <c r="BC66" s="1442"/>
      <c r="BD66" s="1402" t="s">
        <v>729</v>
      </c>
      <c r="BF66" s="1306"/>
    </row>
    <row r="67" s="1282" customFormat="1" ht="21" spans="2:58">
      <c r="B67" s="1532" t="s">
        <v>730</v>
      </c>
      <c r="C67" s="14" t="s">
        <v>731</v>
      </c>
      <c r="D67" s="973" t="s">
        <v>732</v>
      </c>
      <c r="E67" s="975" t="s">
        <v>733</v>
      </c>
      <c r="F67" s="976" t="s">
        <v>43</v>
      </c>
      <c r="G67" s="977" t="s">
        <v>44</v>
      </c>
      <c r="H67" s="976" t="s">
        <v>361</v>
      </c>
      <c r="I67" s="976" t="s">
        <v>428</v>
      </c>
      <c r="J67" s="976" t="s">
        <v>185</v>
      </c>
      <c r="K67" s="980">
        <v>42740</v>
      </c>
      <c r="L67" s="980">
        <v>42825</v>
      </c>
      <c r="M67" s="980">
        <v>42886</v>
      </c>
      <c r="N67" s="980">
        <v>43039</v>
      </c>
      <c r="O67" s="980">
        <v>43131</v>
      </c>
      <c r="P67" s="980">
        <v>43281</v>
      </c>
      <c r="Q67" s="980"/>
      <c r="R67" s="980"/>
      <c r="S67" s="980"/>
      <c r="T67" s="980"/>
      <c r="U67" s="980"/>
      <c r="V67" s="980"/>
      <c r="W67" s="980"/>
      <c r="X67" s="980"/>
      <c r="Y67" s="980"/>
      <c r="Z67" s="980"/>
      <c r="AA67" s="980"/>
      <c r="AB67" s="980"/>
      <c r="AC67" s="980"/>
      <c r="AD67" s="980"/>
      <c r="AE67" s="980"/>
      <c r="AF67" s="640">
        <f ca="1">SUM(P67-NOW())</f>
        <v>8.61546296296001</v>
      </c>
      <c r="AG67" s="121" t="str">
        <f ca="1" t="shared" si="5"/>
        <v>WARNING</v>
      </c>
      <c r="AH67" s="1000">
        <v>2765000</v>
      </c>
      <c r="AI67" s="1000">
        <v>150000</v>
      </c>
      <c r="AJ67" s="1001">
        <v>17000</v>
      </c>
      <c r="AK67" s="1001">
        <v>30000</v>
      </c>
      <c r="AL67" s="1001"/>
      <c r="AM67" s="1001"/>
      <c r="AN67" s="1001"/>
      <c r="AO67" s="1001"/>
      <c r="AP67" s="1001"/>
      <c r="AQ67" s="1001" t="s">
        <v>112</v>
      </c>
      <c r="AR67" s="1001" t="s">
        <v>48</v>
      </c>
      <c r="AS67" s="1001" t="s">
        <v>49</v>
      </c>
      <c r="AT67" s="976" t="s">
        <v>734</v>
      </c>
      <c r="AU67" s="976" t="s">
        <v>735</v>
      </c>
      <c r="AV67" s="1533" t="s">
        <v>736</v>
      </c>
      <c r="AW67" s="1011" t="s">
        <v>737</v>
      </c>
      <c r="AX67" s="1011" t="s">
        <v>738</v>
      </c>
      <c r="AY67" s="1011"/>
      <c r="AZ67" s="1011"/>
      <c r="BA67" s="1011"/>
      <c r="BB67" s="1011"/>
      <c r="BC67" s="980" t="s">
        <v>739</v>
      </c>
      <c r="BD67" s="1402" t="s">
        <v>55</v>
      </c>
      <c r="BF67" s="1306"/>
    </row>
    <row r="68" s="1282" customFormat="1" ht="14.1" customHeight="1" spans="2:58">
      <c r="B68" s="1532" t="s">
        <v>740</v>
      </c>
      <c r="C68" s="14" t="s">
        <v>741</v>
      </c>
      <c r="D68" s="973" t="s">
        <v>742</v>
      </c>
      <c r="E68" s="975" t="s">
        <v>743</v>
      </c>
      <c r="F68" s="1043" t="s">
        <v>43</v>
      </c>
      <c r="G68" s="1043" t="s">
        <v>60</v>
      </c>
      <c r="H68" s="976" t="s">
        <v>361</v>
      </c>
      <c r="I68" s="976" t="s">
        <v>428</v>
      </c>
      <c r="J68" s="976" t="s">
        <v>744</v>
      </c>
      <c r="K68" s="980">
        <v>42989</v>
      </c>
      <c r="L68" s="980">
        <v>43100</v>
      </c>
      <c r="M68" s="980">
        <v>43281</v>
      </c>
      <c r="N68" s="980"/>
      <c r="O68" s="980"/>
      <c r="P68" s="980"/>
      <c r="Q68" s="980"/>
      <c r="R68" s="980"/>
      <c r="S68" s="980"/>
      <c r="T68" s="980"/>
      <c r="U68" s="980"/>
      <c r="V68" s="980"/>
      <c r="W68" s="980"/>
      <c r="X68" s="980"/>
      <c r="Y68" s="980"/>
      <c r="Z68" s="980"/>
      <c r="AA68" s="980"/>
      <c r="AB68" s="980"/>
      <c r="AC68" s="980"/>
      <c r="AD68" s="980"/>
      <c r="AE68" s="980"/>
      <c r="AF68" s="640">
        <f ca="1" t="shared" ref="AF68:AF73" si="10">SUM(M68-NOW())</f>
        <v>8.61546296296001</v>
      </c>
      <c r="AG68" s="121" t="s">
        <v>745</v>
      </c>
      <c r="AH68" s="1000">
        <v>5000000</v>
      </c>
      <c r="AI68" s="1000">
        <v>750000</v>
      </c>
      <c r="AJ68" s="1001">
        <v>20000</v>
      </c>
      <c r="AK68" s="1001"/>
      <c r="AL68" s="1001">
        <v>1000000</v>
      </c>
      <c r="AM68" s="1001">
        <v>500000</v>
      </c>
      <c r="AN68" s="1001"/>
      <c r="AO68" s="1001"/>
      <c r="AP68" s="1001">
        <v>500000</v>
      </c>
      <c r="AQ68" s="1001" t="s">
        <v>112</v>
      </c>
      <c r="AR68" s="1001" t="s">
        <v>48</v>
      </c>
      <c r="AS68" s="1001" t="s">
        <v>49</v>
      </c>
      <c r="AT68" s="976"/>
      <c r="AU68" s="976" t="s">
        <v>746</v>
      </c>
      <c r="AV68" s="1103" t="s">
        <v>747</v>
      </c>
      <c r="AW68" s="1103" t="s">
        <v>748</v>
      </c>
      <c r="AX68" s="1536" t="s">
        <v>749</v>
      </c>
      <c r="AY68" s="1103" t="s">
        <v>750</v>
      </c>
      <c r="AZ68" s="1103"/>
      <c r="BA68" s="1103" t="s">
        <v>751</v>
      </c>
      <c r="BB68" s="1230" t="s">
        <v>752</v>
      </c>
      <c r="BC68" s="980"/>
      <c r="BD68" s="1402" t="s">
        <v>55</v>
      </c>
      <c r="BF68" s="1306"/>
    </row>
    <row r="69" s="873" customFormat="1" ht="14.1" customHeight="1" spans="2:58">
      <c r="B69" s="1532" t="s">
        <v>753</v>
      </c>
      <c r="C69" s="14" t="s">
        <v>754</v>
      </c>
      <c r="D69" s="973" t="s">
        <v>755</v>
      </c>
      <c r="E69" s="975" t="s">
        <v>756</v>
      </c>
      <c r="F69" s="1043" t="s">
        <v>43</v>
      </c>
      <c r="G69" s="1043" t="s">
        <v>43</v>
      </c>
      <c r="H69" s="976" t="s">
        <v>757</v>
      </c>
      <c r="I69" s="976" t="s">
        <v>758</v>
      </c>
      <c r="J69" s="976" t="s">
        <v>759</v>
      </c>
      <c r="K69" s="980">
        <v>43022</v>
      </c>
      <c r="L69" s="980">
        <v>43100</v>
      </c>
      <c r="M69" s="980">
        <v>43281</v>
      </c>
      <c r="N69" s="980"/>
      <c r="O69" s="980"/>
      <c r="P69" s="980"/>
      <c r="Q69" s="980"/>
      <c r="R69" s="980"/>
      <c r="S69" s="980"/>
      <c r="T69" s="980"/>
      <c r="U69" s="980"/>
      <c r="V69" s="980"/>
      <c r="W69" s="980"/>
      <c r="X69" s="980"/>
      <c r="Y69" s="980"/>
      <c r="Z69" s="980"/>
      <c r="AA69" s="980"/>
      <c r="AB69" s="980"/>
      <c r="AC69" s="980"/>
      <c r="AD69" s="980"/>
      <c r="AE69" s="980"/>
      <c r="AF69" s="640">
        <f ca="1" t="shared" si="10"/>
        <v>8.61546296296001</v>
      </c>
      <c r="AG69" s="121" t="str">
        <f ca="1" t="shared" ref="AG69:AG73" si="11">IF(AF69&lt;=40,"WARNING","ACTIVE")</f>
        <v>WARNING</v>
      </c>
      <c r="AH69" s="1431">
        <v>5500000</v>
      </c>
      <c r="AI69" s="1431">
        <v>750000</v>
      </c>
      <c r="AJ69" s="1001"/>
      <c r="AK69" s="1432"/>
      <c r="AL69" s="1001">
        <v>1000000</v>
      </c>
      <c r="AM69" s="1001"/>
      <c r="AN69" s="1001"/>
      <c r="AO69" s="1001">
        <v>1250000</v>
      </c>
      <c r="AP69" s="1001"/>
      <c r="AQ69" s="1001" t="s">
        <v>0</v>
      </c>
      <c r="AR69" s="1001" t="s">
        <v>48</v>
      </c>
      <c r="AS69" s="1001" t="s">
        <v>760</v>
      </c>
      <c r="AT69" s="976"/>
      <c r="AU69" s="976" t="s">
        <v>761</v>
      </c>
      <c r="AV69" s="1103">
        <v>82157106914</v>
      </c>
      <c r="AW69" s="1103" t="s">
        <v>762</v>
      </c>
      <c r="AX69" s="1536" t="s">
        <v>763</v>
      </c>
      <c r="AY69" s="1103" t="s">
        <v>764</v>
      </c>
      <c r="AZ69" s="1103"/>
      <c r="BA69" s="1103"/>
      <c r="BB69" s="127" t="s">
        <v>765</v>
      </c>
      <c r="BC69" s="980"/>
      <c r="BD69" s="1402" t="s">
        <v>55</v>
      </c>
      <c r="BF69" s="1306"/>
    </row>
    <row r="70" s="1282" customFormat="1" ht="14.1" customHeight="1" spans="2:58">
      <c r="B70" s="1532" t="s">
        <v>766</v>
      </c>
      <c r="C70" s="14" t="s">
        <v>767</v>
      </c>
      <c r="D70" s="973" t="s">
        <v>768</v>
      </c>
      <c r="E70" s="975" t="s">
        <v>769</v>
      </c>
      <c r="F70" s="1043" t="s">
        <v>43</v>
      </c>
      <c r="G70" s="1043" t="s">
        <v>96</v>
      </c>
      <c r="H70" s="976" t="s">
        <v>757</v>
      </c>
      <c r="I70" s="976" t="s">
        <v>770</v>
      </c>
      <c r="J70" s="976" t="s">
        <v>771</v>
      </c>
      <c r="K70" s="980">
        <v>43045</v>
      </c>
      <c r="L70" s="980">
        <v>43190</v>
      </c>
      <c r="M70" s="980">
        <v>43281</v>
      </c>
      <c r="N70" s="980"/>
      <c r="O70" s="980"/>
      <c r="P70" s="980"/>
      <c r="Q70" s="980"/>
      <c r="R70" s="980"/>
      <c r="S70" s="980"/>
      <c r="T70" s="980"/>
      <c r="U70" s="980"/>
      <c r="V70" s="980"/>
      <c r="W70" s="980"/>
      <c r="X70" s="980"/>
      <c r="Y70" s="980"/>
      <c r="Z70" s="980"/>
      <c r="AA70" s="980"/>
      <c r="AB70" s="980"/>
      <c r="AC70" s="980"/>
      <c r="AD70" s="980"/>
      <c r="AE70" s="980"/>
      <c r="AF70" s="640">
        <f ca="1" t="shared" si="10"/>
        <v>8.61546296296001</v>
      </c>
      <c r="AG70" s="121" t="str">
        <f ca="1" t="shared" si="11"/>
        <v>WARNING</v>
      </c>
      <c r="AH70" s="1431">
        <v>4500000</v>
      </c>
      <c r="AI70" s="1431">
        <v>400000</v>
      </c>
      <c r="AJ70" s="1001">
        <v>20000</v>
      </c>
      <c r="AK70" s="1432"/>
      <c r="AL70" s="1001">
        <v>500000</v>
      </c>
      <c r="AM70" s="1001">
        <v>500000</v>
      </c>
      <c r="AN70" s="1001"/>
      <c r="AO70" s="1001">
        <v>1000000</v>
      </c>
      <c r="AP70" s="1001"/>
      <c r="AQ70" s="1001" t="s">
        <v>0</v>
      </c>
      <c r="AR70" s="1001" t="s">
        <v>48</v>
      </c>
      <c r="AS70" s="1001" t="s">
        <v>49</v>
      </c>
      <c r="AT70" s="976"/>
      <c r="AU70" s="976" t="s">
        <v>772</v>
      </c>
      <c r="AV70" s="1103" t="s">
        <v>773</v>
      </c>
      <c r="AW70" s="1103" t="s">
        <v>774</v>
      </c>
      <c r="AX70" s="1536" t="s">
        <v>775</v>
      </c>
      <c r="AY70" s="1103"/>
      <c r="AZ70" s="1103"/>
      <c r="BA70" s="1103"/>
      <c r="BB70" s="1230" t="s">
        <v>776</v>
      </c>
      <c r="BC70" s="980"/>
      <c r="BD70" s="1402" t="s">
        <v>55</v>
      </c>
      <c r="BF70" s="1306"/>
    </row>
    <row r="71" s="873" customFormat="1" ht="14.1" customHeight="1" spans="2:58">
      <c r="B71" s="1532" t="s">
        <v>777</v>
      </c>
      <c r="C71" s="14" t="s">
        <v>778</v>
      </c>
      <c r="D71" s="973" t="s">
        <v>779</v>
      </c>
      <c r="E71" s="975" t="s">
        <v>780</v>
      </c>
      <c r="F71" s="1043" t="s">
        <v>43</v>
      </c>
      <c r="G71" s="1043" t="s">
        <v>44</v>
      </c>
      <c r="H71" s="976" t="s">
        <v>361</v>
      </c>
      <c r="I71" s="976" t="s">
        <v>770</v>
      </c>
      <c r="J71" s="976" t="s">
        <v>781</v>
      </c>
      <c r="K71" s="980">
        <v>43033</v>
      </c>
      <c r="L71" s="980">
        <v>43131</v>
      </c>
      <c r="M71" s="980">
        <v>43281</v>
      </c>
      <c r="N71" s="980"/>
      <c r="O71" s="980"/>
      <c r="P71" s="980"/>
      <c r="Q71" s="980"/>
      <c r="R71" s="980"/>
      <c r="S71" s="980"/>
      <c r="T71" s="980"/>
      <c r="U71" s="980"/>
      <c r="V71" s="980"/>
      <c r="W71" s="980"/>
      <c r="X71" s="980"/>
      <c r="Y71" s="980"/>
      <c r="Z71" s="980"/>
      <c r="AA71" s="980"/>
      <c r="AB71" s="980"/>
      <c r="AC71" s="980"/>
      <c r="AD71" s="980"/>
      <c r="AE71" s="980"/>
      <c r="AF71" s="640">
        <f ca="1" t="shared" si="10"/>
        <v>8.61546296296001</v>
      </c>
      <c r="AG71" s="121" t="str">
        <f ca="1" t="shared" si="11"/>
        <v>WARNING</v>
      </c>
      <c r="AH71" s="1431">
        <v>3100000</v>
      </c>
      <c r="AI71" s="1431">
        <v>100000</v>
      </c>
      <c r="AJ71" s="1001">
        <v>17000</v>
      </c>
      <c r="AK71" s="1432"/>
      <c r="AL71" s="1001"/>
      <c r="AM71" s="1001">
        <v>500000</v>
      </c>
      <c r="AN71" s="1001"/>
      <c r="AO71" s="1001">
        <v>300000</v>
      </c>
      <c r="AP71" s="1001"/>
      <c r="AQ71" s="1001" t="s">
        <v>0</v>
      </c>
      <c r="AR71" s="1001" t="s">
        <v>48</v>
      </c>
      <c r="AS71" s="1001" t="s">
        <v>49</v>
      </c>
      <c r="AT71" s="976"/>
      <c r="AU71" s="976" t="s">
        <v>782</v>
      </c>
      <c r="AV71" s="1103" t="s">
        <v>783</v>
      </c>
      <c r="AW71" s="1103" t="s">
        <v>784</v>
      </c>
      <c r="AX71" s="1536" t="s">
        <v>785</v>
      </c>
      <c r="AY71" s="1103" t="s">
        <v>786</v>
      </c>
      <c r="AZ71" s="1103" t="s">
        <v>787</v>
      </c>
      <c r="BA71" s="1103" t="s">
        <v>788</v>
      </c>
      <c r="BB71" s="127" t="s">
        <v>789</v>
      </c>
      <c r="BC71" s="980"/>
      <c r="BD71" s="1402" t="s">
        <v>55</v>
      </c>
      <c r="BF71" s="1306"/>
    </row>
    <row r="72" s="873" customFormat="1" ht="14.1" customHeight="1" spans="2:58">
      <c r="B72" s="1532" t="s">
        <v>790</v>
      </c>
      <c r="C72" s="14" t="s">
        <v>791</v>
      </c>
      <c r="D72" s="973" t="s">
        <v>792</v>
      </c>
      <c r="E72" s="975" t="s">
        <v>793</v>
      </c>
      <c r="F72" s="1043" t="s">
        <v>43</v>
      </c>
      <c r="G72" s="1043" t="s">
        <v>404</v>
      </c>
      <c r="H72" s="976" t="s">
        <v>361</v>
      </c>
      <c r="I72" s="976" t="s">
        <v>770</v>
      </c>
      <c r="J72" s="976" t="s">
        <v>185</v>
      </c>
      <c r="K72" s="980">
        <v>43033</v>
      </c>
      <c r="L72" s="980">
        <v>43131</v>
      </c>
      <c r="M72" s="980">
        <v>43281</v>
      </c>
      <c r="N72" s="980"/>
      <c r="O72" s="980"/>
      <c r="P72" s="980"/>
      <c r="Q72" s="980"/>
      <c r="R72" s="980"/>
      <c r="S72" s="980"/>
      <c r="T72" s="980"/>
      <c r="U72" s="980"/>
      <c r="V72" s="980"/>
      <c r="W72" s="980"/>
      <c r="X72" s="980"/>
      <c r="Y72" s="980"/>
      <c r="Z72" s="980"/>
      <c r="AA72" s="980"/>
      <c r="AB72" s="980"/>
      <c r="AC72" s="980"/>
      <c r="AD72" s="980"/>
      <c r="AE72" s="980"/>
      <c r="AF72" s="640">
        <f ca="1" t="shared" si="10"/>
        <v>8.61546296296001</v>
      </c>
      <c r="AG72" s="121" t="str">
        <f ca="1" t="shared" si="11"/>
        <v>WARNING</v>
      </c>
      <c r="AH72" s="1431">
        <v>2765000</v>
      </c>
      <c r="AI72" s="1431">
        <v>150000</v>
      </c>
      <c r="AJ72" s="1001">
        <v>17000</v>
      </c>
      <c r="AK72" s="1432"/>
      <c r="AL72" s="1001"/>
      <c r="AM72" s="1001"/>
      <c r="AN72" s="1001"/>
      <c r="AO72" s="1001"/>
      <c r="AP72" s="1001"/>
      <c r="AQ72" s="1001" t="s">
        <v>0</v>
      </c>
      <c r="AR72" s="1001" t="s">
        <v>48</v>
      </c>
      <c r="AS72" s="1001" t="s">
        <v>49</v>
      </c>
      <c r="AT72" s="976"/>
      <c r="AU72" s="976" t="s">
        <v>794</v>
      </c>
      <c r="AV72" s="1103"/>
      <c r="AW72" s="1103" t="s">
        <v>795</v>
      </c>
      <c r="AX72" s="1536" t="s">
        <v>796</v>
      </c>
      <c r="AY72" s="1103"/>
      <c r="AZ72" s="1103"/>
      <c r="BA72" s="1103"/>
      <c r="BB72" s="127" t="s">
        <v>797</v>
      </c>
      <c r="BC72" s="980"/>
      <c r="BD72" s="1402" t="s">
        <v>55</v>
      </c>
      <c r="BF72" s="1306"/>
    </row>
    <row r="73" s="873" customFormat="1" ht="14.1" customHeight="1" spans="2:58">
      <c r="B73" s="1532" t="s">
        <v>798</v>
      </c>
      <c r="C73" s="14" t="s">
        <v>799</v>
      </c>
      <c r="D73" s="973" t="s">
        <v>800</v>
      </c>
      <c r="E73" s="975" t="s">
        <v>801</v>
      </c>
      <c r="F73" s="1043" t="s">
        <v>43</v>
      </c>
      <c r="G73" s="1043" t="s">
        <v>96</v>
      </c>
      <c r="H73" s="976" t="s">
        <v>361</v>
      </c>
      <c r="I73" s="976" t="s">
        <v>770</v>
      </c>
      <c r="J73" s="976" t="s">
        <v>185</v>
      </c>
      <c r="K73" s="980">
        <v>43026</v>
      </c>
      <c r="L73" s="980">
        <v>43131</v>
      </c>
      <c r="M73" s="980">
        <v>43281</v>
      </c>
      <c r="N73" s="980"/>
      <c r="O73" s="980"/>
      <c r="P73" s="980"/>
      <c r="Q73" s="980"/>
      <c r="R73" s="980"/>
      <c r="S73" s="980"/>
      <c r="T73" s="980"/>
      <c r="U73" s="980"/>
      <c r="V73" s="980"/>
      <c r="W73" s="980"/>
      <c r="X73" s="980"/>
      <c r="Y73" s="980"/>
      <c r="Z73" s="980"/>
      <c r="AA73" s="980"/>
      <c r="AB73" s="980"/>
      <c r="AC73" s="980"/>
      <c r="AD73" s="980"/>
      <c r="AE73" s="980"/>
      <c r="AF73" s="640">
        <f ca="1" t="shared" si="10"/>
        <v>8.61546296296001</v>
      </c>
      <c r="AG73" s="121" t="str">
        <f ca="1" t="shared" si="11"/>
        <v>WARNING</v>
      </c>
      <c r="AH73" s="1431">
        <v>2765000</v>
      </c>
      <c r="AI73" s="1431">
        <v>150000</v>
      </c>
      <c r="AJ73" s="1001">
        <v>17000</v>
      </c>
      <c r="AK73" s="1432"/>
      <c r="AL73" s="1001"/>
      <c r="AM73" s="1001"/>
      <c r="AN73" s="1001"/>
      <c r="AO73" s="1001"/>
      <c r="AP73" s="1001"/>
      <c r="AQ73" s="1001" t="s">
        <v>0</v>
      </c>
      <c r="AR73" s="1001" t="s">
        <v>48</v>
      </c>
      <c r="AS73" s="1001" t="s">
        <v>49</v>
      </c>
      <c r="AT73" s="976"/>
      <c r="AU73" s="976" t="s">
        <v>802</v>
      </c>
      <c r="AV73" s="1103" t="s">
        <v>803</v>
      </c>
      <c r="AW73" s="1103" t="s">
        <v>804</v>
      </c>
      <c r="AX73" s="1536" t="s">
        <v>805</v>
      </c>
      <c r="AY73" s="1103"/>
      <c r="AZ73" s="1103"/>
      <c r="BA73" s="1103"/>
      <c r="BB73" s="127"/>
      <c r="BC73" s="980"/>
      <c r="BD73" s="1402" t="s">
        <v>55</v>
      </c>
      <c r="BF73" s="1306"/>
    </row>
    <row r="74" s="873" customFormat="1" ht="14.1" customHeight="1" spans="2:58">
      <c r="B74" s="1532" t="s">
        <v>806</v>
      </c>
      <c r="C74" s="14" t="s">
        <v>807</v>
      </c>
      <c r="D74" s="973" t="s">
        <v>808</v>
      </c>
      <c r="E74" s="975" t="s">
        <v>809</v>
      </c>
      <c r="F74" s="976" t="s">
        <v>43</v>
      </c>
      <c r="G74" s="977" t="s">
        <v>44</v>
      </c>
      <c r="H74" s="976" t="s">
        <v>45</v>
      </c>
      <c r="I74" s="976" t="s">
        <v>46</v>
      </c>
      <c r="J74" s="976" t="s">
        <v>185</v>
      </c>
      <c r="K74" s="980">
        <v>42121</v>
      </c>
      <c r="L74" s="980">
        <v>42490</v>
      </c>
      <c r="M74" s="980">
        <v>42582</v>
      </c>
      <c r="N74" s="980">
        <v>42674</v>
      </c>
      <c r="O74" s="980">
        <v>42735</v>
      </c>
      <c r="P74" s="980">
        <v>42825</v>
      </c>
      <c r="Q74" s="980">
        <v>42851</v>
      </c>
      <c r="R74" s="980"/>
      <c r="S74" s="980"/>
      <c r="T74" s="980"/>
      <c r="U74" s="980"/>
      <c r="V74" s="980">
        <v>42852</v>
      </c>
      <c r="W74" s="980">
        <v>42886</v>
      </c>
      <c r="X74" s="980">
        <v>43100</v>
      </c>
      <c r="Y74" s="980">
        <v>43216</v>
      </c>
      <c r="Z74" s="980"/>
      <c r="AA74" s="980"/>
      <c r="AB74" s="980">
        <v>43217</v>
      </c>
      <c r="AC74" s="980">
        <v>43246</v>
      </c>
      <c r="AD74" s="980">
        <v>43247</v>
      </c>
      <c r="AE74" s="980">
        <v>43281</v>
      </c>
      <c r="AF74" s="640">
        <f ca="1">SUM(AE74-NOW())</f>
        <v>8.61546296296001</v>
      </c>
      <c r="AG74" s="121" t="s">
        <v>745</v>
      </c>
      <c r="AH74" s="1000">
        <v>2780000</v>
      </c>
      <c r="AI74" s="1000">
        <v>150000</v>
      </c>
      <c r="AJ74" s="1001">
        <v>17000</v>
      </c>
      <c r="AK74" s="1001"/>
      <c r="AL74" s="1001"/>
      <c r="AM74" s="1001"/>
      <c r="AN74" s="1001"/>
      <c r="AO74" s="1001"/>
      <c r="AP74" s="1001"/>
      <c r="AQ74" s="1001" t="s">
        <v>0</v>
      </c>
      <c r="AR74" s="1001" t="s">
        <v>48</v>
      </c>
      <c r="AS74" s="1001" t="s">
        <v>49</v>
      </c>
      <c r="AT74" s="976" t="s">
        <v>810</v>
      </c>
      <c r="AU74" s="976" t="s">
        <v>811</v>
      </c>
      <c r="AV74" s="1533" t="s">
        <v>812</v>
      </c>
      <c r="AW74" s="1011" t="s">
        <v>813</v>
      </c>
      <c r="AX74" s="1011" t="s">
        <v>814</v>
      </c>
      <c r="AY74" s="1011"/>
      <c r="AZ74" s="1011"/>
      <c r="BA74" s="1011" t="s">
        <v>815</v>
      </c>
      <c r="BB74" s="1011"/>
      <c r="BC74" s="980"/>
      <c r="BD74" s="1402" t="s">
        <v>55</v>
      </c>
      <c r="BF74" s="1306"/>
    </row>
    <row r="75" s="1282" customFormat="1" ht="14.1" customHeight="1" spans="2:58">
      <c r="B75" s="1532" t="s">
        <v>816</v>
      </c>
      <c r="C75" s="14" t="s">
        <v>817</v>
      </c>
      <c r="D75" s="973" t="s">
        <v>818</v>
      </c>
      <c r="E75" s="975" t="s">
        <v>819</v>
      </c>
      <c r="F75" s="976" t="s">
        <v>43</v>
      </c>
      <c r="G75" s="977" t="s">
        <v>254</v>
      </c>
      <c r="H75" s="976" t="s">
        <v>361</v>
      </c>
      <c r="I75" s="14" t="s">
        <v>770</v>
      </c>
      <c r="J75" s="1414" t="s">
        <v>820</v>
      </c>
      <c r="K75" s="980">
        <v>43038</v>
      </c>
      <c r="L75" s="980">
        <v>43190</v>
      </c>
      <c r="M75" s="1455">
        <v>43373</v>
      </c>
      <c r="N75" s="1418" t="s">
        <v>325</v>
      </c>
      <c r="O75" s="980"/>
      <c r="P75" s="980"/>
      <c r="Q75" s="980"/>
      <c r="R75" s="980"/>
      <c r="S75" s="980"/>
      <c r="T75" s="980"/>
      <c r="U75" s="980"/>
      <c r="V75" s="980"/>
      <c r="W75" s="980"/>
      <c r="X75" s="980"/>
      <c r="Y75" s="980"/>
      <c r="Z75" s="980"/>
      <c r="AA75" s="980"/>
      <c r="AB75" s="980"/>
      <c r="AC75" s="980"/>
      <c r="AD75" s="980"/>
      <c r="AE75" s="980"/>
      <c r="AF75" s="640">
        <f ca="1" t="shared" ref="AF75:AF91" si="12">SUM(M75-NOW())</f>
        <v>100.61546296296</v>
      </c>
      <c r="AG75" s="121" t="str">
        <f ca="1" t="shared" ref="AG75:AG104" si="13">IF(AF75&lt;=40,"WARNING","ACTIVE")</f>
        <v>ACTIVE</v>
      </c>
      <c r="AH75" s="1430">
        <v>5000000</v>
      </c>
      <c r="AI75" s="1430">
        <v>500000</v>
      </c>
      <c r="AJ75" s="1458">
        <v>0</v>
      </c>
      <c r="AK75" s="1459"/>
      <c r="AL75" s="1458">
        <v>1000000</v>
      </c>
      <c r="AM75" s="1001">
        <v>500000</v>
      </c>
      <c r="AN75" s="1459"/>
      <c r="AO75" s="1458">
        <v>1000000</v>
      </c>
      <c r="AP75" s="1461"/>
      <c r="AQ75" s="1001" t="s">
        <v>0</v>
      </c>
      <c r="AR75" s="1001" t="s">
        <v>48</v>
      </c>
      <c r="AS75" s="1001" t="s">
        <v>49</v>
      </c>
      <c r="AT75" s="1414" t="s">
        <v>821</v>
      </c>
      <c r="AU75" s="976" t="s">
        <v>822</v>
      </c>
      <c r="AV75" s="1533" t="s">
        <v>823</v>
      </c>
      <c r="AW75" s="1011" t="s">
        <v>824</v>
      </c>
      <c r="AX75" s="1011" t="s">
        <v>825</v>
      </c>
      <c r="AY75" s="1011" t="s">
        <v>826</v>
      </c>
      <c r="AZ75" s="1011"/>
      <c r="BA75" s="1011"/>
      <c r="BB75" s="1011" t="s">
        <v>827</v>
      </c>
      <c r="BC75" s="980"/>
      <c r="BD75" s="1402" t="s">
        <v>729</v>
      </c>
      <c r="BF75" s="1308"/>
    </row>
    <row r="76" s="873" customFormat="1" ht="14.1" customHeight="1" spans="2:58">
      <c r="B76" s="1532" t="s">
        <v>828</v>
      </c>
      <c r="C76" s="14" t="s">
        <v>829</v>
      </c>
      <c r="D76" s="973" t="s">
        <v>830</v>
      </c>
      <c r="E76" s="975" t="s">
        <v>831</v>
      </c>
      <c r="F76" s="976" t="s">
        <v>43</v>
      </c>
      <c r="G76" s="977" t="s">
        <v>404</v>
      </c>
      <c r="H76" s="976" t="s">
        <v>757</v>
      </c>
      <c r="I76" s="14" t="s">
        <v>770</v>
      </c>
      <c r="J76" s="976" t="s">
        <v>208</v>
      </c>
      <c r="K76" s="980">
        <v>43046</v>
      </c>
      <c r="L76" s="980">
        <v>43131</v>
      </c>
      <c r="M76" s="980">
        <v>43281</v>
      </c>
      <c r="N76" s="980"/>
      <c r="O76" s="980"/>
      <c r="P76" s="980"/>
      <c r="Q76" s="980"/>
      <c r="R76" s="980"/>
      <c r="S76" s="980"/>
      <c r="T76" s="980"/>
      <c r="U76" s="980"/>
      <c r="V76" s="980"/>
      <c r="W76" s="980"/>
      <c r="X76" s="980"/>
      <c r="Y76" s="980"/>
      <c r="Z76" s="980"/>
      <c r="AA76" s="980"/>
      <c r="AB76" s="980"/>
      <c r="AC76" s="980"/>
      <c r="AD76" s="980"/>
      <c r="AE76" s="980"/>
      <c r="AF76" s="640">
        <f ca="1" t="shared" si="12"/>
        <v>8.61546296296001</v>
      </c>
      <c r="AG76" s="121" t="str">
        <f ca="1" t="shared" si="13"/>
        <v>WARNING</v>
      </c>
      <c r="AH76" s="1431">
        <v>4200000</v>
      </c>
      <c r="AI76" s="1431">
        <v>250000</v>
      </c>
      <c r="AJ76" s="1459">
        <v>20000</v>
      </c>
      <c r="AK76" s="1459"/>
      <c r="AL76" s="1459"/>
      <c r="AM76" s="1001">
        <v>500000</v>
      </c>
      <c r="AN76" s="1459"/>
      <c r="AO76" s="1001">
        <v>300000</v>
      </c>
      <c r="AP76" s="1461"/>
      <c r="AQ76" s="1001" t="s">
        <v>0</v>
      </c>
      <c r="AR76" s="1001" t="s">
        <v>48</v>
      </c>
      <c r="AS76" s="1001" t="s">
        <v>49</v>
      </c>
      <c r="AT76" s="976"/>
      <c r="AU76" s="976" t="s">
        <v>832</v>
      </c>
      <c r="AV76" s="1533" t="s">
        <v>833</v>
      </c>
      <c r="AW76" s="1011" t="s">
        <v>834</v>
      </c>
      <c r="AX76" s="1011" t="s">
        <v>835</v>
      </c>
      <c r="AY76" s="1011"/>
      <c r="AZ76" s="1011"/>
      <c r="BA76" s="1011"/>
      <c r="BB76" s="1444" t="s">
        <v>836</v>
      </c>
      <c r="BC76" s="980"/>
      <c r="BD76" s="1402" t="s">
        <v>55</v>
      </c>
      <c r="BF76" s="1306"/>
    </row>
    <row r="77" s="873" customFormat="1" ht="14.1" customHeight="1" spans="2:58">
      <c r="B77" s="1532" t="s">
        <v>837</v>
      </c>
      <c r="C77" s="14" t="s">
        <v>838</v>
      </c>
      <c r="D77" s="973" t="s">
        <v>839</v>
      </c>
      <c r="E77" s="975" t="s">
        <v>840</v>
      </c>
      <c r="F77" s="976" t="s">
        <v>43</v>
      </c>
      <c r="G77" s="977" t="s">
        <v>44</v>
      </c>
      <c r="H77" s="976" t="s">
        <v>841</v>
      </c>
      <c r="I77" s="14" t="s">
        <v>770</v>
      </c>
      <c r="J77" s="976" t="s">
        <v>185</v>
      </c>
      <c r="K77" s="980">
        <v>43027</v>
      </c>
      <c r="L77" s="980">
        <v>43131</v>
      </c>
      <c r="M77" s="980">
        <v>43281</v>
      </c>
      <c r="N77" s="980"/>
      <c r="O77" s="980"/>
      <c r="P77" s="980"/>
      <c r="Q77" s="980"/>
      <c r="R77" s="980"/>
      <c r="S77" s="980"/>
      <c r="T77" s="980"/>
      <c r="U77" s="980"/>
      <c r="V77" s="980"/>
      <c r="W77" s="980"/>
      <c r="X77" s="980"/>
      <c r="Y77" s="980"/>
      <c r="Z77" s="980"/>
      <c r="AA77" s="980"/>
      <c r="AB77" s="980"/>
      <c r="AC77" s="980"/>
      <c r="AD77" s="980"/>
      <c r="AE77" s="980"/>
      <c r="AF77" s="640">
        <f ca="1" t="shared" si="12"/>
        <v>8.61546296296001</v>
      </c>
      <c r="AG77" s="121" t="str">
        <f ca="1" t="shared" si="13"/>
        <v>WARNING</v>
      </c>
      <c r="AH77" s="1431">
        <v>2765000</v>
      </c>
      <c r="AI77" s="1431">
        <v>150000</v>
      </c>
      <c r="AJ77" s="1459">
        <v>17000</v>
      </c>
      <c r="AK77" s="1459"/>
      <c r="AL77" s="1459"/>
      <c r="AM77" s="1459"/>
      <c r="AN77" s="1459"/>
      <c r="AO77" s="1459"/>
      <c r="AP77" s="1461"/>
      <c r="AQ77" s="1001" t="s">
        <v>0</v>
      </c>
      <c r="AR77" s="1001" t="s">
        <v>48</v>
      </c>
      <c r="AS77" s="1001" t="s">
        <v>49</v>
      </c>
      <c r="AT77" s="976"/>
      <c r="AU77" s="976" t="s">
        <v>842</v>
      </c>
      <c r="AV77" s="1533" t="s">
        <v>843</v>
      </c>
      <c r="AW77" s="1011" t="s">
        <v>844</v>
      </c>
      <c r="AX77" s="1011" t="s">
        <v>845</v>
      </c>
      <c r="AY77" s="1011"/>
      <c r="AZ77" s="1011"/>
      <c r="BA77" s="1011"/>
      <c r="BB77" s="1444" t="s">
        <v>846</v>
      </c>
      <c r="BC77" s="980"/>
      <c r="BD77" s="1402" t="s">
        <v>55</v>
      </c>
      <c r="BF77" s="1306"/>
    </row>
    <row r="78" s="873" customFormat="1" ht="14.1" customHeight="1" spans="2:58">
      <c r="B78" s="1532" t="s">
        <v>847</v>
      </c>
      <c r="C78" s="14" t="s">
        <v>848</v>
      </c>
      <c r="D78" s="973" t="s">
        <v>849</v>
      </c>
      <c r="E78" s="975" t="s">
        <v>850</v>
      </c>
      <c r="F78" s="976" t="s">
        <v>43</v>
      </c>
      <c r="G78" s="977" t="s">
        <v>44</v>
      </c>
      <c r="H78" s="976" t="s">
        <v>851</v>
      </c>
      <c r="I78" s="14" t="s">
        <v>770</v>
      </c>
      <c r="J78" s="976" t="s">
        <v>208</v>
      </c>
      <c r="K78" s="980">
        <v>43052</v>
      </c>
      <c r="L78" s="980">
        <v>43143</v>
      </c>
      <c r="M78" s="980">
        <v>43324</v>
      </c>
      <c r="N78" s="980"/>
      <c r="O78" s="980"/>
      <c r="P78" s="980"/>
      <c r="Q78" s="980"/>
      <c r="R78" s="980"/>
      <c r="S78" s="980"/>
      <c r="T78" s="980"/>
      <c r="U78" s="980"/>
      <c r="V78" s="980"/>
      <c r="W78" s="980"/>
      <c r="X78" s="980"/>
      <c r="Y78" s="980"/>
      <c r="Z78" s="980"/>
      <c r="AA78" s="980"/>
      <c r="AB78" s="980"/>
      <c r="AC78" s="980"/>
      <c r="AD78" s="980"/>
      <c r="AE78" s="980"/>
      <c r="AF78" s="640">
        <f ca="1" t="shared" si="12"/>
        <v>51.61546296296</v>
      </c>
      <c r="AG78" s="121" t="str">
        <f ca="1" t="shared" si="13"/>
        <v>ACTIVE</v>
      </c>
      <c r="AH78" s="1431">
        <v>4500000</v>
      </c>
      <c r="AI78" s="1431">
        <v>250000</v>
      </c>
      <c r="AJ78" s="1459">
        <v>20000</v>
      </c>
      <c r="AK78" s="1459"/>
      <c r="AL78" s="1001">
        <v>500000</v>
      </c>
      <c r="AM78" s="1001">
        <v>500000</v>
      </c>
      <c r="AN78" s="1459"/>
      <c r="AO78" s="1459"/>
      <c r="AP78" s="1461"/>
      <c r="AQ78" s="1001" t="s">
        <v>0</v>
      </c>
      <c r="AR78" s="1001" t="s">
        <v>48</v>
      </c>
      <c r="AS78" s="1001" t="s">
        <v>49</v>
      </c>
      <c r="AT78" s="976" t="s">
        <v>852</v>
      </c>
      <c r="AU78" s="976" t="s">
        <v>853</v>
      </c>
      <c r="AV78" s="1533" t="s">
        <v>854</v>
      </c>
      <c r="AW78" s="1011" t="s">
        <v>855</v>
      </c>
      <c r="AX78" s="1011" t="s">
        <v>856</v>
      </c>
      <c r="AY78" s="1011"/>
      <c r="AZ78" s="1011"/>
      <c r="BA78" s="1011"/>
      <c r="BB78" s="1444" t="s">
        <v>857</v>
      </c>
      <c r="BC78" s="980"/>
      <c r="BD78" s="1402" t="s">
        <v>55</v>
      </c>
      <c r="BF78" s="1306"/>
    </row>
    <row r="79" s="873" customFormat="1" ht="14.1" customHeight="1" spans="2:58">
      <c r="B79" s="1532" t="s">
        <v>858</v>
      </c>
      <c r="C79" s="14" t="s">
        <v>838</v>
      </c>
      <c r="D79" s="973" t="s">
        <v>859</v>
      </c>
      <c r="E79" s="975" t="s">
        <v>860</v>
      </c>
      <c r="F79" s="976" t="s">
        <v>43</v>
      </c>
      <c r="G79" s="977" t="s">
        <v>44</v>
      </c>
      <c r="H79" s="976" t="s">
        <v>757</v>
      </c>
      <c r="I79" s="14" t="s">
        <v>770</v>
      </c>
      <c r="J79" s="976" t="s">
        <v>208</v>
      </c>
      <c r="K79" s="980">
        <v>43046</v>
      </c>
      <c r="L79" s="980">
        <v>43131</v>
      </c>
      <c r="M79" s="980">
        <v>43281</v>
      </c>
      <c r="N79" s="980"/>
      <c r="O79" s="980"/>
      <c r="P79" s="980"/>
      <c r="Q79" s="980"/>
      <c r="R79" s="980"/>
      <c r="S79" s="980"/>
      <c r="T79" s="980"/>
      <c r="U79" s="980"/>
      <c r="V79" s="980"/>
      <c r="W79" s="980"/>
      <c r="X79" s="980"/>
      <c r="Y79" s="980"/>
      <c r="Z79" s="980"/>
      <c r="AA79" s="980"/>
      <c r="AB79" s="980"/>
      <c r="AC79" s="980"/>
      <c r="AD79" s="980"/>
      <c r="AE79" s="980"/>
      <c r="AF79" s="640">
        <f ca="1" t="shared" si="12"/>
        <v>8.61546296296001</v>
      </c>
      <c r="AG79" s="121" t="str">
        <f ca="1" t="shared" si="13"/>
        <v>WARNING</v>
      </c>
      <c r="AH79" s="1431">
        <v>4200000</v>
      </c>
      <c r="AI79" s="1431">
        <v>250000</v>
      </c>
      <c r="AJ79" s="1459">
        <v>20000</v>
      </c>
      <c r="AK79" s="1459"/>
      <c r="AL79" s="1459"/>
      <c r="AM79" s="1001">
        <v>500000</v>
      </c>
      <c r="AN79" s="1459"/>
      <c r="AO79" s="1001">
        <v>300000</v>
      </c>
      <c r="AP79" s="1461"/>
      <c r="AQ79" s="1001" t="s">
        <v>0</v>
      </c>
      <c r="AR79" s="1001" t="s">
        <v>48</v>
      </c>
      <c r="AS79" s="1001" t="s">
        <v>49</v>
      </c>
      <c r="AT79" s="976"/>
      <c r="AU79" s="976" t="s">
        <v>861</v>
      </c>
      <c r="AV79" s="1533" t="s">
        <v>862</v>
      </c>
      <c r="AW79" s="1011" t="s">
        <v>863</v>
      </c>
      <c r="AX79" s="1011" t="s">
        <v>864</v>
      </c>
      <c r="AY79" s="1011"/>
      <c r="AZ79" s="1011"/>
      <c r="BA79" s="1011"/>
      <c r="BB79" s="1444" t="s">
        <v>865</v>
      </c>
      <c r="BC79" s="980"/>
      <c r="BD79" s="1402" t="s">
        <v>55</v>
      </c>
      <c r="BF79" s="1306"/>
    </row>
    <row r="80" s="873" customFormat="1" ht="14.1" customHeight="1" spans="2:58">
      <c r="B80" s="1532" t="s">
        <v>866</v>
      </c>
      <c r="C80" s="14" t="s">
        <v>867</v>
      </c>
      <c r="D80" s="973" t="s">
        <v>868</v>
      </c>
      <c r="E80" s="975" t="s">
        <v>869</v>
      </c>
      <c r="F80" s="976" t="s">
        <v>43</v>
      </c>
      <c r="G80" s="977" t="s">
        <v>44</v>
      </c>
      <c r="H80" s="976" t="s">
        <v>841</v>
      </c>
      <c r="I80" s="14" t="s">
        <v>770</v>
      </c>
      <c r="J80" s="976" t="s">
        <v>185</v>
      </c>
      <c r="K80" s="980">
        <v>43049</v>
      </c>
      <c r="L80" s="980">
        <v>43159</v>
      </c>
      <c r="M80" s="1419">
        <v>43343</v>
      </c>
      <c r="N80" s="980"/>
      <c r="O80" s="980"/>
      <c r="P80" s="980"/>
      <c r="Q80" s="980"/>
      <c r="R80" s="980"/>
      <c r="S80" s="980"/>
      <c r="T80" s="980"/>
      <c r="U80" s="980"/>
      <c r="V80" s="980"/>
      <c r="W80" s="980"/>
      <c r="X80" s="980"/>
      <c r="Y80" s="980"/>
      <c r="Z80" s="980"/>
      <c r="AA80" s="980"/>
      <c r="AB80" s="980"/>
      <c r="AC80" s="980"/>
      <c r="AD80" s="980"/>
      <c r="AE80" s="980"/>
      <c r="AF80" s="640">
        <f ca="1" t="shared" si="12"/>
        <v>70.61546296296</v>
      </c>
      <c r="AG80" s="121" t="str">
        <f ca="1" t="shared" si="13"/>
        <v>ACTIVE</v>
      </c>
      <c r="AH80" s="1431">
        <v>2765000</v>
      </c>
      <c r="AI80" s="1431">
        <v>150000</v>
      </c>
      <c r="AJ80" s="1459">
        <v>17000</v>
      </c>
      <c r="AK80" s="1459"/>
      <c r="AL80" s="1459"/>
      <c r="AM80" s="1001"/>
      <c r="AN80" s="1459"/>
      <c r="AO80" s="1001"/>
      <c r="AP80" s="1461"/>
      <c r="AQ80" s="1001" t="s">
        <v>0</v>
      </c>
      <c r="AR80" s="1001" t="s">
        <v>48</v>
      </c>
      <c r="AS80" s="1001" t="s">
        <v>49</v>
      </c>
      <c r="AT80" s="976"/>
      <c r="AU80" s="976" t="s">
        <v>870</v>
      </c>
      <c r="AV80" s="1533" t="s">
        <v>871</v>
      </c>
      <c r="AW80" s="1011" t="s">
        <v>872</v>
      </c>
      <c r="AX80" s="1011" t="s">
        <v>873</v>
      </c>
      <c r="AY80" s="1011"/>
      <c r="AZ80" s="1011"/>
      <c r="BA80" s="1011" t="s">
        <v>874</v>
      </c>
      <c r="BB80" s="1444" t="s">
        <v>875</v>
      </c>
      <c r="BC80" s="980"/>
      <c r="BD80" s="1402" t="s">
        <v>55</v>
      </c>
      <c r="BF80" s="1306"/>
    </row>
    <row r="81" s="873" customFormat="1" ht="14.1" customHeight="1" spans="2:58">
      <c r="B81" s="1532" t="s">
        <v>876</v>
      </c>
      <c r="C81" s="14" t="s">
        <v>877</v>
      </c>
      <c r="D81" s="973" t="s">
        <v>878</v>
      </c>
      <c r="E81" s="975" t="s">
        <v>879</v>
      </c>
      <c r="F81" s="976" t="s">
        <v>43</v>
      </c>
      <c r="G81" s="977" t="s">
        <v>880</v>
      </c>
      <c r="H81" s="976" t="s">
        <v>665</v>
      </c>
      <c r="I81" s="14" t="s">
        <v>770</v>
      </c>
      <c r="J81" s="976" t="s">
        <v>208</v>
      </c>
      <c r="K81" s="980">
        <v>43059</v>
      </c>
      <c r="L81" s="980">
        <v>43131</v>
      </c>
      <c r="M81" s="980">
        <v>43281</v>
      </c>
      <c r="N81" s="980"/>
      <c r="O81" s="980"/>
      <c r="P81" s="980"/>
      <c r="Q81" s="980"/>
      <c r="R81" s="980"/>
      <c r="S81" s="980"/>
      <c r="T81" s="980"/>
      <c r="U81" s="980"/>
      <c r="V81" s="980"/>
      <c r="W81" s="980"/>
      <c r="X81" s="980"/>
      <c r="Y81" s="980"/>
      <c r="Z81" s="980"/>
      <c r="AA81" s="980"/>
      <c r="AB81" s="980"/>
      <c r="AC81" s="980"/>
      <c r="AD81" s="980"/>
      <c r="AE81" s="980"/>
      <c r="AF81" s="640">
        <f ca="1" t="shared" si="12"/>
        <v>8.61546296296001</v>
      </c>
      <c r="AG81" s="121" t="str">
        <f ca="1" t="shared" si="13"/>
        <v>WARNING</v>
      </c>
      <c r="AH81" s="1431">
        <v>4200000</v>
      </c>
      <c r="AI81" s="1431">
        <v>250000</v>
      </c>
      <c r="AJ81" s="1459">
        <v>20000</v>
      </c>
      <c r="AK81" s="1458">
        <v>30000</v>
      </c>
      <c r="AL81" s="1459"/>
      <c r="AM81" s="1001">
        <v>500000</v>
      </c>
      <c r="AN81" s="1459"/>
      <c r="AO81" s="1001"/>
      <c r="AP81" s="1461"/>
      <c r="AQ81" s="1001" t="s">
        <v>0</v>
      </c>
      <c r="AR81" s="1001" t="s">
        <v>48</v>
      </c>
      <c r="AS81" s="1001" t="s">
        <v>49</v>
      </c>
      <c r="AT81" s="976" t="s">
        <v>881</v>
      </c>
      <c r="AU81" s="976" t="s">
        <v>882</v>
      </c>
      <c r="AV81" s="1533" t="s">
        <v>883</v>
      </c>
      <c r="AW81" s="1011" t="s">
        <v>884</v>
      </c>
      <c r="AX81" s="1011" t="s">
        <v>885</v>
      </c>
      <c r="AY81" s="1533" t="s">
        <v>886</v>
      </c>
      <c r="AZ81" s="1011"/>
      <c r="BA81" s="1011"/>
      <c r="BB81" s="1444" t="s">
        <v>887</v>
      </c>
      <c r="BC81" s="980"/>
      <c r="BD81" s="1402" t="s">
        <v>55</v>
      </c>
      <c r="BF81" s="1306"/>
    </row>
    <row r="82" s="873" customFormat="1" ht="14.1" customHeight="1" spans="2:58">
      <c r="B82" s="1532" t="s">
        <v>888</v>
      </c>
      <c r="C82" s="14" t="s">
        <v>889</v>
      </c>
      <c r="D82" s="973" t="s">
        <v>890</v>
      </c>
      <c r="E82" s="975" t="s">
        <v>891</v>
      </c>
      <c r="F82" s="976" t="s">
        <v>43</v>
      </c>
      <c r="G82" s="977" t="s">
        <v>404</v>
      </c>
      <c r="H82" s="976" t="s">
        <v>841</v>
      </c>
      <c r="I82" s="14" t="s">
        <v>770</v>
      </c>
      <c r="J82" s="976" t="s">
        <v>208</v>
      </c>
      <c r="K82" s="980">
        <v>43040</v>
      </c>
      <c r="L82" s="980">
        <v>43131</v>
      </c>
      <c r="M82" s="980">
        <v>43281</v>
      </c>
      <c r="N82" s="1418" t="s">
        <v>892</v>
      </c>
      <c r="O82" s="980"/>
      <c r="P82" s="980"/>
      <c r="Q82" s="980"/>
      <c r="R82" s="980"/>
      <c r="S82" s="980"/>
      <c r="T82" s="980"/>
      <c r="U82" s="980"/>
      <c r="V82" s="980"/>
      <c r="W82" s="980"/>
      <c r="X82" s="980"/>
      <c r="Y82" s="980"/>
      <c r="Z82" s="980"/>
      <c r="AA82" s="980"/>
      <c r="AB82" s="980"/>
      <c r="AC82" s="980"/>
      <c r="AD82" s="980"/>
      <c r="AE82" s="980"/>
      <c r="AF82" s="640">
        <f ca="1" t="shared" si="12"/>
        <v>8.61546296296001</v>
      </c>
      <c r="AG82" s="121" t="str">
        <f ca="1" t="shared" si="13"/>
        <v>WARNING</v>
      </c>
      <c r="AH82" s="1431">
        <v>3700000</v>
      </c>
      <c r="AI82" s="1431">
        <v>250000</v>
      </c>
      <c r="AJ82" s="1459">
        <v>20000</v>
      </c>
      <c r="AK82" s="1459">
        <v>30000</v>
      </c>
      <c r="AL82" s="1459"/>
      <c r="AM82" s="1429">
        <v>500000</v>
      </c>
      <c r="AN82" s="1459"/>
      <c r="AO82" s="1001"/>
      <c r="AP82" s="1461"/>
      <c r="AQ82" s="1001" t="s">
        <v>0</v>
      </c>
      <c r="AR82" s="1001" t="s">
        <v>48</v>
      </c>
      <c r="AS82" s="1001" t="s">
        <v>49</v>
      </c>
      <c r="AT82" s="976" t="s">
        <v>893</v>
      </c>
      <c r="AU82" s="976" t="s">
        <v>894</v>
      </c>
      <c r="AV82" s="1533" t="s">
        <v>895</v>
      </c>
      <c r="AW82" s="1011" t="s">
        <v>896</v>
      </c>
      <c r="AX82" s="1011" t="s">
        <v>897</v>
      </c>
      <c r="AY82" s="1011"/>
      <c r="AZ82" s="1011"/>
      <c r="BA82" s="1011"/>
      <c r="BB82" s="1444" t="s">
        <v>898</v>
      </c>
      <c r="BC82" s="980"/>
      <c r="BD82" s="1402" t="s">
        <v>55</v>
      </c>
      <c r="BF82" s="1306"/>
    </row>
    <row r="83" s="873" customFormat="1" ht="14.1" customHeight="1" spans="2:58">
      <c r="B83" s="1532" t="s">
        <v>899</v>
      </c>
      <c r="C83" s="14" t="s">
        <v>900</v>
      </c>
      <c r="D83" s="973" t="s">
        <v>901</v>
      </c>
      <c r="E83" s="975" t="s">
        <v>902</v>
      </c>
      <c r="F83" s="976" t="s">
        <v>43</v>
      </c>
      <c r="G83" s="977" t="s">
        <v>44</v>
      </c>
      <c r="H83" s="976" t="s">
        <v>841</v>
      </c>
      <c r="I83" s="14" t="s">
        <v>770</v>
      </c>
      <c r="J83" s="976" t="s">
        <v>185</v>
      </c>
      <c r="K83" s="980">
        <v>43052</v>
      </c>
      <c r="L83" s="980">
        <v>43159</v>
      </c>
      <c r="M83" s="1419">
        <v>43343</v>
      </c>
      <c r="N83" s="980"/>
      <c r="O83" s="980"/>
      <c r="P83" s="980"/>
      <c r="Q83" s="980"/>
      <c r="R83" s="980"/>
      <c r="S83" s="980"/>
      <c r="T83" s="980"/>
      <c r="U83" s="980"/>
      <c r="V83" s="980"/>
      <c r="W83" s="980"/>
      <c r="X83" s="980"/>
      <c r="Y83" s="980"/>
      <c r="Z83" s="980"/>
      <c r="AA83" s="980"/>
      <c r="AB83" s="980"/>
      <c r="AC83" s="980"/>
      <c r="AD83" s="980"/>
      <c r="AE83" s="980"/>
      <c r="AF83" s="640">
        <f ca="1" t="shared" si="12"/>
        <v>70.61546296296</v>
      </c>
      <c r="AG83" s="121" t="str">
        <f ca="1" t="shared" si="13"/>
        <v>ACTIVE</v>
      </c>
      <c r="AH83" s="1431">
        <v>2765000</v>
      </c>
      <c r="AI83" s="1431">
        <v>150000</v>
      </c>
      <c r="AJ83" s="1459">
        <v>17000</v>
      </c>
      <c r="AK83" s="1459"/>
      <c r="AL83" s="1459"/>
      <c r="AM83" s="1001"/>
      <c r="AN83" s="1459"/>
      <c r="AO83" s="1001"/>
      <c r="AP83" s="1461"/>
      <c r="AQ83" s="1001" t="s">
        <v>0</v>
      </c>
      <c r="AR83" s="1001" t="s">
        <v>48</v>
      </c>
      <c r="AS83" s="1001" t="s">
        <v>49</v>
      </c>
      <c r="AT83" s="976"/>
      <c r="AU83" s="976" t="s">
        <v>903</v>
      </c>
      <c r="AV83" s="1533" t="s">
        <v>904</v>
      </c>
      <c r="AW83" s="1011" t="s">
        <v>905</v>
      </c>
      <c r="AX83" s="1011" t="s">
        <v>906</v>
      </c>
      <c r="AY83" s="1011"/>
      <c r="AZ83" s="1011"/>
      <c r="BA83" s="1011"/>
      <c r="BB83" s="1444" t="s">
        <v>907</v>
      </c>
      <c r="BC83" s="980"/>
      <c r="BD83" s="1402" t="s">
        <v>55</v>
      </c>
      <c r="BF83" s="1306"/>
    </row>
    <row r="84" s="873" customFormat="1" ht="14.1" customHeight="1" spans="2:58">
      <c r="B84" s="1532" t="s">
        <v>908</v>
      </c>
      <c r="C84" s="14" t="s">
        <v>909</v>
      </c>
      <c r="D84" s="973" t="s">
        <v>910</v>
      </c>
      <c r="E84" s="975" t="s">
        <v>911</v>
      </c>
      <c r="F84" s="976" t="s">
        <v>43</v>
      </c>
      <c r="G84" s="977" t="s">
        <v>44</v>
      </c>
      <c r="H84" s="976" t="s">
        <v>841</v>
      </c>
      <c r="I84" s="14" t="s">
        <v>770</v>
      </c>
      <c r="J84" s="976" t="s">
        <v>185</v>
      </c>
      <c r="K84" s="980">
        <v>43050</v>
      </c>
      <c r="L84" s="980">
        <v>43159</v>
      </c>
      <c r="M84" s="1419">
        <v>43343</v>
      </c>
      <c r="N84" s="980"/>
      <c r="O84" s="980"/>
      <c r="P84" s="980"/>
      <c r="Q84" s="980"/>
      <c r="R84" s="980"/>
      <c r="S84" s="980"/>
      <c r="T84" s="980"/>
      <c r="U84" s="980"/>
      <c r="V84" s="980"/>
      <c r="W84" s="980"/>
      <c r="X84" s="980"/>
      <c r="Y84" s="980"/>
      <c r="Z84" s="980"/>
      <c r="AA84" s="980"/>
      <c r="AB84" s="980"/>
      <c r="AC84" s="980"/>
      <c r="AD84" s="980"/>
      <c r="AE84" s="980"/>
      <c r="AF84" s="640">
        <f ca="1" t="shared" si="12"/>
        <v>70.61546296296</v>
      </c>
      <c r="AG84" s="121" t="str">
        <f ca="1" t="shared" si="13"/>
        <v>ACTIVE</v>
      </c>
      <c r="AH84" s="1431">
        <v>2765000</v>
      </c>
      <c r="AI84" s="1431">
        <v>150000</v>
      </c>
      <c r="AJ84" s="1459">
        <v>17000</v>
      </c>
      <c r="AK84" s="1459"/>
      <c r="AL84" s="1459"/>
      <c r="AM84" s="1001"/>
      <c r="AN84" s="1459"/>
      <c r="AO84" s="1001"/>
      <c r="AP84" s="1461"/>
      <c r="AQ84" s="1001" t="s">
        <v>0</v>
      </c>
      <c r="AR84" s="1001" t="s">
        <v>48</v>
      </c>
      <c r="AS84" s="1001" t="s">
        <v>49</v>
      </c>
      <c r="AT84" s="976"/>
      <c r="AU84" s="976" t="s">
        <v>912</v>
      </c>
      <c r="AV84" s="1533" t="s">
        <v>913</v>
      </c>
      <c r="AW84" s="1011" t="s">
        <v>914</v>
      </c>
      <c r="AX84" s="1011" t="s">
        <v>915</v>
      </c>
      <c r="AY84" s="1011"/>
      <c r="AZ84" s="1011"/>
      <c r="BA84" s="1011"/>
      <c r="BB84" s="1444"/>
      <c r="BC84" s="980"/>
      <c r="BD84" s="1402" t="s">
        <v>55</v>
      </c>
      <c r="BF84" s="1306"/>
    </row>
    <row r="85" s="873" customFormat="1" ht="14.1" customHeight="1" spans="2:58">
      <c r="B85" s="1532" t="s">
        <v>916</v>
      </c>
      <c r="C85" s="14" t="s">
        <v>917</v>
      </c>
      <c r="D85" s="973" t="s">
        <v>918</v>
      </c>
      <c r="E85" s="975" t="s">
        <v>919</v>
      </c>
      <c r="F85" s="976" t="s">
        <v>43</v>
      </c>
      <c r="G85" s="977" t="s">
        <v>880</v>
      </c>
      <c r="H85" s="976" t="s">
        <v>920</v>
      </c>
      <c r="I85" s="14" t="s">
        <v>770</v>
      </c>
      <c r="J85" s="976" t="s">
        <v>61</v>
      </c>
      <c r="K85" s="980">
        <v>43049</v>
      </c>
      <c r="L85" s="980">
        <v>43159</v>
      </c>
      <c r="M85" s="1419">
        <v>43343</v>
      </c>
      <c r="N85" s="980"/>
      <c r="O85" s="980"/>
      <c r="P85" s="980"/>
      <c r="Q85" s="980"/>
      <c r="R85" s="980"/>
      <c r="S85" s="980"/>
      <c r="T85" s="980"/>
      <c r="U85" s="980"/>
      <c r="V85" s="980"/>
      <c r="W85" s="980"/>
      <c r="X85" s="980"/>
      <c r="Y85" s="980"/>
      <c r="Z85" s="980"/>
      <c r="AA85" s="980"/>
      <c r="AB85" s="980"/>
      <c r="AC85" s="980"/>
      <c r="AD85" s="980"/>
      <c r="AE85" s="980"/>
      <c r="AF85" s="640">
        <f ca="1" t="shared" si="12"/>
        <v>70.61546296296</v>
      </c>
      <c r="AG85" s="121" t="str">
        <f ca="1" t="shared" si="13"/>
        <v>ACTIVE</v>
      </c>
      <c r="AH85" s="1431">
        <v>3000000</v>
      </c>
      <c r="AI85" s="1431">
        <v>200000</v>
      </c>
      <c r="AJ85" s="1459">
        <v>17000</v>
      </c>
      <c r="AK85" s="1459"/>
      <c r="AL85" s="1459"/>
      <c r="AM85" s="1001"/>
      <c r="AN85" s="1459"/>
      <c r="AO85" s="1001"/>
      <c r="AP85" s="1461"/>
      <c r="AQ85" s="1001" t="s">
        <v>0</v>
      </c>
      <c r="AR85" s="1001" t="s">
        <v>48</v>
      </c>
      <c r="AS85" s="1001" t="s">
        <v>49</v>
      </c>
      <c r="AT85" s="976"/>
      <c r="AU85" s="976" t="s">
        <v>921</v>
      </c>
      <c r="AV85" s="1533" t="s">
        <v>922</v>
      </c>
      <c r="AW85" s="1011" t="s">
        <v>923</v>
      </c>
      <c r="AX85" s="1011" t="s">
        <v>924</v>
      </c>
      <c r="AY85" s="1011"/>
      <c r="AZ85" s="1011"/>
      <c r="BA85" s="1011"/>
      <c r="BB85" s="1444" t="s">
        <v>925</v>
      </c>
      <c r="BC85" s="980"/>
      <c r="BD85" s="1402" t="s">
        <v>55</v>
      </c>
      <c r="BF85" s="1306"/>
    </row>
    <row r="86" s="873" customFormat="1" ht="14.1" customHeight="1" spans="2:58">
      <c r="B86" s="1532" t="s">
        <v>926</v>
      </c>
      <c r="C86" s="14" t="s">
        <v>927</v>
      </c>
      <c r="D86" s="973" t="s">
        <v>928</v>
      </c>
      <c r="E86" s="975" t="s">
        <v>929</v>
      </c>
      <c r="F86" s="976" t="s">
        <v>43</v>
      </c>
      <c r="G86" s="977" t="s">
        <v>254</v>
      </c>
      <c r="H86" s="976" t="s">
        <v>361</v>
      </c>
      <c r="I86" s="14" t="s">
        <v>770</v>
      </c>
      <c r="J86" s="1454" t="s">
        <v>930</v>
      </c>
      <c r="K86" s="980">
        <v>43045</v>
      </c>
      <c r="L86" s="980">
        <v>43131</v>
      </c>
      <c r="M86" s="980">
        <v>43281</v>
      </c>
      <c r="N86" s="980"/>
      <c r="O86" s="980"/>
      <c r="P86" s="980"/>
      <c r="Q86" s="980"/>
      <c r="R86" s="980"/>
      <c r="S86" s="980"/>
      <c r="T86" s="980"/>
      <c r="U86" s="980"/>
      <c r="V86" s="980"/>
      <c r="W86" s="980"/>
      <c r="X86" s="980"/>
      <c r="Y86" s="980"/>
      <c r="Z86" s="980"/>
      <c r="AA86" s="980"/>
      <c r="AB86" s="980"/>
      <c r="AC86" s="980"/>
      <c r="AD86" s="980"/>
      <c r="AE86" s="980"/>
      <c r="AF86" s="640">
        <f ca="1" t="shared" si="12"/>
        <v>8.61546296296001</v>
      </c>
      <c r="AG86" s="121" t="str">
        <f ca="1" t="shared" si="13"/>
        <v>WARNING</v>
      </c>
      <c r="AH86" s="1431">
        <v>3000000</v>
      </c>
      <c r="AI86" s="1431">
        <v>200000</v>
      </c>
      <c r="AJ86" s="1459">
        <v>17000</v>
      </c>
      <c r="AK86" s="1460">
        <v>30000</v>
      </c>
      <c r="AL86" s="1459"/>
      <c r="AM86" s="1001"/>
      <c r="AN86" s="1459"/>
      <c r="AO86" s="1001"/>
      <c r="AP86" s="1461"/>
      <c r="AQ86" s="1001" t="s">
        <v>0</v>
      </c>
      <c r="AR86" s="1001" t="s">
        <v>48</v>
      </c>
      <c r="AS86" s="1001" t="s">
        <v>49</v>
      </c>
      <c r="AT86" s="976" t="s">
        <v>931</v>
      </c>
      <c r="AU86" s="976" t="s">
        <v>932</v>
      </c>
      <c r="AV86" s="1533" t="s">
        <v>933</v>
      </c>
      <c r="AW86" s="1011" t="s">
        <v>934</v>
      </c>
      <c r="AX86" s="1011" t="s">
        <v>935</v>
      </c>
      <c r="AY86" s="1011" t="s">
        <v>936</v>
      </c>
      <c r="AZ86" s="1011" t="s">
        <v>937</v>
      </c>
      <c r="BA86" s="1011" t="s">
        <v>938</v>
      </c>
      <c r="BB86" s="1444" t="s">
        <v>939</v>
      </c>
      <c r="BC86" s="980"/>
      <c r="BD86" s="1402" t="s">
        <v>55</v>
      </c>
      <c r="BF86" s="1306"/>
    </row>
    <row r="87" s="873" customFormat="1" ht="14.1" customHeight="1" spans="2:58">
      <c r="B87" s="1532" t="s">
        <v>940</v>
      </c>
      <c r="C87" s="14" t="s">
        <v>941</v>
      </c>
      <c r="D87" s="973" t="s">
        <v>942</v>
      </c>
      <c r="E87" s="975" t="s">
        <v>943</v>
      </c>
      <c r="F87" s="976" t="s">
        <v>43</v>
      </c>
      <c r="G87" s="977" t="s">
        <v>44</v>
      </c>
      <c r="H87" s="976" t="s">
        <v>757</v>
      </c>
      <c r="I87" s="14" t="s">
        <v>770</v>
      </c>
      <c r="J87" s="976" t="s">
        <v>208</v>
      </c>
      <c r="K87" s="980">
        <v>43046</v>
      </c>
      <c r="L87" s="980">
        <v>43131</v>
      </c>
      <c r="M87" s="980">
        <v>43281</v>
      </c>
      <c r="N87" s="980"/>
      <c r="O87" s="980"/>
      <c r="P87" s="980"/>
      <c r="Q87" s="980"/>
      <c r="R87" s="980"/>
      <c r="S87" s="980"/>
      <c r="T87" s="980"/>
      <c r="U87" s="980"/>
      <c r="V87" s="980"/>
      <c r="W87" s="980"/>
      <c r="X87" s="980"/>
      <c r="Y87" s="980"/>
      <c r="Z87" s="980"/>
      <c r="AA87" s="980"/>
      <c r="AB87" s="980"/>
      <c r="AC87" s="980"/>
      <c r="AD87" s="980"/>
      <c r="AE87" s="980"/>
      <c r="AF87" s="640">
        <f ca="1" t="shared" si="12"/>
        <v>8.61546296296001</v>
      </c>
      <c r="AG87" s="121" t="str">
        <f ca="1" t="shared" si="13"/>
        <v>WARNING</v>
      </c>
      <c r="AH87" s="1431">
        <v>4200000</v>
      </c>
      <c r="AI87" s="1431">
        <v>250000</v>
      </c>
      <c r="AJ87" s="1459">
        <v>20000</v>
      </c>
      <c r="AK87" s="1459"/>
      <c r="AL87" s="1459"/>
      <c r="AM87" s="1001">
        <v>500000</v>
      </c>
      <c r="AN87" s="1459"/>
      <c r="AO87" s="1001">
        <v>300000</v>
      </c>
      <c r="AP87" s="1461"/>
      <c r="AQ87" s="1001" t="s">
        <v>0</v>
      </c>
      <c r="AR87" s="1001" t="s">
        <v>48</v>
      </c>
      <c r="AS87" s="1001" t="s">
        <v>49</v>
      </c>
      <c r="AT87" s="976"/>
      <c r="AU87" s="976" t="s">
        <v>944</v>
      </c>
      <c r="AV87" s="1533" t="s">
        <v>945</v>
      </c>
      <c r="AW87" s="1011" t="s">
        <v>946</v>
      </c>
      <c r="AX87" s="1011" t="s">
        <v>947</v>
      </c>
      <c r="AY87" s="1011"/>
      <c r="AZ87" s="1011"/>
      <c r="BA87" s="1011"/>
      <c r="BB87" s="1444" t="s">
        <v>948</v>
      </c>
      <c r="BC87" s="980"/>
      <c r="BD87" s="1402" t="s">
        <v>55</v>
      </c>
      <c r="BF87" s="1306"/>
    </row>
    <row r="88" s="873" customFormat="1" ht="14.1" customHeight="1" spans="2:58">
      <c r="B88" s="1532" t="s">
        <v>949</v>
      </c>
      <c r="C88" s="14" t="s">
        <v>950</v>
      </c>
      <c r="D88" s="973" t="s">
        <v>951</v>
      </c>
      <c r="E88" s="975" t="s">
        <v>952</v>
      </c>
      <c r="F88" s="976" t="s">
        <v>125</v>
      </c>
      <c r="G88" s="977" t="s">
        <v>44</v>
      </c>
      <c r="H88" s="976" t="s">
        <v>757</v>
      </c>
      <c r="I88" s="14" t="s">
        <v>770</v>
      </c>
      <c r="J88" s="976" t="s">
        <v>953</v>
      </c>
      <c r="K88" s="980">
        <v>43066</v>
      </c>
      <c r="L88" s="980">
        <v>43190</v>
      </c>
      <c r="M88" s="1453">
        <v>43373</v>
      </c>
      <c r="N88" s="980"/>
      <c r="O88" s="980"/>
      <c r="P88" s="980"/>
      <c r="Q88" s="980"/>
      <c r="R88" s="980"/>
      <c r="S88" s="980"/>
      <c r="T88" s="980"/>
      <c r="U88" s="980"/>
      <c r="V88" s="980"/>
      <c r="W88" s="980"/>
      <c r="X88" s="980"/>
      <c r="Y88" s="980"/>
      <c r="Z88" s="980"/>
      <c r="AA88" s="980"/>
      <c r="AB88" s="980"/>
      <c r="AC88" s="980"/>
      <c r="AD88" s="980"/>
      <c r="AE88" s="980"/>
      <c r="AF88" s="640">
        <f ca="1" t="shared" si="12"/>
        <v>100.61546296296</v>
      </c>
      <c r="AG88" s="121" t="str">
        <f ca="1" t="shared" si="13"/>
        <v>ACTIVE</v>
      </c>
      <c r="AH88" s="1431">
        <v>3100000</v>
      </c>
      <c r="AI88" s="1431">
        <v>100000</v>
      </c>
      <c r="AJ88" s="1459">
        <v>17000</v>
      </c>
      <c r="AK88" s="1459"/>
      <c r="AL88" s="1459"/>
      <c r="AM88" s="1001">
        <v>500000</v>
      </c>
      <c r="AN88" s="1459"/>
      <c r="AO88" s="1001"/>
      <c r="AP88" s="1461"/>
      <c r="AQ88" s="1001" t="s">
        <v>0</v>
      </c>
      <c r="AR88" s="1001" t="s">
        <v>48</v>
      </c>
      <c r="AS88" s="1001" t="s">
        <v>49</v>
      </c>
      <c r="AT88" s="976"/>
      <c r="AU88" s="976" t="s">
        <v>954</v>
      </c>
      <c r="AV88" s="1533" t="s">
        <v>955</v>
      </c>
      <c r="AW88" s="1011" t="s">
        <v>956</v>
      </c>
      <c r="AX88" s="1011" t="s">
        <v>957</v>
      </c>
      <c r="AY88" s="1011" t="s">
        <v>958</v>
      </c>
      <c r="AZ88" s="1011"/>
      <c r="BA88" s="1011" t="s">
        <v>959</v>
      </c>
      <c r="BB88" s="1444" t="s">
        <v>960</v>
      </c>
      <c r="BC88" s="980"/>
      <c r="BD88" s="1402" t="s">
        <v>729</v>
      </c>
      <c r="BF88" s="1306"/>
    </row>
    <row r="89" s="873" customFormat="1" ht="14.1" customHeight="1" spans="2:58">
      <c r="B89" s="1532" t="s">
        <v>961</v>
      </c>
      <c r="C89" s="14" t="s">
        <v>962</v>
      </c>
      <c r="D89" s="973" t="s">
        <v>963</v>
      </c>
      <c r="E89" s="975" t="s">
        <v>964</v>
      </c>
      <c r="F89" s="976" t="s">
        <v>43</v>
      </c>
      <c r="G89" s="977" t="s">
        <v>254</v>
      </c>
      <c r="H89" s="976" t="s">
        <v>665</v>
      </c>
      <c r="I89" s="14" t="s">
        <v>770</v>
      </c>
      <c r="J89" s="976" t="s">
        <v>61</v>
      </c>
      <c r="K89" s="980">
        <v>43080</v>
      </c>
      <c r="L89" s="980">
        <v>43159</v>
      </c>
      <c r="M89" s="1412">
        <v>43343</v>
      </c>
      <c r="N89" s="980"/>
      <c r="O89" s="980"/>
      <c r="P89" s="980"/>
      <c r="Q89" s="980"/>
      <c r="R89" s="980"/>
      <c r="S89" s="980"/>
      <c r="T89" s="980"/>
      <c r="U89" s="980"/>
      <c r="V89" s="980"/>
      <c r="W89" s="980"/>
      <c r="X89" s="980"/>
      <c r="Y89" s="980"/>
      <c r="Z89" s="980"/>
      <c r="AA89" s="980"/>
      <c r="AB89" s="980"/>
      <c r="AC89" s="980"/>
      <c r="AD89" s="980"/>
      <c r="AE89" s="980"/>
      <c r="AF89" s="640">
        <f ca="1" t="shared" si="12"/>
        <v>70.61546296296</v>
      </c>
      <c r="AG89" s="121" t="str">
        <f ca="1" t="shared" si="13"/>
        <v>ACTIVE</v>
      </c>
      <c r="AH89" s="1431">
        <v>3000000</v>
      </c>
      <c r="AI89" s="1431">
        <v>200000</v>
      </c>
      <c r="AJ89" s="1459">
        <v>17000</v>
      </c>
      <c r="AK89" s="1459"/>
      <c r="AL89" s="1459"/>
      <c r="AM89" s="1001"/>
      <c r="AN89" s="1459"/>
      <c r="AO89" s="1001"/>
      <c r="AP89" s="1461"/>
      <c r="AQ89" s="1001" t="s">
        <v>0</v>
      </c>
      <c r="AR89" s="1001" t="s">
        <v>48</v>
      </c>
      <c r="AS89" s="1001" t="s">
        <v>49</v>
      </c>
      <c r="AT89" s="976"/>
      <c r="AU89" s="976" t="s">
        <v>965</v>
      </c>
      <c r="AV89" s="1533" t="s">
        <v>966</v>
      </c>
      <c r="AW89" s="1011" t="s">
        <v>967</v>
      </c>
      <c r="AX89" s="1011" t="s">
        <v>968</v>
      </c>
      <c r="AY89" s="1011"/>
      <c r="AZ89" s="1011"/>
      <c r="BA89" s="1011"/>
      <c r="BB89" s="1444" t="s">
        <v>969</v>
      </c>
      <c r="BC89" s="980"/>
      <c r="BD89" s="1402" t="s">
        <v>55</v>
      </c>
      <c r="BF89" s="1306"/>
    </row>
    <row r="90" s="873" customFormat="1" ht="14.1" customHeight="1" spans="2:58">
      <c r="B90" s="1532" t="s">
        <v>970</v>
      </c>
      <c r="C90" s="14" t="s">
        <v>971</v>
      </c>
      <c r="D90" s="973" t="s">
        <v>972</v>
      </c>
      <c r="E90" s="975" t="s">
        <v>973</v>
      </c>
      <c r="F90" s="976" t="s">
        <v>43</v>
      </c>
      <c r="G90" s="977" t="s">
        <v>60</v>
      </c>
      <c r="H90" s="976" t="s">
        <v>665</v>
      </c>
      <c r="I90" s="14" t="s">
        <v>770</v>
      </c>
      <c r="J90" s="976" t="s">
        <v>185</v>
      </c>
      <c r="K90" s="980">
        <v>43080</v>
      </c>
      <c r="L90" s="980">
        <v>43159</v>
      </c>
      <c r="M90" s="1419">
        <v>43343</v>
      </c>
      <c r="N90" s="980"/>
      <c r="O90" s="980"/>
      <c r="P90" s="980"/>
      <c r="Q90" s="980"/>
      <c r="R90" s="980"/>
      <c r="S90" s="980"/>
      <c r="T90" s="980"/>
      <c r="U90" s="980"/>
      <c r="V90" s="980"/>
      <c r="W90" s="980"/>
      <c r="X90" s="980"/>
      <c r="Y90" s="980"/>
      <c r="Z90" s="980"/>
      <c r="AA90" s="980"/>
      <c r="AB90" s="980"/>
      <c r="AC90" s="980"/>
      <c r="AD90" s="980"/>
      <c r="AE90" s="980"/>
      <c r="AF90" s="640">
        <f ca="1" t="shared" si="12"/>
        <v>70.61546296296</v>
      </c>
      <c r="AG90" s="121" t="str">
        <f ca="1" t="shared" si="13"/>
        <v>ACTIVE</v>
      </c>
      <c r="AH90" s="1431">
        <v>2765000</v>
      </c>
      <c r="AI90" s="1431">
        <v>150000</v>
      </c>
      <c r="AJ90" s="1459">
        <v>17000</v>
      </c>
      <c r="AK90" s="1459"/>
      <c r="AL90" s="1459"/>
      <c r="AM90" s="1001"/>
      <c r="AN90" s="1459"/>
      <c r="AO90" s="1001"/>
      <c r="AP90" s="1461"/>
      <c r="AQ90" s="1001" t="s">
        <v>0</v>
      </c>
      <c r="AR90" s="1001" t="s">
        <v>48</v>
      </c>
      <c r="AS90" s="1001" t="s">
        <v>49</v>
      </c>
      <c r="AT90" s="976"/>
      <c r="AU90" s="976" t="s">
        <v>974</v>
      </c>
      <c r="AV90" s="1533" t="s">
        <v>975</v>
      </c>
      <c r="AW90" s="1011" t="s">
        <v>976</v>
      </c>
      <c r="AX90" s="1011" t="s">
        <v>977</v>
      </c>
      <c r="AY90" s="1011"/>
      <c r="AZ90" s="1011"/>
      <c r="BA90" s="1011"/>
      <c r="BB90" s="1444" t="s">
        <v>978</v>
      </c>
      <c r="BC90" s="980"/>
      <c r="BD90" s="1402" t="s">
        <v>55</v>
      </c>
      <c r="BF90" s="1306"/>
    </row>
    <row r="91" s="873" customFormat="1" ht="14.1" customHeight="1" spans="2:58">
      <c r="B91" s="1532" t="s">
        <v>979</v>
      </c>
      <c r="C91" s="14" t="s">
        <v>980</v>
      </c>
      <c r="D91" s="973" t="s">
        <v>981</v>
      </c>
      <c r="E91" s="975" t="s">
        <v>982</v>
      </c>
      <c r="F91" s="976" t="s">
        <v>43</v>
      </c>
      <c r="G91" s="977" t="s">
        <v>96</v>
      </c>
      <c r="H91" s="976" t="s">
        <v>665</v>
      </c>
      <c r="I91" s="14" t="s">
        <v>770</v>
      </c>
      <c r="J91" s="976" t="s">
        <v>208</v>
      </c>
      <c r="K91" s="980">
        <v>43080</v>
      </c>
      <c r="L91" s="980">
        <v>43159</v>
      </c>
      <c r="M91" s="1419">
        <v>43343</v>
      </c>
      <c r="N91" s="980"/>
      <c r="O91" s="980"/>
      <c r="P91" s="980"/>
      <c r="Q91" s="980"/>
      <c r="R91" s="980"/>
      <c r="S91" s="980"/>
      <c r="T91" s="980"/>
      <c r="U91" s="980"/>
      <c r="V91" s="980"/>
      <c r="W91" s="980"/>
      <c r="X91" s="980"/>
      <c r="Y91" s="980"/>
      <c r="Z91" s="980"/>
      <c r="AA91" s="980"/>
      <c r="AB91" s="980"/>
      <c r="AC91" s="980"/>
      <c r="AD91" s="980"/>
      <c r="AE91" s="980"/>
      <c r="AF91" s="640">
        <f ca="1" t="shared" si="12"/>
        <v>70.61546296296</v>
      </c>
      <c r="AG91" s="121" t="str">
        <f ca="1" t="shared" si="13"/>
        <v>ACTIVE</v>
      </c>
      <c r="AH91" s="1431">
        <v>4000000</v>
      </c>
      <c r="AI91" s="1431">
        <v>250000</v>
      </c>
      <c r="AJ91" s="1459">
        <v>20000</v>
      </c>
      <c r="AK91" s="1459"/>
      <c r="AL91" s="1459"/>
      <c r="AM91" s="1001">
        <v>500000</v>
      </c>
      <c r="AN91" s="1459"/>
      <c r="AO91" s="1001"/>
      <c r="AP91" s="1461"/>
      <c r="AQ91" s="1001" t="s">
        <v>0</v>
      </c>
      <c r="AR91" s="1001" t="s">
        <v>48</v>
      </c>
      <c r="AS91" s="1001" t="s">
        <v>49</v>
      </c>
      <c r="AT91" s="976"/>
      <c r="AU91" s="976" t="s">
        <v>983</v>
      </c>
      <c r="AV91" s="1533" t="s">
        <v>984</v>
      </c>
      <c r="AW91" s="1011" t="s">
        <v>985</v>
      </c>
      <c r="AX91" s="1011" t="s">
        <v>986</v>
      </c>
      <c r="AY91" s="1011"/>
      <c r="AZ91" s="1011"/>
      <c r="BA91" s="1011"/>
      <c r="BB91" s="1444" t="s">
        <v>987</v>
      </c>
      <c r="BC91" s="1453"/>
      <c r="BD91" s="1402" t="s">
        <v>55</v>
      </c>
      <c r="BF91" s="1306"/>
    </row>
    <row r="92" s="873" customFormat="1" ht="14.1" customHeight="1" spans="2:58">
      <c r="B92" s="1532" t="s">
        <v>988</v>
      </c>
      <c r="C92" s="164" t="s">
        <v>989</v>
      </c>
      <c r="D92" s="164" t="s">
        <v>990</v>
      </c>
      <c r="E92" s="975" t="s">
        <v>991</v>
      </c>
      <c r="F92" s="978" t="s">
        <v>43</v>
      </c>
      <c r="G92" s="978" t="s">
        <v>44</v>
      </c>
      <c r="H92" s="925" t="s">
        <v>361</v>
      </c>
      <c r="I92" s="925" t="s">
        <v>992</v>
      </c>
      <c r="J92" s="925" t="s">
        <v>993</v>
      </c>
      <c r="K92" s="980">
        <v>41988</v>
      </c>
      <c r="L92" s="980">
        <v>42169</v>
      </c>
      <c r="M92" s="981">
        <v>42338</v>
      </c>
      <c r="N92" s="981">
        <v>42369</v>
      </c>
      <c r="O92" s="981">
        <v>42551</v>
      </c>
      <c r="P92" s="981">
        <v>42643</v>
      </c>
      <c r="Q92" s="981">
        <v>42718</v>
      </c>
      <c r="R92" s="980"/>
      <c r="S92" s="980"/>
      <c r="T92" s="980"/>
      <c r="U92" s="980"/>
      <c r="V92" s="981">
        <v>42719</v>
      </c>
      <c r="W92" s="981">
        <v>42825</v>
      </c>
      <c r="X92" s="981">
        <v>42916</v>
      </c>
      <c r="Y92" s="988">
        <v>43083</v>
      </c>
      <c r="Z92" s="980"/>
      <c r="AA92" s="980"/>
      <c r="AB92" s="988">
        <v>43084</v>
      </c>
      <c r="AC92" s="988">
        <v>43099</v>
      </c>
      <c r="AD92" s="988">
        <v>43101</v>
      </c>
      <c r="AE92" s="988">
        <v>43281</v>
      </c>
      <c r="AF92" s="640">
        <f ca="1">SUM(AE92-NOW())</f>
        <v>8.61546296296001</v>
      </c>
      <c r="AG92" s="121" t="str">
        <f ca="1" t="shared" si="13"/>
        <v>WARNING</v>
      </c>
      <c r="AH92" s="1002">
        <v>5500000</v>
      </c>
      <c r="AI92" s="1002">
        <v>750000</v>
      </c>
      <c r="AJ92" s="1002"/>
      <c r="AK92" s="1459"/>
      <c r="AL92" s="1459">
        <v>1000000</v>
      </c>
      <c r="AM92" s="1459">
        <v>500000</v>
      </c>
      <c r="AN92" s="1001">
        <v>0</v>
      </c>
      <c r="AO92" s="1459">
        <v>1250000</v>
      </c>
      <c r="AP92" s="1001"/>
      <c r="AQ92" s="1461" t="s">
        <v>994</v>
      </c>
      <c r="AR92" s="1010" t="s">
        <v>48</v>
      </c>
      <c r="AS92" s="1010" t="s">
        <v>995</v>
      </c>
      <c r="AT92" s="925" t="s">
        <v>996</v>
      </c>
      <c r="AU92" s="285" t="s">
        <v>997</v>
      </c>
      <c r="AV92" s="961" t="s">
        <v>998</v>
      </c>
      <c r="AW92" s="1012" t="s">
        <v>999</v>
      </c>
      <c r="AX92" s="1009" t="s">
        <v>1000</v>
      </c>
      <c r="AY92" s="1009" t="s">
        <v>1001</v>
      </c>
      <c r="AZ92" s="1009" t="s">
        <v>1002</v>
      </c>
      <c r="BA92" s="1009" t="s">
        <v>1003</v>
      </c>
      <c r="BB92" s="961" t="s">
        <v>1004</v>
      </c>
      <c r="BC92" s="164" t="s">
        <v>1005</v>
      </c>
      <c r="BD92" s="1402" t="s">
        <v>55</v>
      </c>
      <c r="BF92" s="1306"/>
    </row>
    <row r="93" s="873" customFormat="1" ht="14.1" customHeight="1" spans="2:58">
      <c r="B93" s="1532" t="s">
        <v>1006</v>
      </c>
      <c r="C93" s="164" t="s">
        <v>1007</v>
      </c>
      <c r="D93" s="164" t="s">
        <v>1008</v>
      </c>
      <c r="E93" s="975" t="s">
        <v>1009</v>
      </c>
      <c r="F93" s="978" t="s">
        <v>43</v>
      </c>
      <c r="G93" s="978" t="s">
        <v>254</v>
      </c>
      <c r="H93" s="925" t="s">
        <v>665</v>
      </c>
      <c r="I93" s="925" t="s">
        <v>428</v>
      </c>
      <c r="J93" s="925" t="s">
        <v>185</v>
      </c>
      <c r="K93" s="980">
        <v>43125</v>
      </c>
      <c r="L93" s="980">
        <v>43220</v>
      </c>
      <c r="M93" s="1453">
        <v>43373</v>
      </c>
      <c r="N93" s="981"/>
      <c r="O93" s="981"/>
      <c r="P93" s="981"/>
      <c r="Q93" s="981"/>
      <c r="R93" s="980"/>
      <c r="S93" s="980"/>
      <c r="T93" s="980"/>
      <c r="U93" s="980"/>
      <c r="V93" s="981"/>
      <c r="W93" s="981"/>
      <c r="X93" s="981"/>
      <c r="Y93" s="988"/>
      <c r="Z93" s="980"/>
      <c r="AA93" s="980"/>
      <c r="AB93" s="988"/>
      <c r="AC93" s="988"/>
      <c r="AD93" s="988"/>
      <c r="AE93" s="988"/>
      <c r="AF93" s="640">
        <f ca="1" t="shared" ref="AF93:AF96" si="14">SUM(M93-NOW())</f>
        <v>100.61546296296</v>
      </c>
      <c r="AG93" s="121" t="str">
        <f ca="1" t="shared" si="13"/>
        <v>ACTIVE</v>
      </c>
      <c r="AH93" s="1002">
        <v>2765000</v>
      </c>
      <c r="AI93" s="1002">
        <v>150000</v>
      </c>
      <c r="AJ93" s="1002">
        <v>17000</v>
      </c>
      <c r="AK93" s="1459"/>
      <c r="AL93" s="1459"/>
      <c r="AM93" s="1459"/>
      <c r="AN93" s="1001"/>
      <c r="AO93" s="1459"/>
      <c r="AP93" s="1001"/>
      <c r="AQ93" s="1001" t="s">
        <v>0</v>
      </c>
      <c r="AR93" s="1001" t="s">
        <v>48</v>
      </c>
      <c r="AS93" s="1001" t="s">
        <v>49</v>
      </c>
      <c r="AT93" s="925"/>
      <c r="AU93" s="285" t="s">
        <v>1010</v>
      </c>
      <c r="AV93" s="1537" t="s">
        <v>1011</v>
      </c>
      <c r="AW93" s="1012" t="s">
        <v>1012</v>
      </c>
      <c r="AX93" s="1538" t="s">
        <v>1013</v>
      </c>
      <c r="AY93" s="1009" t="s">
        <v>1014</v>
      </c>
      <c r="AZ93" s="1009"/>
      <c r="BA93" s="1009"/>
      <c r="BB93" s="127" t="s">
        <v>1015</v>
      </c>
      <c r="BC93" s="164"/>
      <c r="BD93" s="1402" t="s">
        <v>729</v>
      </c>
      <c r="BF93" s="1306"/>
    </row>
    <row r="94" s="873" customFormat="1" ht="14.1" customHeight="1" spans="2:58">
      <c r="B94" s="1532" t="s">
        <v>1016</v>
      </c>
      <c r="C94" s="164" t="s">
        <v>1017</v>
      </c>
      <c r="D94" s="164" t="s">
        <v>1018</v>
      </c>
      <c r="E94" s="975" t="s">
        <v>1019</v>
      </c>
      <c r="F94" s="978" t="s">
        <v>43</v>
      </c>
      <c r="G94" s="978" t="s">
        <v>44</v>
      </c>
      <c r="H94" s="925" t="s">
        <v>757</v>
      </c>
      <c r="I94" s="925" t="s">
        <v>428</v>
      </c>
      <c r="J94" s="925" t="s">
        <v>1020</v>
      </c>
      <c r="K94" s="980">
        <v>43119</v>
      </c>
      <c r="L94" s="980">
        <v>43281</v>
      </c>
      <c r="M94" s="981"/>
      <c r="N94" s="981"/>
      <c r="O94" s="981"/>
      <c r="P94" s="981"/>
      <c r="Q94" s="981"/>
      <c r="R94" s="980"/>
      <c r="S94" s="980"/>
      <c r="T94" s="980"/>
      <c r="U94" s="980"/>
      <c r="V94" s="981"/>
      <c r="W94" s="981"/>
      <c r="X94" s="981"/>
      <c r="Y94" s="988"/>
      <c r="Z94" s="980"/>
      <c r="AA94" s="980"/>
      <c r="AB94" s="988"/>
      <c r="AC94" s="988"/>
      <c r="AD94" s="988"/>
      <c r="AE94" s="988"/>
      <c r="AF94" s="640">
        <f ca="1" t="shared" ref="AF94:AF99" si="15">SUM(L94-NOW())</f>
        <v>8.61546296296001</v>
      </c>
      <c r="AG94" s="121" t="str">
        <f ca="1" t="shared" si="13"/>
        <v>WARNING</v>
      </c>
      <c r="AH94" s="1002">
        <v>3000000</v>
      </c>
      <c r="AI94" s="1002">
        <v>200000</v>
      </c>
      <c r="AJ94" s="1002">
        <v>17000</v>
      </c>
      <c r="AK94" s="1459">
        <v>30000</v>
      </c>
      <c r="AL94" s="1459"/>
      <c r="AM94" s="1459"/>
      <c r="AN94" s="1001"/>
      <c r="AO94" s="1459"/>
      <c r="AP94" s="1001"/>
      <c r="AQ94" s="1001" t="s">
        <v>0</v>
      </c>
      <c r="AR94" s="1001" t="s">
        <v>48</v>
      </c>
      <c r="AS94" s="1001" t="s">
        <v>49</v>
      </c>
      <c r="AT94" s="925"/>
      <c r="AU94" s="285" t="s">
        <v>1021</v>
      </c>
      <c r="AV94" s="1537" t="s">
        <v>1022</v>
      </c>
      <c r="AW94" s="1012" t="s">
        <v>1023</v>
      </c>
      <c r="AX94" s="1538" t="s">
        <v>1024</v>
      </c>
      <c r="AY94" s="1009"/>
      <c r="AZ94" s="1009"/>
      <c r="BA94" s="1009"/>
      <c r="BB94" s="127" t="s">
        <v>1025</v>
      </c>
      <c r="BC94" s="164"/>
      <c r="BD94" s="1402" t="s">
        <v>55</v>
      </c>
      <c r="BF94" s="1306"/>
    </row>
    <row r="95" s="873" customFormat="1" ht="14.1" customHeight="1" spans="2:58">
      <c r="B95" s="1532" t="s">
        <v>1026</v>
      </c>
      <c r="C95" s="164" t="s">
        <v>1027</v>
      </c>
      <c r="D95" s="164" t="s">
        <v>1028</v>
      </c>
      <c r="E95" s="975" t="s">
        <v>1029</v>
      </c>
      <c r="F95" s="978" t="s">
        <v>43</v>
      </c>
      <c r="G95" s="978" t="s">
        <v>60</v>
      </c>
      <c r="H95" s="925" t="s">
        <v>665</v>
      </c>
      <c r="I95" s="925" t="s">
        <v>428</v>
      </c>
      <c r="J95" s="925" t="s">
        <v>185</v>
      </c>
      <c r="K95" s="980">
        <v>43125</v>
      </c>
      <c r="L95" s="980">
        <v>43220</v>
      </c>
      <c r="M95" s="1455">
        <v>43373</v>
      </c>
      <c r="N95" s="981"/>
      <c r="O95" s="981"/>
      <c r="P95" s="981"/>
      <c r="Q95" s="981"/>
      <c r="R95" s="980"/>
      <c r="S95" s="980"/>
      <c r="T95" s="980"/>
      <c r="U95" s="980"/>
      <c r="V95" s="981"/>
      <c r="W95" s="981"/>
      <c r="X95" s="981"/>
      <c r="Y95" s="988"/>
      <c r="Z95" s="980"/>
      <c r="AA95" s="980"/>
      <c r="AB95" s="988"/>
      <c r="AC95" s="988"/>
      <c r="AD95" s="988"/>
      <c r="AE95" s="988"/>
      <c r="AF95" s="640">
        <f ca="1" t="shared" si="14"/>
        <v>100.61546296296</v>
      </c>
      <c r="AG95" s="121" t="str">
        <f ca="1" t="shared" si="13"/>
        <v>ACTIVE</v>
      </c>
      <c r="AH95" s="1002">
        <v>2765000</v>
      </c>
      <c r="AI95" s="1002">
        <v>150000</v>
      </c>
      <c r="AJ95" s="1002">
        <v>17000</v>
      </c>
      <c r="AK95" s="1459"/>
      <c r="AL95" s="1459"/>
      <c r="AM95" s="1459"/>
      <c r="AN95" s="1001"/>
      <c r="AO95" s="1459"/>
      <c r="AP95" s="1001"/>
      <c r="AQ95" s="1001" t="s">
        <v>0</v>
      </c>
      <c r="AR95" s="1001" t="s">
        <v>48</v>
      </c>
      <c r="AS95" s="1001" t="s">
        <v>49</v>
      </c>
      <c r="AT95" s="925"/>
      <c r="AU95" s="285" t="s">
        <v>1030</v>
      </c>
      <c r="AV95" s="1537" t="s">
        <v>1031</v>
      </c>
      <c r="AW95" s="1012" t="s">
        <v>1032</v>
      </c>
      <c r="AX95" s="1538" t="s">
        <v>1033</v>
      </c>
      <c r="AY95" s="1009"/>
      <c r="AZ95" s="1009"/>
      <c r="BA95" s="1009"/>
      <c r="BB95" s="127" t="s">
        <v>1034</v>
      </c>
      <c r="BC95" s="164"/>
      <c r="BD95" s="1402" t="s">
        <v>729</v>
      </c>
      <c r="BF95" s="1306"/>
    </row>
    <row r="96" s="873" customFormat="1" ht="14.1" customHeight="1" spans="2:58">
      <c r="B96" s="1532" t="s">
        <v>1035</v>
      </c>
      <c r="C96" s="164" t="s">
        <v>1036</v>
      </c>
      <c r="D96" s="164" t="s">
        <v>1037</v>
      </c>
      <c r="E96" s="975" t="s">
        <v>1038</v>
      </c>
      <c r="F96" s="978" t="s">
        <v>43</v>
      </c>
      <c r="G96" s="978" t="s">
        <v>44</v>
      </c>
      <c r="H96" s="925" t="s">
        <v>665</v>
      </c>
      <c r="I96" s="925" t="s">
        <v>428</v>
      </c>
      <c r="J96" s="925" t="s">
        <v>185</v>
      </c>
      <c r="K96" s="980">
        <v>43125</v>
      </c>
      <c r="L96" s="980">
        <v>43220</v>
      </c>
      <c r="M96" s="1455">
        <v>43373</v>
      </c>
      <c r="N96" s="981"/>
      <c r="O96" s="981"/>
      <c r="P96" s="981"/>
      <c r="Q96" s="981"/>
      <c r="R96" s="980"/>
      <c r="S96" s="980"/>
      <c r="T96" s="980"/>
      <c r="U96" s="980"/>
      <c r="V96" s="981"/>
      <c r="W96" s="981"/>
      <c r="X96" s="981"/>
      <c r="Y96" s="988"/>
      <c r="Z96" s="980"/>
      <c r="AA96" s="980"/>
      <c r="AB96" s="988"/>
      <c r="AC96" s="988"/>
      <c r="AD96" s="988"/>
      <c r="AE96" s="988"/>
      <c r="AF96" s="640">
        <f ca="1" t="shared" si="14"/>
        <v>100.61546296296</v>
      </c>
      <c r="AG96" s="121" t="str">
        <f ca="1" t="shared" si="13"/>
        <v>ACTIVE</v>
      </c>
      <c r="AH96" s="1002">
        <v>2765000</v>
      </c>
      <c r="AI96" s="1002">
        <v>150000</v>
      </c>
      <c r="AJ96" s="1002">
        <v>17000</v>
      </c>
      <c r="AK96" s="1459"/>
      <c r="AL96" s="1459"/>
      <c r="AM96" s="1459"/>
      <c r="AN96" s="1001"/>
      <c r="AO96" s="1459"/>
      <c r="AP96" s="1001"/>
      <c r="AQ96" s="1001" t="s">
        <v>0</v>
      </c>
      <c r="AR96" s="1001" t="s">
        <v>48</v>
      </c>
      <c r="AS96" s="1001" t="s">
        <v>49</v>
      </c>
      <c r="AT96" s="925"/>
      <c r="AU96" s="285" t="s">
        <v>1039</v>
      </c>
      <c r="AV96" s="1537" t="s">
        <v>1040</v>
      </c>
      <c r="AW96" s="1462" t="s">
        <v>1041</v>
      </c>
      <c r="AX96" s="1538" t="s">
        <v>1042</v>
      </c>
      <c r="AY96" s="1009"/>
      <c r="AZ96" s="1009"/>
      <c r="BA96" s="1009"/>
      <c r="BB96" s="127" t="s">
        <v>1043</v>
      </c>
      <c r="BC96" s="164"/>
      <c r="BD96" s="1402" t="s">
        <v>729</v>
      </c>
      <c r="BF96" s="1306"/>
    </row>
    <row r="97" s="873" customFormat="1" ht="14.1" customHeight="1" spans="2:58">
      <c r="B97" s="1532" t="s">
        <v>1044</v>
      </c>
      <c r="C97" s="164" t="s">
        <v>1045</v>
      </c>
      <c r="D97" s="164" t="s">
        <v>1046</v>
      </c>
      <c r="E97" s="975" t="s">
        <v>1047</v>
      </c>
      <c r="F97" s="978" t="s">
        <v>43</v>
      </c>
      <c r="G97" s="978" t="s">
        <v>44</v>
      </c>
      <c r="H97" s="925" t="s">
        <v>757</v>
      </c>
      <c r="I97" s="925" t="s">
        <v>428</v>
      </c>
      <c r="J97" s="925" t="s">
        <v>185</v>
      </c>
      <c r="K97" s="980">
        <v>43119</v>
      </c>
      <c r="L97" s="980">
        <v>43281</v>
      </c>
      <c r="M97" s="981"/>
      <c r="N97" s="981"/>
      <c r="O97" s="981"/>
      <c r="P97" s="981"/>
      <c r="Q97" s="981"/>
      <c r="R97" s="980"/>
      <c r="S97" s="980"/>
      <c r="T97" s="980"/>
      <c r="U97" s="980"/>
      <c r="V97" s="981"/>
      <c r="W97" s="981"/>
      <c r="X97" s="981"/>
      <c r="Y97" s="988"/>
      <c r="Z97" s="980"/>
      <c r="AA97" s="980"/>
      <c r="AB97" s="988"/>
      <c r="AC97" s="988"/>
      <c r="AD97" s="988"/>
      <c r="AE97" s="988"/>
      <c r="AF97" s="640">
        <f ca="1" t="shared" si="15"/>
        <v>8.61546296296001</v>
      </c>
      <c r="AG97" s="121" t="str">
        <f ca="1" t="shared" si="13"/>
        <v>WARNING</v>
      </c>
      <c r="AH97" s="1002">
        <v>2765000</v>
      </c>
      <c r="AI97" s="1002">
        <v>150000</v>
      </c>
      <c r="AJ97" s="1002">
        <v>17000</v>
      </c>
      <c r="AK97" s="1459">
        <v>30000</v>
      </c>
      <c r="AL97" s="1459"/>
      <c r="AM97" s="1459"/>
      <c r="AN97" s="1001"/>
      <c r="AO97" s="1459"/>
      <c r="AP97" s="1001"/>
      <c r="AQ97" s="1001" t="s">
        <v>0</v>
      </c>
      <c r="AR97" s="1001" t="s">
        <v>48</v>
      </c>
      <c r="AS97" s="1001" t="s">
        <v>49</v>
      </c>
      <c r="AT97" s="925"/>
      <c r="AU97" s="285" t="s">
        <v>1048</v>
      </c>
      <c r="AV97" s="1537" t="s">
        <v>1049</v>
      </c>
      <c r="AW97" s="1012" t="s">
        <v>1050</v>
      </c>
      <c r="AX97" s="1538" t="s">
        <v>1051</v>
      </c>
      <c r="AY97" s="1009"/>
      <c r="AZ97" s="1009"/>
      <c r="BA97" s="1009"/>
      <c r="BB97" s="127" t="s">
        <v>1052</v>
      </c>
      <c r="BC97" s="164"/>
      <c r="BD97" s="1402" t="s">
        <v>55</v>
      </c>
      <c r="BF97" s="1306"/>
    </row>
    <row r="98" s="873" customFormat="1" ht="14.1" customHeight="1" spans="2:58">
      <c r="B98" s="1532" t="s">
        <v>1053</v>
      </c>
      <c r="C98" s="164" t="s">
        <v>1054</v>
      </c>
      <c r="D98" s="164" t="s">
        <v>1055</v>
      </c>
      <c r="E98" s="975" t="s">
        <v>1056</v>
      </c>
      <c r="F98" s="978" t="s">
        <v>43</v>
      </c>
      <c r="G98" s="978" t="s">
        <v>404</v>
      </c>
      <c r="H98" s="925" t="s">
        <v>665</v>
      </c>
      <c r="I98" s="925" t="s">
        <v>428</v>
      </c>
      <c r="J98" s="925" t="s">
        <v>208</v>
      </c>
      <c r="K98" s="980">
        <v>43125</v>
      </c>
      <c r="L98" s="980">
        <v>43220</v>
      </c>
      <c r="M98" s="1455">
        <v>43373</v>
      </c>
      <c r="N98" s="981"/>
      <c r="O98" s="981"/>
      <c r="P98" s="981"/>
      <c r="Q98" s="981"/>
      <c r="R98" s="980"/>
      <c r="S98" s="980"/>
      <c r="T98" s="980"/>
      <c r="U98" s="980"/>
      <c r="V98" s="981"/>
      <c r="W98" s="981"/>
      <c r="X98" s="981"/>
      <c r="Y98" s="988"/>
      <c r="Z98" s="980"/>
      <c r="AA98" s="980"/>
      <c r="AB98" s="988"/>
      <c r="AC98" s="988"/>
      <c r="AD98" s="988"/>
      <c r="AE98" s="988"/>
      <c r="AF98" s="640">
        <f ca="1">SUM(M98-NOW())</f>
        <v>100.61546296296</v>
      </c>
      <c r="AG98" s="121" t="str">
        <f ca="1" t="shared" si="13"/>
        <v>ACTIVE</v>
      </c>
      <c r="AH98" s="1002">
        <v>4200000</v>
      </c>
      <c r="AI98" s="1002">
        <v>250000</v>
      </c>
      <c r="AJ98" s="1002">
        <v>20000</v>
      </c>
      <c r="AK98" s="1459"/>
      <c r="AL98" s="1459"/>
      <c r="AM98" s="1459">
        <v>500000</v>
      </c>
      <c r="AN98" s="1001"/>
      <c r="AO98" s="1459"/>
      <c r="AP98" s="1001"/>
      <c r="AQ98" s="1001" t="s">
        <v>0</v>
      </c>
      <c r="AR98" s="1001" t="s">
        <v>48</v>
      </c>
      <c r="AS98" s="1001" t="s">
        <v>49</v>
      </c>
      <c r="AT98" s="925"/>
      <c r="AU98" s="285" t="s">
        <v>1057</v>
      </c>
      <c r="AV98" s="1537" t="s">
        <v>1058</v>
      </c>
      <c r="AW98" s="1012" t="s">
        <v>1059</v>
      </c>
      <c r="AX98" s="1538" t="s">
        <v>1060</v>
      </c>
      <c r="AY98" s="1009"/>
      <c r="AZ98" s="1009" t="s">
        <v>1061</v>
      </c>
      <c r="BA98" s="1538" t="s">
        <v>1062</v>
      </c>
      <c r="BB98" s="127" t="s">
        <v>1063</v>
      </c>
      <c r="BC98" s="164"/>
      <c r="BD98" s="1402" t="s">
        <v>729</v>
      </c>
      <c r="BF98" s="1306"/>
    </row>
    <row r="99" s="1282" customFormat="1" ht="14.1" customHeight="1" spans="2:58">
      <c r="B99" s="1532" t="s">
        <v>1064</v>
      </c>
      <c r="C99" s="164" t="s">
        <v>1065</v>
      </c>
      <c r="D99" s="164" t="s">
        <v>1066</v>
      </c>
      <c r="E99" s="975" t="s">
        <v>1067</v>
      </c>
      <c r="F99" s="978" t="s">
        <v>43</v>
      </c>
      <c r="G99" s="978" t="s">
        <v>44</v>
      </c>
      <c r="H99" s="925" t="s">
        <v>1068</v>
      </c>
      <c r="I99" s="925" t="s">
        <v>428</v>
      </c>
      <c r="J99" s="925" t="s">
        <v>1069</v>
      </c>
      <c r="K99" s="980">
        <v>43132</v>
      </c>
      <c r="L99" s="980">
        <v>43281</v>
      </c>
      <c r="M99" s="981"/>
      <c r="N99" s="981"/>
      <c r="O99" s="981"/>
      <c r="P99" s="981"/>
      <c r="Q99" s="981"/>
      <c r="R99" s="980"/>
      <c r="S99" s="980"/>
      <c r="T99" s="980"/>
      <c r="U99" s="980"/>
      <c r="V99" s="981"/>
      <c r="W99" s="981"/>
      <c r="X99" s="981"/>
      <c r="Y99" s="988"/>
      <c r="Z99" s="980"/>
      <c r="AA99" s="980"/>
      <c r="AB99" s="988"/>
      <c r="AC99" s="988"/>
      <c r="AD99" s="988"/>
      <c r="AE99" s="988"/>
      <c r="AF99" s="640">
        <f ca="1" t="shared" si="15"/>
        <v>8.61546296296001</v>
      </c>
      <c r="AG99" s="121" t="str">
        <f ca="1" t="shared" si="13"/>
        <v>WARNING</v>
      </c>
      <c r="AH99" s="1002">
        <v>5500000</v>
      </c>
      <c r="AI99" s="1002">
        <v>750000</v>
      </c>
      <c r="AJ99" s="1002"/>
      <c r="AK99" s="1459"/>
      <c r="AL99" s="1459">
        <v>1000000</v>
      </c>
      <c r="AM99" s="1459">
        <v>500000</v>
      </c>
      <c r="AN99" s="1001"/>
      <c r="AO99" s="1459">
        <v>1250000</v>
      </c>
      <c r="AP99" s="1001"/>
      <c r="AQ99" s="1001" t="s">
        <v>0</v>
      </c>
      <c r="AR99" s="1001" t="s">
        <v>48</v>
      </c>
      <c r="AS99" s="1001" t="s">
        <v>49</v>
      </c>
      <c r="AT99" s="925"/>
      <c r="AU99" s="285" t="s">
        <v>1070</v>
      </c>
      <c r="AV99" s="1103" t="s">
        <v>1071</v>
      </c>
      <c r="AW99" s="1103" t="s">
        <v>1072</v>
      </c>
      <c r="AX99" s="1536" t="s">
        <v>1073</v>
      </c>
      <c r="AY99" s="1103" t="s">
        <v>1074</v>
      </c>
      <c r="AZ99" s="1103"/>
      <c r="BA99" s="1536" t="s">
        <v>1075</v>
      </c>
      <c r="BB99" s="1230" t="s">
        <v>1076</v>
      </c>
      <c r="BC99" s="164"/>
      <c r="BD99" s="1402" t="s">
        <v>55</v>
      </c>
      <c r="BF99" s="1308"/>
    </row>
    <row r="100" s="873" customFormat="1" ht="14.1" customHeight="1" spans="2:58">
      <c r="B100" s="1532" t="s">
        <v>1077</v>
      </c>
      <c r="C100" s="164" t="s">
        <v>1078</v>
      </c>
      <c r="D100" s="164" t="s">
        <v>1079</v>
      </c>
      <c r="E100" s="975" t="s">
        <v>1080</v>
      </c>
      <c r="F100" s="978" t="s">
        <v>43</v>
      </c>
      <c r="G100" s="978" t="s">
        <v>404</v>
      </c>
      <c r="H100" s="925" t="s">
        <v>665</v>
      </c>
      <c r="I100" s="925" t="s">
        <v>428</v>
      </c>
      <c r="J100" s="925" t="s">
        <v>185</v>
      </c>
      <c r="K100" s="980">
        <v>43125</v>
      </c>
      <c r="L100" s="980">
        <v>43220</v>
      </c>
      <c r="M100" s="1453">
        <v>43373</v>
      </c>
      <c r="N100" s="981"/>
      <c r="O100" s="981"/>
      <c r="P100" s="981"/>
      <c r="Q100" s="981"/>
      <c r="R100" s="980"/>
      <c r="S100" s="980"/>
      <c r="T100" s="980"/>
      <c r="U100" s="980"/>
      <c r="V100" s="981"/>
      <c r="W100" s="981"/>
      <c r="X100" s="981"/>
      <c r="Y100" s="988"/>
      <c r="Z100" s="980"/>
      <c r="AA100" s="980"/>
      <c r="AB100" s="988"/>
      <c r="AC100" s="988"/>
      <c r="AD100" s="988"/>
      <c r="AE100" s="988"/>
      <c r="AF100" s="640">
        <f ca="1" t="shared" ref="AF100:AF106" si="16">SUM(M100-NOW())</f>
        <v>100.61546296296</v>
      </c>
      <c r="AG100" s="121" t="str">
        <f ca="1" t="shared" si="13"/>
        <v>ACTIVE</v>
      </c>
      <c r="AH100" s="1002">
        <v>2765000</v>
      </c>
      <c r="AI100" s="1002">
        <v>150000</v>
      </c>
      <c r="AJ100" s="1002">
        <v>17000</v>
      </c>
      <c r="AK100" s="1459"/>
      <c r="AL100" s="1459"/>
      <c r="AM100" s="1459"/>
      <c r="AN100" s="1001"/>
      <c r="AO100" s="1459"/>
      <c r="AP100" s="1001"/>
      <c r="AQ100" s="1001" t="s">
        <v>0</v>
      </c>
      <c r="AR100" s="1001" t="s">
        <v>48</v>
      </c>
      <c r="AS100" s="1001" t="s">
        <v>49</v>
      </c>
      <c r="AT100" s="925"/>
      <c r="AU100" s="285" t="s">
        <v>1081</v>
      </c>
      <c r="AV100" s="1537" t="s">
        <v>1082</v>
      </c>
      <c r="AW100" s="1012" t="s">
        <v>1083</v>
      </c>
      <c r="AX100" s="1538" t="s">
        <v>1084</v>
      </c>
      <c r="AY100" s="1009"/>
      <c r="AZ100" s="1009"/>
      <c r="BA100" s="1009"/>
      <c r="BB100" s="127" t="s">
        <v>1085</v>
      </c>
      <c r="BC100" s="164"/>
      <c r="BD100" s="1402" t="s">
        <v>729</v>
      </c>
      <c r="BF100" s="1306"/>
    </row>
    <row r="101" s="873" customFormat="1" ht="14.1" customHeight="1" spans="2:58">
      <c r="B101" s="1532" t="s">
        <v>1086</v>
      </c>
      <c r="C101" s="164" t="s">
        <v>1087</v>
      </c>
      <c r="D101" s="164" t="s">
        <v>1088</v>
      </c>
      <c r="E101" s="975" t="s">
        <v>1089</v>
      </c>
      <c r="F101" s="978" t="s">
        <v>43</v>
      </c>
      <c r="G101" s="978" t="s">
        <v>43</v>
      </c>
      <c r="H101" s="925" t="s">
        <v>1068</v>
      </c>
      <c r="I101" s="925" t="s">
        <v>428</v>
      </c>
      <c r="J101" s="1371" t="s">
        <v>1090</v>
      </c>
      <c r="K101" s="980">
        <v>43126</v>
      </c>
      <c r="L101" s="980">
        <v>43220</v>
      </c>
      <c r="M101" s="1455">
        <v>43373</v>
      </c>
      <c r="N101" s="981"/>
      <c r="O101" s="981"/>
      <c r="P101" s="981"/>
      <c r="Q101" s="981"/>
      <c r="R101" s="980"/>
      <c r="S101" s="980"/>
      <c r="T101" s="980"/>
      <c r="U101" s="980"/>
      <c r="V101" s="981"/>
      <c r="W101" s="981"/>
      <c r="X101" s="981"/>
      <c r="Y101" s="988"/>
      <c r="Z101" s="980"/>
      <c r="AA101" s="980"/>
      <c r="AB101" s="988"/>
      <c r="AC101" s="988"/>
      <c r="AD101" s="988"/>
      <c r="AE101" s="988"/>
      <c r="AF101" s="640">
        <f ca="1" t="shared" si="16"/>
        <v>100.61546296296</v>
      </c>
      <c r="AG101" s="121" t="str">
        <f ca="1" t="shared" si="13"/>
        <v>ACTIVE</v>
      </c>
      <c r="AH101" s="1002">
        <v>3100000</v>
      </c>
      <c r="AI101" s="1002">
        <v>250000</v>
      </c>
      <c r="AJ101" s="1002"/>
      <c r="AK101" s="1458">
        <v>750000</v>
      </c>
      <c r="AL101" s="1459"/>
      <c r="AM101" s="1459"/>
      <c r="AN101" s="1001"/>
      <c r="AO101" s="1459">
        <v>1365000</v>
      </c>
      <c r="AP101" s="1001"/>
      <c r="AQ101" s="1001" t="s">
        <v>0</v>
      </c>
      <c r="AR101" s="1001" t="s">
        <v>48</v>
      </c>
      <c r="AS101" s="1001" t="s">
        <v>49</v>
      </c>
      <c r="AT101" s="1371" t="s">
        <v>1091</v>
      </c>
      <c r="AU101" s="285" t="s">
        <v>1092</v>
      </c>
      <c r="AV101" s="1537" t="s">
        <v>1093</v>
      </c>
      <c r="AW101" s="1012" t="s">
        <v>1094</v>
      </c>
      <c r="AX101" s="1538" t="s">
        <v>1095</v>
      </c>
      <c r="AY101" s="1009"/>
      <c r="AZ101" s="1009"/>
      <c r="BA101" s="1009"/>
      <c r="BB101" s="127" t="s">
        <v>1096</v>
      </c>
      <c r="BC101" s="164"/>
      <c r="BD101" s="1402" t="s">
        <v>729</v>
      </c>
      <c r="BF101" s="1306"/>
    </row>
    <row r="102" s="873" customFormat="1" ht="14.1" customHeight="1" spans="2:58">
      <c r="B102" s="1532" t="s">
        <v>1097</v>
      </c>
      <c r="C102" s="164" t="s">
        <v>1098</v>
      </c>
      <c r="D102" s="164" t="s">
        <v>1099</v>
      </c>
      <c r="E102" s="975" t="s">
        <v>1100</v>
      </c>
      <c r="F102" s="978" t="s">
        <v>43</v>
      </c>
      <c r="G102" s="978" t="s">
        <v>44</v>
      </c>
      <c r="H102" s="925" t="s">
        <v>1068</v>
      </c>
      <c r="I102" s="925" t="s">
        <v>428</v>
      </c>
      <c r="J102" s="925" t="s">
        <v>185</v>
      </c>
      <c r="K102" s="980">
        <v>43126</v>
      </c>
      <c r="L102" s="980">
        <v>43220</v>
      </c>
      <c r="M102" s="1455">
        <v>43373</v>
      </c>
      <c r="N102" s="981"/>
      <c r="O102" s="981"/>
      <c r="P102" s="981"/>
      <c r="Q102" s="981"/>
      <c r="R102" s="980"/>
      <c r="S102" s="980"/>
      <c r="T102" s="980"/>
      <c r="U102" s="980"/>
      <c r="V102" s="981"/>
      <c r="W102" s="981"/>
      <c r="X102" s="981"/>
      <c r="Y102" s="988"/>
      <c r="Z102" s="980"/>
      <c r="AA102" s="980"/>
      <c r="AB102" s="988"/>
      <c r="AC102" s="988"/>
      <c r="AD102" s="988"/>
      <c r="AE102" s="988"/>
      <c r="AF102" s="640">
        <f ca="1" t="shared" si="16"/>
        <v>100.61546296296</v>
      </c>
      <c r="AG102" s="121" t="str">
        <f ca="1" t="shared" si="13"/>
        <v>ACTIVE</v>
      </c>
      <c r="AH102" s="1002">
        <v>2800000</v>
      </c>
      <c r="AI102" s="1002">
        <v>250000</v>
      </c>
      <c r="AJ102" s="1002"/>
      <c r="AK102" s="1459"/>
      <c r="AL102" s="1459"/>
      <c r="AM102" s="1459"/>
      <c r="AN102" s="1001"/>
      <c r="AO102" s="1459">
        <v>715000</v>
      </c>
      <c r="AP102" s="1001"/>
      <c r="AQ102" s="1001" t="s">
        <v>0</v>
      </c>
      <c r="AR102" s="1001" t="s">
        <v>48</v>
      </c>
      <c r="AS102" s="1001" t="s">
        <v>49</v>
      </c>
      <c r="AT102" s="925"/>
      <c r="AU102" s="285" t="s">
        <v>1101</v>
      </c>
      <c r="AV102" s="1537" t="s">
        <v>1102</v>
      </c>
      <c r="AW102" s="1012" t="s">
        <v>1103</v>
      </c>
      <c r="AX102" s="1538" t="s">
        <v>1104</v>
      </c>
      <c r="AY102" s="1009"/>
      <c r="AZ102" s="1009"/>
      <c r="BA102" s="1009"/>
      <c r="BB102" s="127" t="s">
        <v>1105</v>
      </c>
      <c r="BC102" s="164"/>
      <c r="BD102" s="1402" t="s">
        <v>729</v>
      </c>
      <c r="BF102" s="1306"/>
    </row>
    <row r="103" s="873" customFormat="1" ht="14.1" customHeight="1" spans="2:58">
      <c r="B103" s="1532" t="s">
        <v>1106</v>
      </c>
      <c r="C103" s="164" t="s">
        <v>1107</v>
      </c>
      <c r="D103" s="164" t="s">
        <v>1108</v>
      </c>
      <c r="E103" s="975" t="s">
        <v>1109</v>
      </c>
      <c r="F103" s="978" t="s">
        <v>43</v>
      </c>
      <c r="G103" s="978" t="s">
        <v>1110</v>
      </c>
      <c r="H103" s="925" t="s">
        <v>1068</v>
      </c>
      <c r="I103" s="925" t="s">
        <v>428</v>
      </c>
      <c r="J103" s="1371" t="s">
        <v>1111</v>
      </c>
      <c r="K103" s="980">
        <v>43126</v>
      </c>
      <c r="L103" s="980">
        <v>43220</v>
      </c>
      <c r="M103" s="1453">
        <v>43373</v>
      </c>
      <c r="N103" s="981"/>
      <c r="O103" s="981"/>
      <c r="P103" s="981"/>
      <c r="Q103" s="981"/>
      <c r="R103" s="980"/>
      <c r="S103" s="980"/>
      <c r="T103" s="980"/>
      <c r="U103" s="980"/>
      <c r="V103" s="981"/>
      <c r="W103" s="981"/>
      <c r="X103" s="981"/>
      <c r="Y103" s="988"/>
      <c r="Z103" s="980"/>
      <c r="AA103" s="980"/>
      <c r="AB103" s="988"/>
      <c r="AC103" s="988"/>
      <c r="AD103" s="988"/>
      <c r="AE103" s="988"/>
      <c r="AF103" s="640">
        <f ca="1" t="shared" si="16"/>
        <v>100.61546296296</v>
      </c>
      <c r="AG103" s="121" t="str">
        <f ca="1" t="shared" si="13"/>
        <v>ACTIVE</v>
      </c>
      <c r="AH103" s="1002">
        <v>2800000</v>
      </c>
      <c r="AI103" s="1002">
        <v>250000</v>
      </c>
      <c r="AJ103" s="1002"/>
      <c r="AK103" s="1458">
        <v>0</v>
      </c>
      <c r="AL103" s="1459"/>
      <c r="AM103" s="1459"/>
      <c r="AN103" s="1001"/>
      <c r="AO103" s="1458">
        <v>1365000</v>
      </c>
      <c r="AP103" s="1001"/>
      <c r="AQ103" s="1001" t="s">
        <v>0</v>
      </c>
      <c r="AR103" s="1001" t="s">
        <v>48</v>
      </c>
      <c r="AS103" s="1001" t="s">
        <v>49</v>
      </c>
      <c r="AT103" s="1371" t="s">
        <v>1112</v>
      </c>
      <c r="AU103" s="285" t="s">
        <v>1113</v>
      </c>
      <c r="AV103" s="1537" t="s">
        <v>1114</v>
      </c>
      <c r="AW103" s="1012" t="s">
        <v>1115</v>
      </c>
      <c r="AX103" s="1538" t="s">
        <v>1116</v>
      </c>
      <c r="AY103" s="1009" t="s">
        <v>1117</v>
      </c>
      <c r="AZ103" s="1009" t="s">
        <v>1118</v>
      </c>
      <c r="BA103" s="1009"/>
      <c r="BB103" s="127" t="s">
        <v>1119</v>
      </c>
      <c r="BC103" s="164"/>
      <c r="BD103" s="1402" t="s">
        <v>729</v>
      </c>
      <c r="BF103" s="1306"/>
    </row>
    <row r="104" s="873" customFormat="1" ht="14.1" customHeight="1" spans="2:58">
      <c r="B104" s="1532" t="s">
        <v>1120</v>
      </c>
      <c r="C104" s="164" t="s">
        <v>1121</v>
      </c>
      <c r="D104" s="164" t="s">
        <v>1122</v>
      </c>
      <c r="E104" s="975" t="s">
        <v>1123</v>
      </c>
      <c r="F104" s="978" t="s">
        <v>43</v>
      </c>
      <c r="G104" s="978" t="s">
        <v>60</v>
      </c>
      <c r="H104" s="925" t="s">
        <v>1068</v>
      </c>
      <c r="I104" s="925" t="s">
        <v>428</v>
      </c>
      <c r="J104" s="925" t="s">
        <v>185</v>
      </c>
      <c r="K104" s="980">
        <v>43126</v>
      </c>
      <c r="L104" s="980">
        <v>43220</v>
      </c>
      <c r="M104" s="1453">
        <v>43373</v>
      </c>
      <c r="N104" s="981"/>
      <c r="O104" s="981"/>
      <c r="P104" s="981"/>
      <c r="Q104" s="981"/>
      <c r="R104" s="980"/>
      <c r="S104" s="980"/>
      <c r="T104" s="980"/>
      <c r="U104" s="980"/>
      <c r="V104" s="981"/>
      <c r="W104" s="981"/>
      <c r="X104" s="981"/>
      <c r="Y104" s="988"/>
      <c r="Z104" s="980"/>
      <c r="AA104" s="980"/>
      <c r="AB104" s="988"/>
      <c r="AC104" s="988"/>
      <c r="AD104" s="988"/>
      <c r="AE104" s="988"/>
      <c r="AF104" s="640">
        <f ca="1" t="shared" si="16"/>
        <v>100.61546296296</v>
      </c>
      <c r="AG104" s="121" t="str">
        <f ca="1" t="shared" si="13"/>
        <v>ACTIVE</v>
      </c>
      <c r="AH104" s="1002">
        <v>2800000</v>
      </c>
      <c r="AI104" s="1002">
        <v>250000</v>
      </c>
      <c r="AJ104" s="1002"/>
      <c r="AK104" s="1459"/>
      <c r="AL104" s="1459"/>
      <c r="AM104" s="1459"/>
      <c r="AN104" s="1001"/>
      <c r="AO104" s="1459">
        <v>715000</v>
      </c>
      <c r="AP104" s="1001"/>
      <c r="AQ104" s="1001" t="s">
        <v>0</v>
      </c>
      <c r="AR104" s="1001" t="s">
        <v>48</v>
      </c>
      <c r="AS104" s="1001" t="s">
        <v>49</v>
      </c>
      <c r="AT104" s="925"/>
      <c r="AU104" s="285" t="s">
        <v>1124</v>
      </c>
      <c r="AV104" s="1537" t="s">
        <v>1125</v>
      </c>
      <c r="AW104" s="1539" t="s">
        <v>1126</v>
      </c>
      <c r="AX104" s="1538" t="s">
        <v>1127</v>
      </c>
      <c r="AY104" s="1009" t="s">
        <v>1128</v>
      </c>
      <c r="AZ104" s="1009" t="s">
        <v>1129</v>
      </c>
      <c r="BA104" s="1538" t="s">
        <v>1130</v>
      </c>
      <c r="BB104" s="127" t="s">
        <v>1131</v>
      </c>
      <c r="BC104" s="164"/>
      <c r="BD104" s="1402" t="s">
        <v>729</v>
      </c>
      <c r="BF104" s="1306"/>
    </row>
    <row r="105" s="873" customFormat="1" ht="14.1" customHeight="1" spans="2:58">
      <c r="B105" s="1532" t="s">
        <v>1132</v>
      </c>
      <c r="C105" s="164" t="s">
        <v>1133</v>
      </c>
      <c r="D105" s="164" t="s">
        <v>1134</v>
      </c>
      <c r="E105" s="975" t="s">
        <v>1135</v>
      </c>
      <c r="F105" s="978" t="s">
        <v>43</v>
      </c>
      <c r="G105" s="978" t="s">
        <v>44</v>
      </c>
      <c r="H105" s="925" t="s">
        <v>1068</v>
      </c>
      <c r="I105" s="925" t="s">
        <v>428</v>
      </c>
      <c r="J105" s="925" t="s">
        <v>61</v>
      </c>
      <c r="K105" s="980">
        <v>43126</v>
      </c>
      <c r="L105" s="980">
        <v>43220</v>
      </c>
      <c r="M105" s="1455">
        <v>43373</v>
      </c>
      <c r="N105" s="981"/>
      <c r="O105" s="981"/>
      <c r="P105" s="981"/>
      <c r="Q105" s="981"/>
      <c r="R105" s="980"/>
      <c r="S105" s="980"/>
      <c r="T105" s="980"/>
      <c r="U105" s="980"/>
      <c r="V105" s="981"/>
      <c r="W105" s="981"/>
      <c r="X105" s="981"/>
      <c r="Y105" s="988"/>
      <c r="Z105" s="980"/>
      <c r="AA105" s="980"/>
      <c r="AB105" s="988"/>
      <c r="AC105" s="988"/>
      <c r="AD105" s="988"/>
      <c r="AE105" s="988"/>
      <c r="AF105" s="640">
        <f ca="1" t="shared" si="16"/>
        <v>100.61546296296</v>
      </c>
      <c r="AG105" s="121" t="str">
        <f ca="1" t="shared" ref="AG105:AG132" si="17">IF(AF105&lt;=40,"WARNING","ACTIVE")</f>
        <v>ACTIVE</v>
      </c>
      <c r="AH105" s="1002">
        <v>3200000</v>
      </c>
      <c r="AI105" s="1002">
        <v>250000</v>
      </c>
      <c r="AJ105" s="1002"/>
      <c r="AK105" s="1459"/>
      <c r="AL105" s="1459"/>
      <c r="AM105" s="1459"/>
      <c r="AN105" s="1001"/>
      <c r="AO105" s="1459">
        <v>1365000</v>
      </c>
      <c r="AP105" s="1001"/>
      <c r="AQ105" s="1001" t="s">
        <v>0</v>
      </c>
      <c r="AR105" s="1001" t="s">
        <v>48</v>
      </c>
      <c r="AS105" s="1001" t="s">
        <v>49</v>
      </c>
      <c r="AT105" s="925"/>
      <c r="AU105" s="285" t="s">
        <v>1136</v>
      </c>
      <c r="AV105" s="1537" t="s">
        <v>1137</v>
      </c>
      <c r="AW105" s="1012" t="s">
        <v>1138</v>
      </c>
      <c r="AX105" s="1538" t="s">
        <v>1139</v>
      </c>
      <c r="AY105" s="1009" t="s">
        <v>1140</v>
      </c>
      <c r="AZ105" s="1009"/>
      <c r="BA105" s="1009"/>
      <c r="BB105" s="127" t="s">
        <v>1141</v>
      </c>
      <c r="BC105" s="164"/>
      <c r="BD105" s="1402" t="s">
        <v>729</v>
      </c>
      <c r="BF105" s="1306"/>
    </row>
    <row r="106" s="873" customFormat="1" ht="14.1" customHeight="1" spans="2:58">
      <c r="B106" s="1532" t="s">
        <v>1142</v>
      </c>
      <c r="C106" s="164" t="s">
        <v>1143</v>
      </c>
      <c r="D106" s="164" t="s">
        <v>1144</v>
      </c>
      <c r="E106" s="975" t="s">
        <v>1145</v>
      </c>
      <c r="F106" s="978" t="s">
        <v>43</v>
      </c>
      <c r="G106" s="978" t="s">
        <v>60</v>
      </c>
      <c r="H106" s="925" t="s">
        <v>1068</v>
      </c>
      <c r="I106" s="925" t="s">
        <v>428</v>
      </c>
      <c r="J106" s="925" t="s">
        <v>61</v>
      </c>
      <c r="K106" s="980">
        <v>43126</v>
      </c>
      <c r="L106" s="980">
        <v>43220</v>
      </c>
      <c r="M106" s="1455">
        <v>43373</v>
      </c>
      <c r="N106" s="981"/>
      <c r="O106" s="981"/>
      <c r="P106" s="981"/>
      <c r="Q106" s="981"/>
      <c r="R106" s="980"/>
      <c r="S106" s="980"/>
      <c r="T106" s="980"/>
      <c r="U106" s="980"/>
      <c r="V106" s="981"/>
      <c r="W106" s="981"/>
      <c r="X106" s="981"/>
      <c r="Y106" s="988"/>
      <c r="Z106" s="980"/>
      <c r="AA106" s="980"/>
      <c r="AB106" s="988"/>
      <c r="AC106" s="988"/>
      <c r="AD106" s="988"/>
      <c r="AE106" s="988"/>
      <c r="AF106" s="640">
        <f ca="1" t="shared" si="16"/>
        <v>100.61546296296</v>
      </c>
      <c r="AG106" s="121" t="str">
        <f ca="1" t="shared" si="17"/>
        <v>ACTIVE</v>
      </c>
      <c r="AH106" s="1002">
        <v>3100000</v>
      </c>
      <c r="AI106" s="1002">
        <v>250000</v>
      </c>
      <c r="AJ106" s="1002"/>
      <c r="AK106" s="1459"/>
      <c r="AL106" s="1459"/>
      <c r="AM106" s="1459"/>
      <c r="AN106" s="1001"/>
      <c r="AO106" s="1459">
        <v>1365000</v>
      </c>
      <c r="AP106" s="1001"/>
      <c r="AQ106" s="1001" t="s">
        <v>0</v>
      </c>
      <c r="AR106" s="1001" t="s">
        <v>48</v>
      </c>
      <c r="AS106" s="1001" t="s">
        <v>49</v>
      </c>
      <c r="AT106" s="925"/>
      <c r="AU106" s="285" t="s">
        <v>1146</v>
      </c>
      <c r="AV106" s="1537" t="s">
        <v>1147</v>
      </c>
      <c r="AW106" s="1012" t="s">
        <v>1148</v>
      </c>
      <c r="AX106" s="1538" t="s">
        <v>1149</v>
      </c>
      <c r="AY106" s="1009"/>
      <c r="AZ106" s="1009"/>
      <c r="BA106" s="1538" t="s">
        <v>1150</v>
      </c>
      <c r="BB106" s="127" t="s">
        <v>1151</v>
      </c>
      <c r="BC106" s="164"/>
      <c r="BD106" s="1402" t="s">
        <v>729</v>
      </c>
      <c r="BF106" s="1306"/>
    </row>
    <row r="107" s="873" customFormat="1" ht="14.1" customHeight="1" spans="2:58">
      <c r="B107" s="1532" t="s">
        <v>1152</v>
      </c>
      <c r="C107" s="164" t="s">
        <v>1153</v>
      </c>
      <c r="D107" s="164" t="s">
        <v>1154</v>
      </c>
      <c r="E107" s="975" t="s">
        <v>1155</v>
      </c>
      <c r="F107" s="978" t="s">
        <v>43</v>
      </c>
      <c r="G107" s="978" t="s">
        <v>44</v>
      </c>
      <c r="H107" s="925" t="s">
        <v>1068</v>
      </c>
      <c r="I107" s="925" t="s">
        <v>428</v>
      </c>
      <c r="J107" s="925" t="s">
        <v>208</v>
      </c>
      <c r="K107" s="980">
        <v>43132</v>
      </c>
      <c r="L107" s="980">
        <v>43281</v>
      </c>
      <c r="M107" s="981"/>
      <c r="N107" s="981"/>
      <c r="O107" s="981"/>
      <c r="P107" s="981"/>
      <c r="Q107" s="981"/>
      <c r="R107" s="980"/>
      <c r="S107" s="980"/>
      <c r="T107" s="980"/>
      <c r="U107" s="980"/>
      <c r="V107" s="981"/>
      <c r="W107" s="981"/>
      <c r="X107" s="981"/>
      <c r="Y107" s="988"/>
      <c r="Z107" s="980"/>
      <c r="AA107" s="980"/>
      <c r="AB107" s="988"/>
      <c r="AC107" s="988"/>
      <c r="AD107" s="988"/>
      <c r="AE107" s="988"/>
      <c r="AF107" s="640">
        <f ca="1">SUM(L107-NOW())</f>
        <v>8.61546296296001</v>
      </c>
      <c r="AG107" s="121" t="str">
        <f ca="1" t="shared" si="17"/>
        <v>WARNING</v>
      </c>
      <c r="AH107" s="1002">
        <v>3700000</v>
      </c>
      <c r="AI107" s="1002">
        <v>400000</v>
      </c>
      <c r="AJ107" s="1002"/>
      <c r="AK107" s="1459"/>
      <c r="AL107" s="1459"/>
      <c r="AM107" s="1459">
        <v>500000</v>
      </c>
      <c r="AN107" s="1001"/>
      <c r="AO107" s="1459">
        <v>1560000</v>
      </c>
      <c r="AP107" s="1001"/>
      <c r="AQ107" s="1001" t="s">
        <v>0</v>
      </c>
      <c r="AR107" s="1001" t="s">
        <v>48</v>
      </c>
      <c r="AS107" s="1001" t="s">
        <v>49</v>
      </c>
      <c r="AT107" s="925"/>
      <c r="AU107" s="285" t="s">
        <v>1156</v>
      </c>
      <c r="AV107" s="1537" t="s">
        <v>1157</v>
      </c>
      <c r="AW107" s="1012" t="s">
        <v>1158</v>
      </c>
      <c r="AX107" s="1538" t="s">
        <v>1159</v>
      </c>
      <c r="AY107" s="1009" t="s">
        <v>1160</v>
      </c>
      <c r="AZ107" s="1009" t="s">
        <v>1161</v>
      </c>
      <c r="BA107" s="1009"/>
      <c r="BB107" s="127" t="s">
        <v>1162</v>
      </c>
      <c r="BC107" s="164"/>
      <c r="BD107" s="1402" t="s">
        <v>55</v>
      </c>
      <c r="BF107" s="1306"/>
    </row>
    <row r="108" s="873" customFormat="1" ht="14.1" customHeight="1" spans="2:58">
      <c r="B108" s="1532" t="s">
        <v>1163</v>
      </c>
      <c r="C108" s="164" t="s">
        <v>1164</v>
      </c>
      <c r="D108" s="164" t="s">
        <v>1165</v>
      </c>
      <c r="E108" s="975" t="s">
        <v>1166</v>
      </c>
      <c r="F108" s="978" t="s">
        <v>43</v>
      </c>
      <c r="G108" s="978" t="s">
        <v>254</v>
      </c>
      <c r="H108" s="925" t="s">
        <v>1068</v>
      </c>
      <c r="I108" s="925" t="s">
        <v>428</v>
      </c>
      <c r="J108" s="1371" t="s">
        <v>1111</v>
      </c>
      <c r="K108" s="980">
        <v>43126</v>
      </c>
      <c r="L108" s="980">
        <v>43220</v>
      </c>
      <c r="M108" s="1455">
        <v>43373</v>
      </c>
      <c r="N108" s="981"/>
      <c r="O108" s="981"/>
      <c r="P108" s="981"/>
      <c r="Q108" s="981"/>
      <c r="R108" s="980"/>
      <c r="S108" s="980"/>
      <c r="T108" s="980"/>
      <c r="U108" s="980"/>
      <c r="V108" s="981"/>
      <c r="W108" s="981"/>
      <c r="X108" s="981"/>
      <c r="Y108" s="988"/>
      <c r="Z108" s="980"/>
      <c r="AA108" s="980"/>
      <c r="AB108" s="988"/>
      <c r="AC108" s="988"/>
      <c r="AD108" s="988"/>
      <c r="AE108" s="988"/>
      <c r="AF108" s="640">
        <f ca="1">SUM(M108-NOW())</f>
        <v>100.61546296296</v>
      </c>
      <c r="AG108" s="121" t="str">
        <f ca="1" t="shared" si="17"/>
        <v>ACTIVE</v>
      </c>
      <c r="AH108" s="1002">
        <v>2800000</v>
      </c>
      <c r="AI108" s="1002">
        <v>250000</v>
      </c>
      <c r="AJ108" s="1002"/>
      <c r="AK108" s="1458">
        <v>0</v>
      </c>
      <c r="AL108" s="1459"/>
      <c r="AM108" s="1459"/>
      <c r="AN108" s="1001"/>
      <c r="AO108" s="1458">
        <v>1365000</v>
      </c>
      <c r="AP108" s="1001"/>
      <c r="AQ108" s="1001" t="s">
        <v>0</v>
      </c>
      <c r="AR108" s="1001" t="s">
        <v>48</v>
      </c>
      <c r="AS108" s="1001" t="s">
        <v>49</v>
      </c>
      <c r="AT108" s="1371" t="s">
        <v>1112</v>
      </c>
      <c r="AU108" s="285" t="s">
        <v>1167</v>
      </c>
      <c r="AV108" s="1537" t="s">
        <v>1168</v>
      </c>
      <c r="AW108" s="1012" t="s">
        <v>1169</v>
      </c>
      <c r="AX108" s="1538" t="s">
        <v>1170</v>
      </c>
      <c r="AY108" s="1009"/>
      <c r="AZ108" s="1009"/>
      <c r="BA108" s="1538" t="s">
        <v>1171</v>
      </c>
      <c r="BB108" s="127" t="s">
        <v>1172</v>
      </c>
      <c r="BC108" s="164"/>
      <c r="BD108" s="1402" t="s">
        <v>729</v>
      </c>
      <c r="BF108" s="1306"/>
    </row>
    <row r="109" s="873" customFormat="1" ht="14.1" customHeight="1" spans="2:58">
      <c r="B109" s="1532" t="s">
        <v>1173</v>
      </c>
      <c r="C109" s="164" t="s">
        <v>1174</v>
      </c>
      <c r="D109" s="164" t="s">
        <v>1175</v>
      </c>
      <c r="E109" s="975" t="s">
        <v>1176</v>
      </c>
      <c r="F109" s="978" t="s">
        <v>43</v>
      </c>
      <c r="G109" s="978" t="s">
        <v>60</v>
      </c>
      <c r="H109" s="925" t="s">
        <v>1068</v>
      </c>
      <c r="I109" s="925" t="s">
        <v>428</v>
      </c>
      <c r="J109" s="1371" t="s">
        <v>1177</v>
      </c>
      <c r="K109" s="980">
        <v>43132</v>
      </c>
      <c r="L109" s="980">
        <v>43281</v>
      </c>
      <c r="M109" s="983">
        <v>43373</v>
      </c>
      <c r="N109" s="981"/>
      <c r="O109" s="981"/>
      <c r="P109" s="981"/>
      <c r="Q109" s="981"/>
      <c r="R109" s="980"/>
      <c r="S109" s="980"/>
      <c r="T109" s="980"/>
      <c r="U109" s="980"/>
      <c r="V109" s="981"/>
      <c r="W109" s="981"/>
      <c r="X109" s="981"/>
      <c r="Y109" s="988"/>
      <c r="Z109" s="980"/>
      <c r="AA109" s="980"/>
      <c r="AB109" s="988"/>
      <c r="AC109" s="988"/>
      <c r="AD109" s="988"/>
      <c r="AE109" s="988"/>
      <c r="AF109" s="640">
        <f ca="1" t="shared" ref="AF109:AF114" si="18">SUM(L109-NOW())</f>
        <v>8.61546296296001</v>
      </c>
      <c r="AG109" s="121" t="str">
        <f ca="1" t="shared" si="17"/>
        <v>WARNING</v>
      </c>
      <c r="AH109" s="1365">
        <v>4300000</v>
      </c>
      <c r="AI109" s="1002">
        <v>400000</v>
      </c>
      <c r="AJ109" s="1002"/>
      <c r="AK109" s="1459"/>
      <c r="AL109" s="1458">
        <v>500000</v>
      </c>
      <c r="AM109" s="1459">
        <v>500000</v>
      </c>
      <c r="AN109" s="1001"/>
      <c r="AO109" s="1459">
        <v>1560000</v>
      </c>
      <c r="AP109" s="1001"/>
      <c r="AQ109" s="1001" t="s">
        <v>0</v>
      </c>
      <c r="AR109" s="1001" t="s">
        <v>48</v>
      </c>
      <c r="AS109" s="1001" t="s">
        <v>49</v>
      </c>
      <c r="AT109" s="1371" t="s">
        <v>1178</v>
      </c>
      <c r="AU109" s="285" t="s">
        <v>1179</v>
      </c>
      <c r="AV109" s="1537" t="s">
        <v>1180</v>
      </c>
      <c r="AW109" s="1012" t="s">
        <v>1181</v>
      </c>
      <c r="AX109" s="1538" t="s">
        <v>1182</v>
      </c>
      <c r="AY109" s="1009" t="s">
        <v>1183</v>
      </c>
      <c r="AZ109" s="1009"/>
      <c r="BA109" s="1538" t="s">
        <v>1184</v>
      </c>
      <c r="BB109" s="127" t="s">
        <v>1185</v>
      </c>
      <c r="BC109" s="164"/>
      <c r="BD109" s="1402" t="s">
        <v>55</v>
      </c>
      <c r="BF109" s="1306"/>
    </row>
    <row r="110" s="873" customFormat="1" ht="14.1" customHeight="1" spans="2:58">
      <c r="B110" s="1532" t="s">
        <v>1186</v>
      </c>
      <c r="C110" s="164" t="s">
        <v>1187</v>
      </c>
      <c r="D110" s="164" t="s">
        <v>1188</v>
      </c>
      <c r="E110" s="975">
        <v>31675</v>
      </c>
      <c r="F110" s="978" t="s">
        <v>43</v>
      </c>
      <c r="G110" s="978" t="s">
        <v>254</v>
      </c>
      <c r="H110" s="925" t="s">
        <v>1068</v>
      </c>
      <c r="I110" s="925" t="s">
        <v>428</v>
      </c>
      <c r="J110" s="925" t="s">
        <v>953</v>
      </c>
      <c r="K110" s="980">
        <v>43132</v>
      </c>
      <c r="L110" s="980">
        <v>43281</v>
      </c>
      <c r="M110" s="981"/>
      <c r="N110" s="981"/>
      <c r="O110" s="981"/>
      <c r="P110" s="981"/>
      <c r="Q110" s="981"/>
      <c r="R110" s="980"/>
      <c r="S110" s="980"/>
      <c r="T110" s="980"/>
      <c r="U110" s="980"/>
      <c r="V110" s="981"/>
      <c r="W110" s="981"/>
      <c r="X110" s="981"/>
      <c r="Y110" s="988"/>
      <c r="Z110" s="980"/>
      <c r="AA110" s="980"/>
      <c r="AB110" s="988"/>
      <c r="AC110" s="988"/>
      <c r="AD110" s="988"/>
      <c r="AE110" s="988"/>
      <c r="AF110" s="640">
        <f ca="1" t="shared" si="18"/>
        <v>8.61546296296001</v>
      </c>
      <c r="AG110" s="121" t="str">
        <f ca="1" t="shared" si="17"/>
        <v>WARNING</v>
      </c>
      <c r="AH110" s="1002">
        <v>2700000</v>
      </c>
      <c r="AI110" s="1002">
        <v>250000</v>
      </c>
      <c r="AJ110" s="1002"/>
      <c r="AK110" s="1459"/>
      <c r="AL110" s="1459"/>
      <c r="AM110" s="1459">
        <v>500000</v>
      </c>
      <c r="AN110" s="1001"/>
      <c r="AO110" s="1459">
        <v>715000</v>
      </c>
      <c r="AP110" s="1001"/>
      <c r="AQ110" s="1001" t="s">
        <v>0</v>
      </c>
      <c r="AR110" s="1001" t="s">
        <v>48</v>
      </c>
      <c r="AS110" s="1001" t="s">
        <v>49</v>
      </c>
      <c r="AT110" s="925"/>
      <c r="AU110" s="285" t="s">
        <v>1189</v>
      </c>
      <c r="AV110" s="1537" t="s">
        <v>1190</v>
      </c>
      <c r="AW110" s="1012" t="s">
        <v>1191</v>
      </c>
      <c r="AX110" s="1538" t="s">
        <v>1192</v>
      </c>
      <c r="AY110" s="1009"/>
      <c r="AZ110" s="1009"/>
      <c r="BA110" s="1538" t="s">
        <v>1193</v>
      </c>
      <c r="BB110" s="127" t="s">
        <v>1194</v>
      </c>
      <c r="BC110" s="164"/>
      <c r="BD110" s="1402" t="s">
        <v>55</v>
      </c>
      <c r="BF110" s="1306"/>
    </row>
    <row r="111" s="873" customFormat="1" ht="14.1" customHeight="1" spans="2:58">
      <c r="B111" s="1532" t="s">
        <v>1195</v>
      </c>
      <c r="C111" s="164" t="s">
        <v>1196</v>
      </c>
      <c r="D111" s="164" t="s">
        <v>1197</v>
      </c>
      <c r="E111" s="975" t="s">
        <v>1198</v>
      </c>
      <c r="F111" s="978" t="s">
        <v>43</v>
      </c>
      <c r="G111" s="978" t="s">
        <v>44</v>
      </c>
      <c r="H111" s="925" t="s">
        <v>1068</v>
      </c>
      <c r="I111" s="925" t="s">
        <v>428</v>
      </c>
      <c r="J111" s="925" t="s">
        <v>185</v>
      </c>
      <c r="K111" s="980">
        <v>43132</v>
      </c>
      <c r="L111" s="980">
        <v>43281</v>
      </c>
      <c r="M111" s="981"/>
      <c r="N111" s="981"/>
      <c r="O111" s="981"/>
      <c r="P111" s="981"/>
      <c r="Q111" s="981"/>
      <c r="R111" s="980"/>
      <c r="S111" s="980"/>
      <c r="T111" s="980"/>
      <c r="U111" s="980"/>
      <c r="V111" s="981"/>
      <c r="W111" s="981"/>
      <c r="X111" s="981"/>
      <c r="Y111" s="988"/>
      <c r="Z111" s="980"/>
      <c r="AA111" s="980"/>
      <c r="AB111" s="988"/>
      <c r="AC111" s="988"/>
      <c r="AD111" s="988"/>
      <c r="AE111" s="988"/>
      <c r="AF111" s="640">
        <f ca="1" t="shared" si="18"/>
        <v>8.61546296296001</v>
      </c>
      <c r="AG111" s="121" t="str">
        <f ca="1" t="shared" si="17"/>
        <v>WARNING</v>
      </c>
      <c r="AH111" s="1002">
        <v>2500000</v>
      </c>
      <c r="AI111" s="1002">
        <v>250000</v>
      </c>
      <c r="AJ111" s="1002"/>
      <c r="AK111" s="1459"/>
      <c r="AL111" s="1459"/>
      <c r="AM111" s="1459"/>
      <c r="AN111" s="1001"/>
      <c r="AO111" s="1459">
        <v>715000</v>
      </c>
      <c r="AP111" s="1001"/>
      <c r="AQ111" s="1001" t="s">
        <v>0</v>
      </c>
      <c r="AR111" s="1001" t="s">
        <v>48</v>
      </c>
      <c r="AS111" s="1001" t="s">
        <v>49</v>
      </c>
      <c r="AT111" s="925"/>
      <c r="AU111" s="285" t="s">
        <v>1199</v>
      </c>
      <c r="AV111" s="1537" t="s">
        <v>1200</v>
      </c>
      <c r="AW111" s="1012" t="s">
        <v>1201</v>
      </c>
      <c r="AX111" s="1538" t="s">
        <v>1202</v>
      </c>
      <c r="AY111" s="1009"/>
      <c r="AZ111" s="1009"/>
      <c r="BA111" s="1538" t="s">
        <v>1203</v>
      </c>
      <c r="BB111" s="127" t="s">
        <v>1204</v>
      </c>
      <c r="BC111" s="164"/>
      <c r="BD111" s="1402" t="s">
        <v>55</v>
      </c>
      <c r="BF111" s="1306"/>
    </row>
    <row r="112" s="873" customFormat="1" ht="14.1" customHeight="1" spans="2:58">
      <c r="B112" s="1532" t="s">
        <v>1205</v>
      </c>
      <c r="C112" s="164" t="s">
        <v>1206</v>
      </c>
      <c r="D112" s="164" t="s">
        <v>1207</v>
      </c>
      <c r="E112" s="975" t="s">
        <v>1208</v>
      </c>
      <c r="F112" s="978" t="s">
        <v>43</v>
      </c>
      <c r="G112" s="978" t="s">
        <v>404</v>
      </c>
      <c r="H112" s="925" t="s">
        <v>1068</v>
      </c>
      <c r="I112" s="925" t="s">
        <v>428</v>
      </c>
      <c r="J112" s="1371" t="s">
        <v>1209</v>
      </c>
      <c r="K112" s="980">
        <v>43132</v>
      </c>
      <c r="L112" s="980">
        <v>43281</v>
      </c>
      <c r="M112" s="983">
        <v>43373</v>
      </c>
      <c r="N112" s="981"/>
      <c r="O112" s="981"/>
      <c r="P112" s="981"/>
      <c r="Q112" s="981"/>
      <c r="R112" s="980"/>
      <c r="S112" s="980"/>
      <c r="T112" s="980"/>
      <c r="U112" s="980"/>
      <c r="V112" s="981"/>
      <c r="W112" s="981"/>
      <c r="X112" s="981"/>
      <c r="Y112" s="988"/>
      <c r="Z112" s="980"/>
      <c r="AA112" s="980"/>
      <c r="AB112" s="988"/>
      <c r="AC112" s="988"/>
      <c r="AD112" s="988"/>
      <c r="AE112" s="988"/>
      <c r="AF112" s="640">
        <f ca="1" t="shared" si="18"/>
        <v>8.61546296296001</v>
      </c>
      <c r="AG112" s="121" t="str">
        <f ca="1" t="shared" si="17"/>
        <v>WARNING</v>
      </c>
      <c r="AH112" s="1002">
        <v>2800000</v>
      </c>
      <c r="AI112" s="1365">
        <v>400000</v>
      </c>
      <c r="AJ112" s="1002"/>
      <c r="AK112" s="1459"/>
      <c r="AL112" s="1459"/>
      <c r="AM112" s="1458">
        <v>500000</v>
      </c>
      <c r="AN112" s="1001"/>
      <c r="AO112" s="1458">
        <v>1560000</v>
      </c>
      <c r="AP112" s="1001"/>
      <c r="AQ112" s="1001" t="s">
        <v>0</v>
      </c>
      <c r="AR112" s="1001" t="s">
        <v>48</v>
      </c>
      <c r="AS112" s="1001" t="s">
        <v>49</v>
      </c>
      <c r="AT112" s="1371" t="s">
        <v>1210</v>
      </c>
      <c r="AU112" s="285" t="s">
        <v>1211</v>
      </c>
      <c r="AV112" s="961"/>
      <c r="AW112" s="1012" t="s">
        <v>1212</v>
      </c>
      <c r="AX112" s="1538" t="s">
        <v>1213</v>
      </c>
      <c r="AY112" s="1009"/>
      <c r="AZ112" s="1009"/>
      <c r="BA112" s="1538" t="s">
        <v>1214</v>
      </c>
      <c r="BB112" s="127" t="s">
        <v>1215</v>
      </c>
      <c r="BC112" s="164"/>
      <c r="BD112" s="1402" t="s">
        <v>55</v>
      </c>
      <c r="BF112" s="1306"/>
    </row>
    <row r="113" s="873" customFormat="1" ht="14.1" customHeight="1" spans="2:58">
      <c r="B113" s="1532" t="s">
        <v>1216</v>
      </c>
      <c r="C113" s="164" t="s">
        <v>1217</v>
      </c>
      <c r="D113" s="164" t="s">
        <v>1218</v>
      </c>
      <c r="E113" s="975" t="s">
        <v>1219</v>
      </c>
      <c r="F113" s="978" t="s">
        <v>43</v>
      </c>
      <c r="G113" s="978" t="s">
        <v>44</v>
      </c>
      <c r="H113" s="925" t="s">
        <v>1068</v>
      </c>
      <c r="I113" s="925" t="s">
        <v>428</v>
      </c>
      <c r="J113" s="1371" t="s">
        <v>1220</v>
      </c>
      <c r="K113" s="980">
        <v>43132</v>
      </c>
      <c r="L113" s="980">
        <v>43281</v>
      </c>
      <c r="M113" s="983">
        <v>43373</v>
      </c>
      <c r="N113" s="981"/>
      <c r="O113" s="981"/>
      <c r="P113" s="981"/>
      <c r="Q113" s="981"/>
      <c r="R113" s="980"/>
      <c r="S113" s="980"/>
      <c r="T113" s="980"/>
      <c r="U113" s="980"/>
      <c r="V113" s="981"/>
      <c r="W113" s="981"/>
      <c r="X113" s="981"/>
      <c r="Y113" s="988"/>
      <c r="Z113" s="980"/>
      <c r="AA113" s="980"/>
      <c r="AB113" s="988"/>
      <c r="AC113" s="988"/>
      <c r="AD113" s="988"/>
      <c r="AE113" s="988"/>
      <c r="AF113" s="640">
        <f ca="1" t="shared" si="18"/>
        <v>8.61546296296001</v>
      </c>
      <c r="AG113" s="121" t="str">
        <f ca="1" t="shared" si="17"/>
        <v>WARNING</v>
      </c>
      <c r="AH113" s="1002">
        <v>2500000</v>
      </c>
      <c r="AI113" s="1002">
        <v>250000</v>
      </c>
      <c r="AJ113" s="1002"/>
      <c r="AK113" s="1459"/>
      <c r="AL113" s="1459"/>
      <c r="AM113" s="1459"/>
      <c r="AN113" s="1001"/>
      <c r="AO113" s="1458">
        <v>1365000</v>
      </c>
      <c r="AP113" s="1001"/>
      <c r="AQ113" s="1001" t="s">
        <v>0</v>
      </c>
      <c r="AR113" s="1001" t="s">
        <v>48</v>
      </c>
      <c r="AS113" s="1001" t="s">
        <v>49</v>
      </c>
      <c r="AT113" s="1371" t="s">
        <v>1221</v>
      </c>
      <c r="AU113" s="285" t="s">
        <v>1222</v>
      </c>
      <c r="AV113" s="1537" t="s">
        <v>1223</v>
      </c>
      <c r="AW113" s="1012" t="s">
        <v>1224</v>
      </c>
      <c r="AX113" s="1538" t="s">
        <v>1225</v>
      </c>
      <c r="AY113" s="1009"/>
      <c r="AZ113" s="1009"/>
      <c r="BA113" s="1009"/>
      <c r="BB113" s="127" t="s">
        <v>1226</v>
      </c>
      <c r="BC113" s="164"/>
      <c r="BD113" s="1402" t="s">
        <v>55</v>
      </c>
      <c r="BF113" s="1306"/>
    </row>
    <row r="114" s="873" customFormat="1" ht="14.1" customHeight="1" spans="2:58">
      <c r="B114" s="1532" t="s">
        <v>1227</v>
      </c>
      <c r="C114" s="164" t="s">
        <v>1228</v>
      </c>
      <c r="D114" s="164" t="s">
        <v>1229</v>
      </c>
      <c r="E114" s="975" t="s">
        <v>1230</v>
      </c>
      <c r="F114" s="978" t="s">
        <v>43</v>
      </c>
      <c r="G114" s="978" t="s">
        <v>254</v>
      </c>
      <c r="H114" s="925" t="s">
        <v>1068</v>
      </c>
      <c r="I114" s="925" t="s">
        <v>428</v>
      </c>
      <c r="J114" s="925" t="s">
        <v>185</v>
      </c>
      <c r="K114" s="980">
        <v>43132</v>
      </c>
      <c r="L114" s="980">
        <v>43281</v>
      </c>
      <c r="M114" s="981"/>
      <c r="N114" s="981"/>
      <c r="O114" s="981"/>
      <c r="P114" s="981"/>
      <c r="Q114" s="981"/>
      <c r="R114" s="980"/>
      <c r="S114" s="980"/>
      <c r="T114" s="980"/>
      <c r="U114" s="980"/>
      <c r="V114" s="981"/>
      <c r="W114" s="981"/>
      <c r="X114" s="981"/>
      <c r="Y114" s="988"/>
      <c r="Z114" s="980"/>
      <c r="AA114" s="980"/>
      <c r="AB114" s="988"/>
      <c r="AC114" s="988"/>
      <c r="AD114" s="988"/>
      <c r="AE114" s="988"/>
      <c r="AF114" s="640">
        <f ca="1" t="shared" si="18"/>
        <v>8.61546296296001</v>
      </c>
      <c r="AG114" s="121" t="str">
        <f ca="1" t="shared" si="17"/>
        <v>WARNING</v>
      </c>
      <c r="AH114" s="1002">
        <v>2500000</v>
      </c>
      <c r="AI114" s="1002">
        <v>250000</v>
      </c>
      <c r="AJ114" s="1002"/>
      <c r="AK114" s="1459"/>
      <c r="AL114" s="1459"/>
      <c r="AM114" s="1459"/>
      <c r="AN114" s="1001"/>
      <c r="AO114" s="1459">
        <v>715000</v>
      </c>
      <c r="AP114" s="1001"/>
      <c r="AQ114" s="1001" t="s">
        <v>0</v>
      </c>
      <c r="AR114" s="1001" t="s">
        <v>48</v>
      </c>
      <c r="AS114" s="1001" t="s">
        <v>49</v>
      </c>
      <c r="AT114" s="925"/>
      <c r="AU114" s="285" t="s">
        <v>1231</v>
      </c>
      <c r="AV114" s="1537" t="s">
        <v>1232</v>
      </c>
      <c r="AW114" s="1012" t="s">
        <v>1233</v>
      </c>
      <c r="AX114" s="1538" t="s">
        <v>1234</v>
      </c>
      <c r="AY114" s="1009"/>
      <c r="AZ114" s="1009" t="s">
        <v>1235</v>
      </c>
      <c r="BA114" s="1009"/>
      <c r="BB114" s="127" t="s">
        <v>1236</v>
      </c>
      <c r="BC114" s="164"/>
      <c r="BD114" s="1402" t="s">
        <v>55</v>
      </c>
      <c r="BF114" s="1306"/>
    </row>
    <row r="115" s="873" customFormat="1" ht="14.1" customHeight="1" spans="2:58">
      <c r="B115" s="1532" t="s">
        <v>1237</v>
      </c>
      <c r="C115" s="164" t="s">
        <v>1238</v>
      </c>
      <c r="D115" s="164" t="s">
        <v>1239</v>
      </c>
      <c r="E115" s="975" t="s">
        <v>1240</v>
      </c>
      <c r="F115" s="978" t="s">
        <v>43</v>
      </c>
      <c r="G115" s="978" t="s">
        <v>404</v>
      </c>
      <c r="H115" s="925" t="s">
        <v>361</v>
      </c>
      <c r="I115" s="925" t="s">
        <v>428</v>
      </c>
      <c r="J115" s="925" t="s">
        <v>1241</v>
      </c>
      <c r="K115" s="980">
        <v>43130</v>
      </c>
      <c r="L115" s="980">
        <v>43220</v>
      </c>
      <c r="M115" s="1453">
        <v>43373</v>
      </c>
      <c r="N115" s="981"/>
      <c r="O115" s="981"/>
      <c r="P115" s="981"/>
      <c r="Q115" s="981"/>
      <c r="R115" s="980"/>
      <c r="S115" s="980"/>
      <c r="T115" s="980"/>
      <c r="U115" s="980"/>
      <c r="V115" s="981"/>
      <c r="W115" s="981"/>
      <c r="X115" s="981"/>
      <c r="Y115" s="988"/>
      <c r="Z115" s="980"/>
      <c r="AA115" s="980"/>
      <c r="AB115" s="988"/>
      <c r="AC115" s="988"/>
      <c r="AD115" s="988"/>
      <c r="AE115" s="988"/>
      <c r="AF115" s="640">
        <f ca="1" t="shared" ref="AF115:AF120" si="19">SUM(M115-NOW())</f>
        <v>100.61546296296</v>
      </c>
      <c r="AG115" s="121" t="str">
        <f ca="1" t="shared" si="17"/>
        <v>ACTIVE</v>
      </c>
      <c r="AH115" s="1002">
        <v>4500000</v>
      </c>
      <c r="AI115" s="1002">
        <v>400000</v>
      </c>
      <c r="AJ115" s="1002">
        <v>20000</v>
      </c>
      <c r="AK115" s="1459"/>
      <c r="AL115" s="1459"/>
      <c r="AM115" s="1459">
        <v>500000</v>
      </c>
      <c r="AN115" s="1001"/>
      <c r="AO115" s="1459"/>
      <c r="AP115" s="1001"/>
      <c r="AQ115" s="1001" t="s">
        <v>0</v>
      </c>
      <c r="AR115" s="1001" t="s">
        <v>48</v>
      </c>
      <c r="AS115" s="1001" t="s">
        <v>49</v>
      </c>
      <c r="AT115" s="925"/>
      <c r="AU115" s="285" t="s">
        <v>1242</v>
      </c>
      <c r="AV115" s="1537" t="s">
        <v>1243</v>
      </c>
      <c r="AW115" s="1012" t="s">
        <v>1244</v>
      </c>
      <c r="AX115" s="1538" t="s">
        <v>1245</v>
      </c>
      <c r="AY115" s="1009" t="s">
        <v>1246</v>
      </c>
      <c r="AZ115" s="1009"/>
      <c r="BA115" s="1009"/>
      <c r="BB115" s="127" t="s">
        <v>1247</v>
      </c>
      <c r="BC115" s="164"/>
      <c r="BD115" s="1402" t="s">
        <v>729</v>
      </c>
      <c r="BF115" s="1306"/>
    </row>
    <row r="116" s="873" customFormat="1" ht="14.1" customHeight="1" spans="2:58">
      <c r="B116" s="1532" t="s">
        <v>1248</v>
      </c>
      <c r="C116" s="164" t="s">
        <v>1249</v>
      </c>
      <c r="D116" s="164" t="s">
        <v>1250</v>
      </c>
      <c r="E116" s="975" t="s">
        <v>1251</v>
      </c>
      <c r="F116" s="978" t="s">
        <v>43</v>
      </c>
      <c r="G116" s="978" t="s">
        <v>44</v>
      </c>
      <c r="H116" s="925" t="s">
        <v>1068</v>
      </c>
      <c r="I116" s="925" t="s">
        <v>428</v>
      </c>
      <c r="J116" s="925" t="s">
        <v>208</v>
      </c>
      <c r="K116" s="980">
        <v>43137</v>
      </c>
      <c r="L116" s="980">
        <v>43281</v>
      </c>
      <c r="M116" s="981"/>
      <c r="N116" s="981"/>
      <c r="O116" s="981"/>
      <c r="P116" s="981"/>
      <c r="Q116" s="981"/>
      <c r="R116" s="980"/>
      <c r="S116" s="980"/>
      <c r="T116" s="980"/>
      <c r="U116" s="980"/>
      <c r="V116" s="981"/>
      <c r="W116" s="981"/>
      <c r="X116" s="981"/>
      <c r="Y116" s="988"/>
      <c r="Z116" s="980"/>
      <c r="AA116" s="980"/>
      <c r="AB116" s="988"/>
      <c r="AC116" s="988"/>
      <c r="AD116" s="988"/>
      <c r="AE116" s="988"/>
      <c r="AF116" s="640">
        <f ca="1">SUM(L116-NOW())</f>
        <v>8.61546296296001</v>
      </c>
      <c r="AG116" s="121" t="str">
        <f ca="1" t="shared" si="17"/>
        <v>WARNING</v>
      </c>
      <c r="AH116" s="1002">
        <v>4000000</v>
      </c>
      <c r="AI116" s="1002">
        <v>400000</v>
      </c>
      <c r="AJ116" s="1002"/>
      <c r="AK116" s="1459"/>
      <c r="AL116" s="1459"/>
      <c r="AM116" s="1459">
        <v>500000</v>
      </c>
      <c r="AN116" s="1001"/>
      <c r="AO116" s="1459">
        <v>1560000</v>
      </c>
      <c r="AP116" s="1001"/>
      <c r="AQ116" s="1001" t="s">
        <v>0</v>
      </c>
      <c r="AR116" s="1001" t="s">
        <v>48</v>
      </c>
      <c r="AS116" s="1001" t="s">
        <v>49</v>
      </c>
      <c r="AT116" s="925"/>
      <c r="AU116" s="285" t="s">
        <v>1252</v>
      </c>
      <c r="AV116" s="1537" t="s">
        <v>1253</v>
      </c>
      <c r="AW116" s="1012" t="s">
        <v>1254</v>
      </c>
      <c r="AX116" s="1538" t="s">
        <v>1255</v>
      </c>
      <c r="AY116" s="1009"/>
      <c r="AZ116" s="1009"/>
      <c r="BA116" s="1009"/>
      <c r="BB116" s="127" t="s">
        <v>1256</v>
      </c>
      <c r="BC116" s="164"/>
      <c r="BD116" s="1402" t="s">
        <v>55</v>
      </c>
      <c r="BF116" s="1306"/>
    </row>
    <row r="117" s="873" customFormat="1" ht="14.1" customHeight="1" spans="2:58">
      <c r="B117" s="1532" t="s">
        <v>1257</v>
      </c>
      <c r="C117" s="164" t="s">
        <v>1258</v>
      </c>
      <c r="D117" s="164" t="s">
        <v>1259</v>
      </c>
      <c r="E117" s="975" t="s">
        <v>1260</v>
      </c>
      <c r="F117" s="978" t="s">
        <v>43</v>
      </c>
      <c r="G117" s="978" t="s">
        <v>44</v>
      </c>
      <c r="H117" s="925" t="s">
        <v>1068</v>
      </c>
      <c r="I117" s="925" t="s">
        <v>428</v>
      </c>
      <c r="J117" s="925" t="s">
        <v>185</v>
      </c>
      <c r="K117" s="980">
        <v>43137</v>
      </c>
      <c r="L117" s="980">
        <v>43281</v>
      </c>
      <c r="M117" s="981"/>
      <c r="N117" s="981"/>
      <c r="O117" s="981"/>
      <c r="P117" s="981"/>
      <c r="Q117" s="981"/>
      <c r="R117" s="980"/>
      <c r="S117" s="980"/>
      <c r="T117" s="980"/>
      <c r="U117" s="980"/>
      <c r="V117" s="981"/>
      <c r="W117" s="981"/>
      <c r="X117" s="981"/>
      <c r="Y117" s="988"/>
      <c r="Z117" s="980"/>
      <c r="AA117" s="980"/>
      <c r="AB117" s="988"/>
      <c r="AC117" s="988"/>
      <c r="AD117" s="988"/>
      <c r="AE117" s="988"/>
      <c r="AF117" s="640">
        <f ca="1">SUM(L117-NOW())</f>
        <v>8.61546296296001</v>
      </c>
      <c r="AG117" s="121" t="str">
        <f ca="1" t="shared" si="17"/>
        <v>WARNING</v>
      </c>
      <c r="AH117" s="1002">
        <v>2500000</v>
      </c>
      <c r="AI117" s="1002">
        <v>250000</v>
      </c>
      <c r="AJ117" s="1002"/>
      <c r="AK117" s="1459"/>
      <c r="AL117" s="1459"/>
      <c r="AM117" s="1459"/>
      <c r="AN117" s="1001"/>
      <c r="AO117" s="1459">
        <v>715000</v>
      </c>
      <c r="AP117" s="1001"/>
      <c r="AQ117" s="1001" t="s">
        <v>0</v>
      </c>
      <c r="AR117" s="1001" t="s">
        <v>48</v>
      </c>
      <c r="AS117" s="1001" t="s">
        <v>49</v>
      </c>
      <c r="AT117" s="925"/>
      <c r="AU117" s="285" t="s">
        <v>1261</v>
      </c>
      <c r="AV117" s="1537" t="s">
        <v>1262</v>
      </c>
      <c r="AW117" s="1012" t="s">
        <v>1263</v>
      </c>
      <c r="AX117" s="1538" t="s">
        <v>1264</v>
      </c>
      <c r="AY117" s="1009"/>
      <c r="AZ117" s="1009"/>
      <c r="BA117" s="1009"/>
      <c r="BB117" s="127" t="s">
        <v>1256</v>
      </c>
      <c r="BC117" s="164"/>
      <c r="BD117" s="1402" t="s">
        <v>55</v>
      </c>
      <c r="BF117" s="1306"/>
    </row>
    <row r="118" s="873" customFormat="1" ht="14.1" customHeight="1" spans="2:58">
      <c r="B118" s="1532" t="s">
        <v>1265</v>
      </c>
      <c r="C118" s="164" t="s">
        <v>1266</v>
      </c>
      <c r="D118" s="164" t="s">
        <v>1267</v>
      </c>
      <c r="E118" s="975" t="s">
        <v>1268</v>
      </c>
      <c r="F118" s="978" t="s">
        <v>43</v>
      </c>
      <c r="G118" s="978" t="s">
        <v>44</v>
      </c>
      <c r="H118" s="925" t="s">
        <v>1269</v>
      </c>
      <c r="I118" s="925" t="s">
        <v>428</v>
      </c>
      <c r="J118" s="1371" t="s">
        <v>1270</v>
      </c>
      <c r="K118" s="980">
        <v>43136</v>
      </c>
      <c r="L118" s="980">
        <v>43251</v>
      </c>
      <c r="M118" s="1455">
        <v>43373</v>
      </c>
      <c r="N118" s="983" t="s">
        <v>325</v>
      </c>
      <c r="O118" s="981"/>
      <c r="P118" s="981"/>
      <c r="Q118" s="981"/>
      <c r="R118" s="980"/>
      <c r="S118" s="980"/>
      <c r="T118" s="980"/>
      <c r="U118" s="980"/>
      <c r="V118" s="981"/>
      <c r="W118" s="981"/>
      <c r="X118" s="981"/>
      <c r="Y118" s="988"/>
      <c r="Z118" s="980"/>
      <c r="AA118" s="980"/>
      <c r="AB118" s="988"/>
      <c r="AC118" s="988"/>
      <c r="AD118" s="988"/>
      <c r="AE118" s="988"/>
      <c r="AF118" s="640">
        <f ca="1" t="shared" si="19"/>
        <v>100.61546296296</v>
      </c>
      <c r="AG118" s="121" t="str">
        <f ca="1" t="shared" si="17"/>
        <v>ACTIVE</v>
      </c>
      <c r="AH118" s="1002">
        <v>3000000</v>
      </c>
      <c r="AI118" s="1002">
        <v>200000</v>
      </c>
      <c r="AJ118" s="1002">
        <v>17000</v>
      </c>
      <c r="AK118" s="1458">
        <v>30000</v>
      </c>
      <c r="AL118" s="1459"/>
      <c r="AM118" s="1459"/>
      <c r="AN118" s="1001"/>
      <c r="AO118" s="1459"/>
      <c r="AP118" s="1001"/>
      <c r="AQ118" s="1001" t="s">
        <v>0</v>
      </c>
      <c r="AR118" s="1001" t="s">
        <v>48</v>
      </c>
      <c r="AS118" s="1001" t="s">
        <v>49</v>
      </c>
      <c r="AT118" s="1371" t="s">
        <v>1271</v>
      </c>
      <c r="AU118" s="285" t="s">
        <v>1272</v>
      </c>
      <c r="AV118" s="1537" t="s">
        <v>1273</v>
      </c>
      <c r="AW118" s="1012" t="s">
        <v>1274</v>
      </c>
      <c r="AX118" s="1538" t="s">
        <v>1275</v>
      </c>
      <c r="AY118" s="1009"/>
      <c r="AZ118" s="1009"/>
      <c r="BA118" s="1009"/>
      <c r="BB118" s="127" t="s">
        <v>1276</v>
      </c>
      <c r="BC118" s="164"/>
      <c r="BD118" s="1402" t="s">
        <v>729</v>
      </c>
      <c r="BF118" s="1306"/>
    </row>
    <row r="119" s="873" customFormat="1" ht="14.1" customHeight="1" spans="2:58">
      <c r="B119" s="1532" t="s">
        <v>1277</v>
      </c>
      <c r="C119" s="164" t="s">
        <v>1278</v>
      </c>
      <c r="D119" s="164" t="s">
        <v>1279</v>
      </c>
      <c r="E119" s="975" t="s">
        <v>1280</v>
      </c>
      <c r="F119" s="978" t="s">
        <v>43</v>
      </c>
      <c r="G119" s="978" t="s">
        <v>254</v>
      </c>
      <c r="H119" s="925" t="s">
        <v>1269</v>
      </c>
      <c r="I119" s="925" t="s">
        <v>428</v>
      </c>
      <c r="J119" s="925" t="s">
        <v>61</v>
      </c>
      <c r="K119" s="980">
        <v>43136</v>
      </c>
      <c r="L119" s="980">
        <v>43251</v>
      </c>
      <c r="M119" s="1455">
        <v>43373</v>
      </c>
      <c r="N119" s="981"/>
      <c r="O119" s="981"/>
      <c r="P119" s="981"/>
      <c r="Q119" s="981"/>
      <c r="R119" s="980"/>
      <c r="S119" s="980"/>
      <c r="T119" s="980"/>
      <c r="U119" s="980"/>
      <c r="V119" s="981"/>
      <c r="W119" s="981"/>
      <c r="X119" s="981"/>
      <c r="Y119" s="988"/>
      <c r="Z119" s="980"/>
      <c r="AA119" s="980"/>
      <c r="AB119" s="988"/>
      <c r="AC119" s="988"/>
      <c r="AD119" s="988"/>
      <c r="AE119" s="988"/>
      <c r="AF119" s="640">
        <f ca="1" t="shared" si="19"/>
        <v>100.61546296296</v>
      </c>
      <c r="AG119" s="121" t="str">
        <f ca="1" t="shared" si="17"/>
        <v>ACTIVE</v>
      </c>
      <c r="AH119" s="1002">
        <v>3000000</v>
      </c>
      <c r="AI119" s="1002">
        <v>200000</v>
      </c>
      <c r="AJ119" s="1002">
        <v>17000</v>
      </c>
      <c r="AK119" s="1459"/>
      <c r="AL119" s="1459"/>
      <c r="AM119" s="1459"/>
      <c r="AN119" s="1001"/>
      <c r="AO119" s="1459"/>
      <c r="AP119" s="1001"/>
      <c r="AQ119" s="1001" t="s">
        <v>0</v>
      </c>
      <c r="AR119" s="1001" t="s">
        <v>48</v>
      </c>
      <c r="AS119" s="1001" t="s">
        <v>49</v>
      </c>
      <c r="AT119" s="925"/>
      <c r="AU119" s="285" t="s">
        <v>1281</v>
      </c>
      <c r="AV119" s="961"/>
      <c r="AW119" s="1012" t="s">
        <v>1282</v>
      </c>
      <c r="AX119" s="1538" t="s">
        <v>1283</v>
      </c>
      <c r="AY119" s="1009" t="s">
        <v>1284</v>
      </c>
      <c r="AZ119" s="1009" t="s">
        <v>1285</v>
      </c>
      <c r="BA119" s="1538" t="s">
        <v>1286</v>
      </c>
      <c r="BB119" s="127" t="s">
        <v>1287</v>
      </c>
      <c r="BC119" s="164"/>
      <c r="BD119" s="1402" t="s">
        <v>729</v>
      </c>
      <c r="BF119" s="1306"/>
    </row>
    <row r="120" s="873" customFormat="1" ht="14.1" customHeight="1" spans="2:58">
      <c r="B120" s="1532" t="s">
        <v>1288</v>
      </c>
      <c r="C120" s="164" t="s">
        <v>1289</v>
      </c>
      <c r="D120" s="164" t="s">
        <v>1290</v>
      </c>
      <c r="E120" s="975" t="s">
        <v>1291</v>
      </c>
      <c r="F120" s="978" t="s">
        <v>43</v>
      </c>
      <c r="G120" s="978" t="s">
        <v>44</v>
      </c>
      <c r="H120" s="925" t="s">
        <v>920</v>
      </c>
      <c r="I120" s="925" t="s">
        <v>428</v>
      </c>
      <c r="J120" s="925" t="s">
        <v>185</v>
      </c>
      <c r="K120" s="980">
        <v>43139</v>
      </c>
      <c r="L120" s="980">
        <v>43227</v>
      </c>
      <c r="M120" s="1455">
        <v>43373</v>
      </c>
      <c r="N120" s="981"/>
      <c r="O120" s="981"/>
      <c r="P120" s="981"/>
      <c r="Q120" s="981"/>
      <c r="R120" s="980"/>
      <c r="S120" s="980"/>
      <c r="T120" s="980"/>
      <c r="U120" s="980"/>
      <c r="V120" s="981"/>
      <c r="W120" s="981"/>
      <c r="X120" s="981"/>
      <c r="Y120" s="988"/>
      <c r="Z120" s="980"/>
      <c r="AA120" s="980"/>
      <c r="AB120" s="988"/>
      <c r="AC120" s="988"/>
      <c r="AD120" s="988"/>
      <c r="AE120" s="988"/>
      <c r="AF120" s="640">
        <f ca="1" t="shared" si="19"/>
        <v>100.61546296296</v>
      </c>
      <c r="AG120" s="121" t="str">
        <f ca="1" t="shared" si="17"/>
        <v>ACTIVE</v>
      </c>
      <c r="AH120" s="1002">
        <v>2765000</v>
      </c>
      <c r="AI120" s="1002">
        <v>150000</v>
      </c>
      <c r="AJ120" s="1002">
        <v>17000</v>
      </c>
      <c r="AK120" s="1459"/>
      <c r="AL120" s="1459"/>
      <c r="AM120" s="1459"/>
      <c r="AN120" s="1001"/>
      <c r="AO120" s="1459"/>
      <c r="AP120" s="1001"/>
      <c r="AQ120" s="1001" t="s">
        <v>0</v>
      </c>
      <c r="AR120" s="1001" t="s">
        <v>48</v>
      </c>
      <c r="AS120" s="1001" t="s">
        <v>49</v>
      </c>
      <c r="AT120" s="925"/>
      <c r="AU120" s="285" t="s">
        <v>1292</v>
      </c>
      <c r="AV120" s="1537" t="s">
        <v>1293</v>
      </c>
      <c r="AW120" s="1012"/>
      <c r="AX120" s="1538" t="s">
        <v>1294</v>
      </c>
      <c r="AY120" s="1009"/>
      <c r="AZ120" s="1009"/>
      <c r="BA120" s="1009"/>
      <c r="BB120" s="127" t="s">
        <v>1295</v>
      </c>
      <c r="BC120" s="164"/>
      <c r="BD120" s="1402" t="s">
        <v>729</v>
      </c>
      <c r="BF120" s="1306"/>
    </row>
    <row r="121" s="873" customFormat="1" ht="14.1" customHeight="1" spans="2:58">
      <c r="B121" s="1532" t="s">
        <v>1296</v>
      </c>
      <c r="C121" s="164" t="s">
        <v>1297</v>
      </c>
      <c r="D121" s="164" t="s">
        <v>1298</v>
      </c>
      <c r="E121" s="975" t="s">
        <v>1299</v>
      </c>
      <c r="F121" s="978" t="s">
        <v>43</v>
      </c>
      <c r="G121" s="978" t="s">
        <v>254</v>
      </c>
      <c r="H121" s="925" t="s">
        <v>1300</v>
      </c>
      <c r="I121" s="925" t="s">
        <v>428</v>
      </c>
      <c r="J121" s="925" t="s">
        <v>61</v>
      </c>
      <c r="K121" s="980">
        <v>43139</v>
      </c>
      <c r="L121" s="980">
        <v>43281</v>
      </c>
      <c r="M121" s="981"/>
      <c r="N121" s="981"/>
      <c r="O121" s="981"/>
      <c r="P121" s="981"/>
      <c r="Q121" s="981"/>
      <c r="R121" s="980"/>
      <c r="S121" s="980"/>
      <c r="T121" s="980"/>
      <c r="U121" s="980"/>
      <c r="V121" s="981"/>
      <c r="W121" s="981"/>
      <c r="X121" s="981"/>
      <c r="Y121" s="988"/>
      <c r="Z121" s="980"/>
      <c r="AA121" s="980"/>
      <c r="AB121" s="988"/>
      <c r="AC121" s="988"/>
      <c r="AD121" s="988"/>
      <c r="AE121" s="988"/>
      <c r="AF121" s="640">
        <f ca="1" t="shared" ref="AF121:AF126" si="20">SUM(L121-NOW())</f>
        <v>8.61546296296001</v>
      </c>
      <c r="AG121" s="121" t="str">
        <f ca="1" t="shared" si="17"/>
        <v>WARNING</v>
      </c>
      <c r="AH121" s="1002">
        <v>3250000</v>
      </c>
      <c r="AI121" s="1002">
        <v>250000</v>
      </c>
      <c r="AJ121" s="1002"/>
      <c r="AK121" s="1459"/>
      <c r="AL121" s="1459"/>
      <c r="AM121" s="1459"/>
      <c r="AN121" s="1001"/>
      <c r="AO121" s="1459"/>
      <c r="AP121" s="1001"/>
      <c r="AQ121" s="1001" t="s">
        <v>0</v>
      </c>
      <c r="AR121" s="1001" t="s">
        <v>48</v>
      </c>
      <c r="AS121" s="1001" t="s">
        <v>49</v>
      </c>
      <c r="AT121" s="925"/>
      <c r="AU121" s="285" t="s">
        <v>1301</v>
      </c>
      <c r="AV121" s="1537" t="s">
        <v>1302</v>
      </c>
      <c r="AW121" s="1012" t="s">
        <v>1303</v>
      </c>
      <c r="AX121" s="1538" t="s">
        <v>1304</v>
      </c>
      <c r="AY121" s="1009" t="s">
        <v>1305</v>
      </c>
      <c r="AZ121" s="1009"/>
      <c r="BA121" s="1009"/>
      <c r="BB121" s="1464" t="s">
        <v>1306</v>
      </c>
      <c r="BC121" s="164"/>
      <c r="BD121" s="1402" t="s">
        <v>55</v>
      </c>
      <c r="BF121" s="1306"/>
    </row>
    <row r="122" s="873" customFormat="1" ht="14.1" customHeight="1" spans="2:58">
      <c r="B122" s="1532" t="s">
        <v>1307</v>
      </c>
      <c r="C122" s="164" t="s">
        <v>1308</v>
      </c>
      <c r="D122" s="164" t="s">
        <v>1309</v>
      </c>
      <c r="E122" s="975" t="s">
        <v>1310</v>
      </c>
      <c r="F122" s="978" t="s">
        <v>43</v>
      </c>
      <c r="G122" s="978" t="s">
        <v>404</v>
      </c>
      <c r="H122" s="925" t="s">
        <v>1300</v>
      </c>
      <c r="I122" s="925" t="s">
        <v>428</v>
      </c>
      <c r="J122" s="1371" t="s">
        <v>1311</v>
      </c>
      <c r="K122" s="980">
        <v>43139</v>
      </c>
      <c r="L122" s="980">
        <v>43281</v>
      </c>
      <c r="M122" s="983" t="s">
        <v>325</v>
      </c>
      <c r="N122" s="981"/>
      <c r="O122" s="981"/>
      <c r="P122" s="981"/>
      <c r="Q122" s="981"/>
      <c r="R122" s="980"/>
      <c r="S122" s="980"/>
      <c r="T122" s="980"/>
      <c r="U122" s="980"/>
      <c r="V122" s="981"/>
      <c r="W122" s="981"/>
      <c r="X122" s="981"/>
      <c r="Y122" s="988"/>
      <c r="Z122" s="980"/>
      <c r="AA122" s="980"/>
      <c r="AB122" s="988"/>
      <c r="AC122" s="988"/>
      <c r="AD122" s="988"/>
      <c r="AE122" s="988"/>
      <c r="AF122" s="640">
        <f ca="1" t="shared" si="20"/>
        <v>8.61546296296001</v>
      </c>
      <c r="AG122" s="121" t="str">
        <f ca="1" t="shared" si="17"/>
        <v>WARNING</v>
      </c>
      <c r="AH122" s="1002">
        <v>3450000</v>
      </c>
      <c r="AI122" s="1002">
        <v>250000</v>
      </c>
      <c r="AJ122" s="1002"/>
      <c r="AK122" s="1459"/>
      <c r="AL122" s="1458">
        <v>30000</v>
      </c>
      <c r="AM122" s="1459"/>
      <c r="AN122" s="1001"/>
      <c r="AO122" s="1459"/>
      <c r="AP122" s="1001"/>
      <c r="AQ122" s="1001" t="s">
        <v>0</v>
      </c>
      <c r="AR122" s="1001" t="s">
        <v>48</v>
      </c>
      <c r="AS122" s="1001" t="s">
        <v>49</v>
      </c>
      <c r="AT122" s="1371" t="s">
        <v>1312</v>
      </c>
      <c r="AU122" s="285" t="s">
        <v>1313</v>
      </c>
      <c r="AV122" s="1537" t="s">
        <v>1314</v>
      </c>
      <c r="AW122" s="1012" t="s">
        <v>1315</v>
      </c>
      <c r="AX122" s="1538" t="s">
        <v>1316</v>
      </c>
      <c r="AY122" s="1009"/>
      <c r="AZ122" s="1009"/>
      <c r="BA122" s="1009"/>
      <c r="BB122" s="127" t="s">
        <v>1317</v>
      </c>
      <c r="BC122" s="164"/>
      <c r="BD122" s="1402" t="s">
        <v>55</v>
      </c>
      <c r="BF122" s="1306"/>
    </row>
    <row r="123" s="873" customFormat="1" ht="14.1" customHeight="1" spans="2:58">
      <c r="B123" s="1532" t="s">
        <v>1318</v>
      </c>
      <c r="C123" s="164" t="s">
        <v>1319</v>
      </c>
      <c r="D123" s="164" t="s">
        <v>1320</v>
      </c>
      <c r="E123" s="975" t="s">
        <v>1321</v>
      </c>
      <c r="F123" s="978" t="s">
        <v>43</v>
      </c>
      <c r="G123" s="978" t="s">
        <v>254</v>
      </c>
      <c r="H123" s="925" t="s">
        <v>1300</v>
      </c>
      <c r="I123" s="925" t="s">
        <v>428</v>
      </c>
      <c r="J123" s="925" t="s">
        <v>208</v>
      </c>
      <c r="K123" s="980">
        <v>43144</v>
      </c>
      <c r="L123" s="980">
        <v>43281</v>
      </c>
      <c r="M123" s="981"/>
      <c r="N123" s="981"/>
      <c r="O123" s="981"/>
      <c r="P123" s="981"/>
      <c r="Q123" s="981"/>
      <c r="R123" s="980"/>
      <c r="S123" s="980"/>
      <c r="T123" s="980"/>
      <c r="U123" s="980"/>
      <c r="V123" s="981"/>
      <c r="W123" s="981"/>
      <c r="X123" s="981"/>
      <c r="Y123" s="988"/>
      <c r="Z123" s="980"/>
      <c r="AA123" s="980"/>
      <c r="AB123" s="988"/>
      <c r="AC123" s="988"/>
      <c r="AD123" s="988"/>
      <c r="AE123" s="988"/>
      <c r="AF123" s="640">
        <f ca="1" t="shared" si="20"/>
        <v>8.61546296296001</v>
      </c>
      <c r="AG123" s="121" t="str">
        <f ca="1" t="shared" si="17"/>
        <v>WARNING</v>
      </c>
      <c r="AH123" s="1002">
        <v>4200000</v>
      </c>
      <c r="AI123" s="1002">
        <v>400000</v>
      </c>
      <c r="AJ123" s="1002"/>
      <c r="AK123" s="1459"/>
      <c r="AL123" s="1459"/>
      <c r="AM123" s="1459">
        <v>500000</v>
      </c>
      <c r="AN123" s="1001"/>
      <c r="AO123" s="1459"/>
      <c r="AP123" s="1001"/>
      <c r="AQ123" s="1001" t="s">
        <v>0</v>
      </c>
      <c r="AR123" s="1001" t="s">
        <v>48</v>
      </c>
      <c r="AS123" s="1001" t="s">
        <v>49</v>
      </c>
      <c r="AT123" s="925"/>
      <c r="AU123" s="285" t="s">
        <v>1322</v>
      </c>
      <c r="AV123" s="1537" t="s">
        <v>1323</v>
      </c>
      <c r="AW123" s="1012" t="s">
        <v>1324</v>
      </c>
      <c r="AX123" s="1538" t="s">
        <v>1325</v>
      </c>
      <c r="AY123" s="1009" t="s">
        <v>1326</v>
      </c>
      <c r="AZ123" s="1009" t="s">
        <v>1327</v>
      </c>
      <c r="BA123" s="1538" t="s">
        <v>1328</v>
      </c>
      <c r="BB123" s="127" t="s">
        <v>1329</v>
      </c>
      <c r="BC123" s="164"/>
      <c r="BD123" s="1402" t="s">
        <v>55</v>
      </c>
      <c r="BF123" s="1306"/>
    </row>
    <row r="124" s="873" customFormat="1" ht="14.1" customHeight="1" spans="2:58">
      <c r="B124" s="1532" t="s">
        <v>1330</v>
      </c>
      <c r="C124" s="164" t="s">
        <v>1331</v>
      </c>
      <c r="D124" s="164" t="s">
        <v>1332</v>
      </c>
      <c r="E124" s="975" t="s">
        <v>1333</v>
      </c>
      <c r="F124" s="978" t="s">
        <v>43</v>
      </c>
      <c r="G124" s="978" t="s">
        <v>254</v>
      </c>
      <c r="H124" s="925" t="s">
        <v>1068</v>
      </c>
      <c r="I124" s="925" t="s">
        <v>428</v>
      </c>
      <c r="J124" s="925" t="s">
        <v>185</v>
      </c>
      <c r="K124" s="980">
        <v>43140</v>
      </c>
      <c r="L124" s="980">
        <v>43281</v>
      </c>
      <c r="M124" s="981"/>
      <c r="N124" s="981"/>
      <c r="O124" s="981"/>
      <c r="P124" s="981"/>
      <c r="Q124" s="981"/>
      <c r="R124" s="980"/>
      <c r="S124" s="980"/>
      <c r="T124" s="980"/>
      <c r="U124" s="980"/>
      <c r="V124" s="981"/>
      <c r="W124" s="981"/>
      <c r="X124" s="981"/>
      <c r="Y124" s="988"/>
      <c r="Z124" s="980"/>
      <c r="AA124" s="980"/>
      <c r="AB124" s="988"/>
      <c r="AC124" s="988"/>
      <c r="AD124" s="988"/>
      <c r="AE124" s="988"/>
      <c r="AF124" s="640">
        <f ca="1" t="shared" si="20"/>
        <v>8.61546296296001</v>
      </c>
      <c r="AG124" s="121" t="str">
        <f ca="1" t="shared" si="17"/>
        <v>WARNING</v>
      </c>
      <c r="AH124" s="1002">
        <v>2800000</v>
      </c>
      <c r="AI124" s="1002">
        <v>250000</v>
      </c>
      <c r="AJ124" s="1002"/>
      <c r="AK124" s="1459"/>
      <c r="AL124" s="1459"/>
      <c r="AM124" s="1459"/>
      <c r="AN124" s="1001"/>
      <c r="AO124" s="1459">
        <v>715000</v>
      </c>
      <c r="AP124" s="1001"/>
      <c r="AQ124" s="1001" t="s">
        <v>0</v>
      </c>
      <c r="AR124" s="1001" t="s">
        <v>48</v>
      </c>
      <c r="AS124" s="1001" t="s">
        <v>49</v>
      </c>
      <c r="AT124" s="925"/>
      <c r="AU124" s="285" t="s">
        <v>1334</v>
      </c>
      <c r="AV124" s="1537" t="s">
        <v>1335</v>
      </c>
      <c r="AW124" s="1012" t="s">
        <v>1336</v>
      </c>
      <c r="AX124" s="1538" t="s">
        <v>1337</v>
      </c>
      <c r="AY124" s="1009"/>
      <c r="AZ124" s="1009"/>
      <c r="BA124" s="1009"/>
      <c r="BB124" s="127" t="s">
        <v>1338</v>
      </c>
      <c r="BC124" s="164"/>
      <c r="BD124" s="1402" t="s">
        <v>55</v>
      </c>
      <c r="BF124" s="1306"/>
    </row>
    <row r="125" s="873" customFormat="1" ht="14.1" customHeight="1" spans="2:58">
      <c r="B125" s="1532" t="s">
        <v>1339</v>
      </c>
      <c r="C125" s="164" t="s">
        <v>1340</v>
      </c>
      <c r="D125" s="164" t="s">
        <v>1341</v>
      </c>
      <c r="E125" s="975" t="s">
        <v>1342</v>
      </c>
      <c r="F125" s="978" t="s">
        <v>43</v>
      </c>
      <c r="G125" s="978" t="s">
        <v>44</v>
      </c>
      <c r="H125" s="925" t="s">
        <v>1343</v>
      </c>
      <c r="I125" s="925" t="s">
        <v>428</v>
      </c>
      <c r="J125" s="925" t="s">
        <v>185</v>
      </c>
      <c r="K125" s="980">
        <v>43144</v>
      </c>
      <c r="L125" s="980">
        <v>43281</v>
      </c>
      <c r="M125" s="981"/>
      <c r="N125" s="981"/>
      <c r="O125" s="981"/>
      <c r="P125" s="981"/>
      <c r="Q125" s="981"/>
      <c r="R125" s="980"/>
      <c r="S125" s="980"/>
      <c r="T125" s="980"/>
      <c r="U125" s="980"/>
      <c r="V125" s="981"/>
      <c r="W125" s="981"/>
      <c r="X125" s="981"/>
      <c r="Y125" s="988"/>
      <c r="Z125" s="980"/>
      <c r="AA125" s="980"/>
      <c r="AB125" s="988"/>
      <c r="AC125" s="988"/>
      <c r="AD125" s="988"/>
      <c r="AE125" s="988"/>
      <c r="AF125" s="640">
        <f ca="1" t="shared" si="20"/>
        <v>8.61546296296001</v>
      </c>
      <c r="AG125" s="121" t="str">
        <f ca="1" t="shared" si="17"/>
        <v>WARNING</v>
      </c>
      <c r="AH125" s="1002">
        <v>2800000</v>
      </c>
      <c r="AI125" s="1002">
        <v>250000</v>
      </c>
      <c r="AJ125" s="1002"/>
      <c r="AK125" s="1459"/>
      <c r="AL125" s="1459"/>
      <c r="AM125" s="1459"/>
      <c r="AN125" s="1001"/>
      <c r="AO125" s="1459">
        <v>520000</v>
      </c>
      <c r="AP125" s="1001"/>
      <c r="AQ125" s="1001" t="s">
        <v>0</v>
      </c>
      <c r="AR125" s="1001" t="s">
        <v>48</v>
      </c>
      <c r="AS125" s="1001" t="s">
        <v>49</v>
      </c>
      <c r="AT125" s="925"/>
      <c r="AU125" s="285" t="s">
        <v>1344</v>
      </c>
      <c r="AV125" s="1537" t="s">
        <v>1345</v>
      </c>
      <c r="AW125" s="1012"/>
      <c r="AX125" s="1538" t="s">
        <v>1346</v>
      </c>
      <c r="AY125" s="1009"/>
      <c r="AZ125" s="1009"/>
      <c r="BA125" s="1009"/>
      <c r="BB125" s="127" t="s">
        <v>1347</v>
      </c>
      <c r="BC125" s="164"/>
      <c r="BD125" s="1402" t="s">
        <v>55</v>
      </c>
      <c r="BF125" s="1306"/>
    </row>
    <row r="126" s="873" customFormat="1" ht="14.1" customHeight="1" spans="2:58">
      <c r="B126" s="1532" t="s">
        <v>1348</v>
      </c>
      <c r="C126" s="164" t="s">
        <v>1349</v>
      </c>
      <c r="D126" s="164" t="s">
        <v>1350</v>
      </c>
      <c r="E126" s="975" t="s">
        <v>1351</v>
      </c>
      <c r="F126" s="978" t="s">
        <v>43</v>
      </c>
      <c r="G126" s="978" t="s">
        <v>44</v>
      </c>
      <c r="H126" s="925" t="s">
        <v>1068</v>
      </c>
      <c r="I126" s="925" t="s">
        <v>428</v>
      </c>
      <c r="J126" s="1371" t="s">
        <v>1352</v>
      </c>
      <c r="K126" s="980">
        <v>43140</v>
      </c>
      <c r="L126" s="980">
        <v>43281</v>
      </c>
      <c r="M126" s="981"/>
      <c r="N126" s="981"/>
      <c r="O126" s="981"/>
      <c r="P126" s="981"/>
      <c r="Q126" s="981"/>
      <c r="R126" s="980"/>
      <c r="S126" s="980"/>
      <c r="T126" s="980"/>
      <c r="U126" s="980"/>
      <c r="V126" s="981"/>
      <c r="W126" s="981"/>
      <c r="X126" s="981"/>
      <c r="Y126" s="988"/>
      <c r="Z126" s="980"/>
      <c r="AA126" s="980"/>
      <c r="AB126" s="988"/>
      <c r="AC126" s="988"/>
      <c r="AD126" s="988"/>
      <c r="AE126" s="988"/>
      <c r="AF126" s="640">
        <f ca="1" t="shared" si="20"/>
        <v>8.61546296296001</v>
      </c>
      <c r="AG126" s="121" t="str">
        <f ca="1" t="shared" si="17"/>
        <v>WARNING</v>
      </c>
      <c r="AH126" s="1002">
        <v>2800000</v>
      </c>
      <c r="AI126" s="1002">
        <v>250000</v>
      </c>
      <c r="AJ126" s="1002"/>
      <c r="AK126" s="1458">
        <v>750000</v>
      </c>
      <c r="AL126" s="1459"/>
      <c r="AM126" s="1459"/>
      <c r="AN126" s="1001"/>
      <c r="AO126" s="1459">
        <v>715000</v>
      </c>
      <c r="AP126" s="1001"/>
      <c r="AQ126" s="1001" t="s">
        <v>0</v>
      </c>
      <c r="AR126" s="1001" t="s">
        <v>48</v>
      </c>
      <c r="AS126" s="1001" t="s">
        <v>49</v>
      </c>
      <c r="AT126" s="1371" t="s">
        <v>1091</v>
      </c>
      <c r="AU126" s="285" t="s">
        <v>1353</v>
      </c>
      <c r="AV126" s="961"/>
      <c r="AW126" s="1012" t="s">
        <v>1354</v>
      </c>
      <c r="AX126" s="1538" t="s">
        <v>1355</v>
      </c>
      <c r="AY126" s="1009"/>
      <c r="AZ126" s="1009"/>
      <c r="BA126" s="1009"/>
      <c r="BB126" s="127" t="s">
        <v>1356</v>
      </c>
      <c r="BC126" s="164"/>
      <c r="BD126" s="1402" t="s">
        <v>55</v>
      </c>
      <c r="BF126" s="1306"/>
    </row>
    <row r="127" s="873" customFormat="1" ht="14.1" customHeight="1" spans="2:58">
      <c r="B127" s="1532" t="s">
        <v>1357</v>
      </c>
      <c r="C127" s="164" t="s">
        <v>1358</v>
      </c>
      <c r="D127" s="164" t="s">
        <v>1359</v>
      </c>
      <c r="E127" s="975" t="s">
        <v>1360</v>
      </c>
      <c r="F127" s="978" t="s">
        <v>43</v>
      </c>
      <c r="G127" s="978" t="s">
        <v>44</v>
      </c>
      <c r="H127" s="925" t="s">
        <v>1068</v>
      </c>
      <c r="I127" s="925" t="s">
        <v>428</v>
      </c>
      <c r="J127" s="925" t="s">
        <v>61</v>
      </c>
      <c r="K127" s="980">
        <v>43126</v>
      </c>
      <c r="L127" s="980">
        <v>43220</v>
      </c>
      <c r="M127" s="1455">
        <v>43373</v>
      </c>
      <c r="N127" s="981"/>
      <c r="O127" s="981"/>
      <c r="P127" s="981"/>
      <c r="Q127" s="981"/>
      <c r="R127" s="980"/>
      <c r="S127" s="980"/>
      <c r="T127" s="980"/>
      <c r="U127" s="980"/>
      <c r="V127" s="981"/>
      <c r="W127" s="981"/>
      <c r="X127" s="981"/>
      <c r="Y127" s="988"/>
      <c r="Z127" s="980"/>
      <c r="AA127" s="980"/>
      <c r="AB127" s="988"/>
      <c r="AC127" s="988"/>
      <c r="AD127" s="988"/>
      <c r="AE127" s="988"/>
      <c r="AF127" s="640">
        <f ca="1">SUM(M127-NOW())</f>
        <v>100.61546296296</v>
      </c>
      <c r="AG127" s="121" t="str">
        <f ca="1" t="shared" si="17"/>
        <v>ACTIVE</v>
      </c>
      <c r="AH127" s="1002">
        <v>3100000</v>
      </c>
      <c r="AI127" s="1002">
        <v>250000</v>
      </c>
      <c r="AJ127" s="1002"/>
      <c r="AK127" s="1459"/>
      <c r="AL127" s="1459"/>
      <c r="AM127" s="1459"/>
      <c r="AN127" s="1001"/>
      <c r="AO127" s="1459">
        <v>1365000</v>
      </c>
      <c r="AP127" s="1001"/>
      <c r="AQ127" s="1001" t="s">
        <v>0</v>
      </c>
      <c r="AR127" s="1001" t="s">
        <v>48</v>
      </c>
      <c r="AS127" s="1001" t="s">
        <v>49</v>
      </c>
      <c r="AT127" s="925"/>
      <c r="AU127" s="285" t="s">
        <v>1361</v>
      </c>
      <c r="AV127" s="1537" t="s">
        <v>1362</v>
      </c>
      <c r="AW127" s="1012" t="s">
        <v>1363</v>
      </c>
      <c r="AX127" s="1538" t="s">
        <v>1364</v>
      </c>
      <c r="AY127" s="1009" t="s">
        <v>1365</v>
      </c>
      <c r="AZ127" s="1009" t="s">
        <v>1366</v>
      </c>
      <c r="BA127" s="1009"/>
      <c r="BB127" s="127" t="s">
        <v>1367</v>
      </c>
      <c r="BC127" s="164"/>
      <c r="BD127" s="1402" t="s">
        <v>729</v>
      </c>
      <c r="BF127" s="1306"/>
    </row>
    <row r="128" s="873" customFormat="1" ht="14.1" customHeight="1" spans="2:58">
      <c r="B128" s="1532" t="s">
        <v>1368</v>
      </c>
      <c r="C128" s="164" t="s">
        <v>1369</v>
      </c>
      <c r="D128" s="164" t="s">
        <v>1370</v>
      </c>
      <c r="E128" s="975" t="s">
        <v>1371</v>
      </c>
      <c r="F128" s="978" t="s">
        <v>43</v>
      </c>
      <c r="G128" s="978" t="s">
        <v>60</v>
      </c>
      <c r="H128" s="925" t="s">
        <v>1068</v>
      </c>
      <c r="I128" s="925" t="s">
        <v>428</v>
      </c>
      <c r="J128" s="925" t="s">
        <v>185</v>
      </c>
      <c r="K128" s="980">
        <v>43140</v>
      </c>
      <c r="L128" s="980">
        <v>43281</v>
      </c>
      <c r="M128" s="981"/>
      <c r="N128" s="981"/>
      <c r="O128" s="981"/>
      <c r="P128" s="981"/>
      <c r="Q128" s="981"/>
      <c r="R128" s="980"/>
      <c r="S128" s="980"/>
      <c r="T128" s="980"/>
      <c r="U128" s="980"/>
      <c r="V128" s="981"/>
      <c r="W128" s="981"/>
      <c r="X128" s="981"/>
      <c r="Y128" s="988"/>
      <c r="Z128" s="980"/>
      <c r="AA128" s="980"/>
      <c r="AB128" s="988"/>
      <c r="AC128" s="988"/>
      <c r="AD128" s="988"/>
      <c r="AE128" s="988"/>
      <c r="AF128" s="640">
        <f ca="1" t="shared" ref="AF128:AF131" si="21">SUM(L128-NOW())</f>
        <v>8.61546296296001</v>
      </c>
      <c r="AG128" s="121" t="str">
        <f ca="1" t="shared" si="17"/>
        <v>WARNING</v>
      </c>
      <c r="AH128" s="1002">
        <v>2800000</v>
      </c>
      <c r="AI128" s="1002">
        <v>250000</v>
      </c>
      <c r="AJ128" s="1002"/>
      <c r="AK128" s="1459"/>
      <c r="AL128" s="1459"/>
      <c r="AM128" s="1459"/>
      <c r="AN128" s="1001"/>
      <c r="AO128" s="1459">
        <v>715000</v>
      </c>
      <c r="AP128" s="1001"/>
      <c r="AQ128" s="1001" t="s">
        <v>0</v>
      </c>
      <c r="AR128" s="1001" t="s">
        <v>48</v>
      </c>
      <c r="AS128" s="1001" t="s">
        <v>49</v>
      </c>
      <c r="AT128" s="925"/>
      <c r="AU128" s="285" t="s">
        <v>1372</v>
      </c>
      <c r="AV128" s="1537" t="s">
        <v>1373</v>
      </c>
      <c r="AW128" s="1012" t="s">
        <v>1374</v>
      </c>
      <c r="AX128" s="1538" t="s">
        <v>1375</v>
      </c>
      <c r="AY128" s="1009"/>
      <c r="AZ128" s="1009"/>
      <c r="BA128" s="1538" t="s">
        <v>1376</v>
      </c>
      <c r="BB128" s="1465" t="s">
        <v>1377</v>
      </c>
      <c r="BC128" s="164"/>
      <c r="BD128" s="1402" t="s">
        <v>55</v>
      </c>
      <c r="BF128" s="1306"/>
    </row>
    <row r="129" s="873" customFormat="1" ht="14.1" customHeight="1" spans="2:58">
      <c r="B129" s="1532" t="s">
        <v>1378</v>
      </c>
      <c r="C129" s="164" t="s">
        <v>1379</v>
      </c>
      <c r="D129" s="164" t="s">
        <v>1380</v>
      </c>
      <c r="E129" s="975" t="s">
        <v>1381</v>
      </c>
      <c r="F129" s="978" t="s">
        <v>43</v>
      </c>
      <c r="G129" s="978" t="s">
        <v>43</v>
      </c>
      <c r="H129" s="925" t="s">
        <v>1300</v>
      </c>
      <c r="I129" s="925" t="s">
        <v>428</v>
      </c>
      <c r="J129" s="925" t="s">
        <v>185</v>
      </c>
      <c r="K129" s="980">
        <v>43139</v>
      </c>
      <c r="L129" s="980">
        <v>43281</v>
      </c>
      <c r="M129" s="981"/>
      <c r="N129" s="981"/>
      <c r="O129" s="981"/>
      <c r="P129" s="981"/>
      <c r="Q129" s="981"/>
      <c r="R129" s="980"/>
      <c r="S129" s="980"/>
      <c r="T129" s="980"/>
      <c r="U129" s="980"/>
      <c r="V129" s="981"/>
      <c r="W129" s="981"/>
      <c r="X129" s="981"/>
      <c r="Y129" s="988"/>
      <c r="Z129" s="980"/>
      <c r="AA129" s="980"/>
      <c r="AB129" s="988"/>
      <c r="AC129" s="988"/>
      <c r="AD129" s="988"/>
      <c r="AE129" s="988"/>
      <c r="AF129" s="640">
        <f ca="1" t="shared" si="21"/>
        <v>8.61546296296001</v>
      </c>
      <c r="AG129" s="121" t="str">
        <f ca="1" t="shared" si="17"/>
        <v>WARNING</v>
      </c>
      <c r="AH129" s="1002">
        <v>2750000</v>
      </c>
      <c r="AI129" s="1002">
        <v>250000</v>
      </c>
      <c r="AJ129" s="1002"/>
      <c r="AK129" s="1459"/>
      <c r="AL129" s="1459"/>
      <c r="AM129" s="1459"/>
      <c r="AN129" s="1001"/>
      <c r="AO129" s="1459"/>
      <c r="AP129" s="1001"/>
      <c r="AQ129" s="1001" t="s">
        <v>0</v>
      </c>
      <c r="AR129" s="1001" t="s">
        <v>48</v>
      </c>
      <c r="AS129" s="1001" t="s">
        <v>49</v>
      </c>
      <c r="AT129" s="925"/>
      <c r="AU129" s="285" t="s">
        <v>1382</v>
      </c>
      <c r="AV129" s="1537" t="s">
        <v>1383</v>
      </c>
      <c r="AW129" s="1012" t="s">
        <v>1384</v>
      </c>
      <c r="AX129" s="1009"/>
      <c r="AY129" s="1009"/>
      <c r="AZ129" s="1009"/>
      <c r="BA129" s="1009"/>
      <c r="BB129" s="127" t="s">
        <v>1385</v>
      </c>
      <c r="BC129" s="164"/>
      <c r="BD129" s="1402" t="s">
        <v>55</v>
      </c>
      <c r="BF129" s="1306"/>
    </row>
    <row r="130" s="873" customFormat="1" ht="14.1" customHeight="1" spans="2:58">
      <c r="B130" s="1532" t="s">
        <v>1386</v>
      </c>
      <c r="C130" s="164" t="s">
        <v>1387</v>
      </c>
      <c r="D130" s="164" t="s">
        <v>1388</v>
      </c>
      <c r="E130" s="975" t="s">
        <v>1389</v>
      </c>
      <c r="F130" s="978" t="s">
        <v>43</v>
      </c>
      <c r="G130" s="978" t="s">
        <v>44</v>
      </c>
      <c r="H130" s="925" t="s">
        <v>1300</v>
      </c>
      <c r="I130" s="925" t="s">
        <v>428</v>
      </c>
      <c r="J130" s="925" t="s">
        <v>185</v>
      </c>
      <c r="K130" s="980">
        <v>43145</v>
      </c>
      <c r="L130" s="980">
        <v>43281</v>
      </c>
      <c r="M130" s="981"/>
      <c r="N130" s="981"/>
      <c r="O130" s="981"/>
      <c r="P130" s="981"/>
      <c r="Q130" s="981"/>
      <c r="R130" s="980"/>
      <c r="S130" s="980"/>
      <c r="T130" s="980"/>
      <c r="U130" s="980"/>
      <c r="V130" s="981"/>
      <c r="W130" s="981"/>
      <c r="X130" s="981"/>
      <c r="Y130" s="988"/>
      <c r="Z130" s="980"/>
      <c r="AA130" s="980"/>
      <c r="AB130" s="988"/>
      <c r="AC130" s="988"/>
      <c r="AD130" s="988"/>
      <c r="AE130" s="988"/>
      <c r="AF130" s="640">
        <f ca="1" t="shared" si="21"/>
        <v>8.61546296296001</v>
      </c>
      <c r="AG130" s="121" t="str">
        <f ca="1" t="shared" si="17"/>
        <v>WARNING</v>
      </c>
      <c r="AH130" s="1002">
        <v>2750000</v>
      </c>
      <c r="AI130" s="1002">
        <v>250000</v>
      </c>
      <c r="AJ130" s="1002"/>
      <c r="AK130" s="1459"/>
      <c r="AL130" s="1459"/>
      <c r="AM130" s="1459"/>
      <c r="AN130" s="1001"/>
      <c r="AO130" s="1459"/>
      <c r="AP130" s="1001"/>
      <c r="AQ130" s="1001" t="s">
        <v>0</v>
      </c>
      <c r="AR130" s="1001" t="s">
        <v>48</v>
      </c>
      <c r="AS130" s="1001" t="s">
        <v>49</v>
      </c>
      <c r="AT130" s="925"/>
      <c r="AU130" s="285" t="s">
        <v>1390</v>
      </c>
      <c r="AV130" s="1537" t="s">
        <v>1391</v>
      </c>
      <c r="AW130" s="1462" t="s">
        <v>1392</v>
      </c>
      <c r="AX130" s="1538" t="s">
        <v>1393</v>
      </c>
      <c r="AY130" s="1009"/>
      <c r="AZ130" s="1009"/>
      <c r="BA130" s="1009"/>
      <c r="BB130" s="127" t="s">
        <v>1394</v>
      </c>
      <c r="BC130" s="164"/>
      <c r="BD130" s="1402" t="s">
        <v>55</v>
      </c>
      <c r="BF130" s="1306"/>
    </row>
    <row r="131" s="873" customFormat="1" ht="14.1" customHeight="1" spans="2:58">
      <c r="B131" s="1532" t="s">
        <v>1395</v>
      </c>
      <c r="C131" s="164" t="s">
        <v>1396</v>
      </c>
      <c r="D131" s="164" t="s">
        <v>1397</v>
      </c>
      <c r="E131" s="975" t="s">
        <v>1398</v>
      </c>
      <c r="F131" s="978" t="s">
        <v>43</v>
      </c>
      <c r="G131" s="978" t="s">
        <v>44</v>
      </c>
      <c r="H131" s="925" t="s">
        <v>1300</v>
      </c>
      <c r="I131" s="925" t="s">
        <v>428</v>
      </c>
      <c r="J131" s="925" t="s">
        <v>185</v>
      </c>
      <c r="K131" s="980">
        <v>43145</v>
      </c>
      <c r="L131" s="980">
        <v>43281</v>
      </c>
      <c r="M131" s="981"/>
      <c r="N131" s="981"/>
      <c r="O131" s="981"/>
      <c r="P131" s="981"/>
      <c r="Q131" s="981"/>
      <c r="R131" s="980"/>
      <c r="S131" s="980"/>
      <c r="T131" s="980"/>
      <c r="U131" s="980"/>
      <c r="V131" s="981"/>
      <c r="W131" s="981"/>
      <c r="X131" s="981"/>
      <c r="Y131" s="988"/>
      <c r="Z131" s="980"/>
      <c r="AA131" s="980"/>
      <c r="AB131" s="988"/>
      <c r="AC131" s="988"/>
      <c r="AD131" s="988"/>
      <c r="AE131" s="988"/>
      <c r="AF131" s="640">
        <f ca="1" t="shared" si="21"/>
        <v>8.61546296296001</v>
      </c>
      <c r="AG131" s="121" t="str">
        <f ca="1" t="shared" si="17"/>
        <v>WARNING</v>
      </c>
      <c r="AH131" s="1002">
        <v>2750000</v>
      </c>
      <c r="AI131" s="1002">
        <v>250000</v>
      </c>
      <c r="AJ131" s="1002"/>
      <c r="AK131" s="1459"/>
      <c r="AL131" s="1459"/>
      <c r="AM131" s="1459"/>
      <c r="AN131" s="1001"/>
      <c r="AO131" s="1459"/>
      <c r="AP131" s="1001"/>
      <c r="AQ131" s="1001" t="s">
        <v>0</v>
      </c>
      <c r="AR131" s="1001" t="s">
        <v>48</v>
      </c>
      <c r="AS131" s="1001" t="s">
        <v>49</v>
      </c>
      <c r="AT131" s="925"/>
      <c r="AU131" s="285" t="s">
        <v>1399</v>
      </c>
      <c r="AV131" s="1537" t="s">
        <v>1400</v>
      </c>
      <c r="AW131" s="1012" t="s">
        <v>1401</v>
      </c>
      <c r="AX131" s="1538" t="s">
        <v>1402</v>
      </c>
      <c r="AY131" s="1009"/>
      <c r="AZ131" s="1009"/>
      <c r="BA131" s="1009"/>
      <c r="BB131" s="127" t="s">
        <v>1403</v>
      </c>
      <c r="BC131" s="164"/>
      <c r="BD131" s="1402" t="s">
        <v>55</v>
      </c>
      <c r="BF131" s="1306"/>
    </row>
    <row r="132" s="873" customFormat="1" ht="14.1" customHeight="1" spans="2:58">
      <c r="B132" s="1532" t="s">
        <v>1404</v>
      </c>
      <c r="C132" s="164" t="s">
        <v>1405</v>
      </c>
      <c r="D132" s="164" t="s">
        <v>1406</v>
      </c>
      <c r="E132" s="975" t="s">
        <v>1407</v>
      </c>
      <c r="F132" s="978" t="s">
        <v>43</v>
      </c>
      <c r="G132" s="978" t="s">
        <v>44</v>
      </c>
      <c r="H132" s="925" t="s">
        <v>757</v>
      </c>
      <c r="I132" s="925" t="s">
        <v>428</v>
      </c>
      <c r="J132" s="925" t="s">
        <v>185</v>
      </c>
      <c r="K132" s="980">
        <v>43143</v>
      </c>
      <c r="L132" s="980">
        <v>43231</v>
      </c>
      <c r="M132" s="1455">
        <v>43373</v>
      </c>
      <c r="N132" s="981"/>
      <c r="O132" s="981"/>
      <c r="P132" s="981"/>
      <c r="Q132" s="981"/>
      <c r="R132" s="980"/>
      <c r="S132" s="980"/>
      <c r="T132" s="980"/>
      <c r="U132" s="980"/>
      <c r="V132" s="981"/>
      <c r="W132" s="981"/>
      <c r="X132" s="981"/>
      <c r="Y132" s="988"/>
      <c r="Z132" s="980"/>
      <c r="AA132" s="980"/>
      <c r="AB132" s="988"/>
      <c r="AC132" s="988"/>
      <c r="AD132" s="988"/>
      <c r="AE132" s="988"/>
      <c r="AF132" s="640">
        <f ca="1">SUM(M132-NOW())</f>
        <v>100.61546296296</v>
      </c>
      <c r="AG132" s="121" t="str">
        <f ca="1" t="shared" si="17"/>
        <v>ACTIVE</v>
      </c>
      <c r="AH132" s="1002">
        <v>2765000</v>
      </c>
      <c r="AI132" s="1002">
        <v>150000</v>
      </c>
      <c r="AJ132" s="1002">
        <v>17000</v>
      </c>
      <c r="AK132" s="1459"/>
      <c r="AL132" s="1459"/>
      <c r="AM132" s="1459"/>
      <c r="AN132" s="1001"/>
      <c r="AO132" s="1459"/>
      <c r="AP132" s="1001"/>
      <c r="AQ132" s="1001" t="s">
        <v>0</v>
      </c>
      <c r="AR132" s="1001" t="s">
        <v>48</v>
      </c>
      <c r="AS132" s="1001" t="s">
        <v>49</v>
      </c>
      <c r="AT132" s="925"/>
      <c r="AU132" s="285" t="s">
        <v>1408</v>
      </c>
      <c r="AV132" s="1537" t="s">
        <v>1409</v>
      </c>
      <c r="AW132" s="1012" t="s">
        <v>1410</v>
      </c>
      <c r="AX132" s="1538" t="s">
        <v>1411</v>
      </c>
      <c r="AY132" s="1009"/>
      <c r="AZ132" s="1009"/>
      <c r="BA132" s="1009"/>
      <c r="BB132" s="127" t="s">
        <v>1412</v>
      </c>
      <c r="BC132" s="164"/>
      <c r="BD132" s="1402" t="s">
        <v>729</v>
      </c>
      <c r="BF132" s="1306"/>
    </row>
    <row r="133" s="873" customFormat="1" ht="14.1" customHeight="1" spans="2:58">
      <c r="B133" s="1532" t="s">
        <v>1413</v>
      </c>
      <c r="C133" s="164" t="s">
        <v>1414</v>
      </c>
      <c r="D133" s="164" t="s">
        <v>1415</v>
      </c>
      <c r="E133" s="975" t="s">
        <v>1416</v>
      </c>
      <c r="F133" s="978" t="s">
        <v>43</v>
      </c>
      <c r="G133" s="978" t="s">
        <v>44</v>
      </c>
      <c r="H133" s="925" t="s">
        <v>1343</v>
      </c>
      <c r="I133" s="925" t="s">
        <v>428</v>
      </c>
      <c r="J133" s="925" t="s">
        <v>185</v>
      </c>
      <c r="K133" s="980">
        <v>43150</v>
      </c>
      <c r="L133" s="980">
        <v>43281</v>
      </c>
      <c r="M133" s="981"/>
      <c r="N133" s="981"/>
      <c r="O133" s="981"/>
      <c r="P133" s="981"/>
      <c r="Q133" s="981"/>
      <c r="R133" s="980"/>
      <c r="S133" s="980"/>
      <c r="T133" s="980"/>
      <c r="U133" s="980"/>
      <c r="V133" s="981"/>
      <c r="W133" s="981"/>
      <c r="X133" s="981"/>
      <c r="Y133" s="988"/>
      <c r="Z133" s="980"/>
      <c r="AA133" s="980"/>
      <c r="AB133" s="988"/>
      <c r="AC133" s="988"/>
      <c r="AD133" s="988"/>
      <c r="AE133" s="988"/>
      <c r="AF133" s="640">
        <f ca="1" t="shared" ref="AF133:AF140" si="22">SUM(L133-NOW())</f>
        <v>8.61546296296001</v>
      </c>
      <c r="AG133" s="121" t="str">
        <f ca="1" t="shared" ref="AG133:AG162" si="23">IF(AF133&lt;=40,"WARNING","ACTIVE")</f>
        <v>WARNING</v>
      </c>
      <c r="AH133" s="1002">
        <v>2800000</v>
      </c>
      <c r="AI133" s="1002">
        <v>250000</v>
      </c>
      <c r="AJ133" s="1002"/>
      <c r="AK133" s="1459"/>
      <c r="AL133" s="1459"/>
      <c r="AM133" s="1459"/>
      <c r="AN133" s="1001"/>
      <c r="AO133" s="1459">
        <v>520000</v>
      </c>
      <c r="AP133" s="1001"/>
      <c r="AQ133" s="1001" t="s">
        <v>0</v>
      </c>
      <c r="AR133" s="1001" t="s">
        <v>48</v>
      </c>
      <c r="AS133" s="1001" t="s">
        <v>49</v>
      </c>
      <c r="AT133" s="925"/>
      <c r="AU133" s="285" t="s">
        <v>1417</v>
      </c>
      <c r="AV133" s="1537" t="s">
        <v>1418</v>
      </c>
      <c r="AW133" s="1012" t="s">
        <v>1419</v>
      </c>
      <c r="AX133" s="1538" t="s">
        <v>1420</v>
      </c>
      <c r="AY133" s="1009"/>
      <c r="AZ133" s="1009"/>
      <c r="BA133" s="1009"/>
      <c r="BB133" s="127"/>
      <c r="BC133" s="164"/>
      <c r="BD133" s="1402" t="s">
        <v>55</v>
      </c>
      <c r="BF133" s="1306"/>
    </row>
    <row r="134" s="873" customFormat="1" ht="14.1" customHeight="1" spans="2:58">
      <c r="B134" s="1532" t="s">
        <v>1421</v>
      </c>
      <c r="C134" s="164" t="s">
        <v>1422</v>
      </c>
      <c r="D134" s="164" t="s">
        <v>1423</v>
      </c>
      <c r="E134" s="975" t="s">
        <v>1424</v>
      </c>
      <c r="F134" s="978" t="s">
        <v>43</v>
      </c>
      <c r="G134" s="978" t="s">
        <v>44</v>
      </c>
      <c r="H134" s="925" t="s">
        <v>1300</v>
      </c>
      <c r="I134" s="925" t="s">
        <v>428</v>
      </c>
      <c r="J134" s="1371" t="s">
        <v>1425</v>
      </c>
      <c r="K134" s="980">
        <v>43139</v>
      </c>
      <c r="L134" s="980">
        <v>43281</v>
      </c>
      <c r="M134" s="983" t="s">
        <v>325</v>
      </c>
      <c r="N134" s="981"/>
      <c r="O134" s="981"/>
      <c r="P134" s="981"/>
      <c r="Q134" s="981"/>
      <c r="R134" s="980"/>
      <c r="S134" s="980"/>
      <c r="T134" s="980"/>
      <c r="U134" s="980"/>
      <c r="V134" s="981"/>
      <c r="W134" s="981"/>
      <c r="X134" s="981"/>
      <c r="Y134" s="988"/>
      <c r="Z134" s="980"/>
      <c r="AA134" s="980"/>
      <c r="AB134" s="988"/>
      <c r="AC134" s="988"/>
      <c r="AD134" s="988"/>
      <c r="AE134" s="988"/>
      <c r="AF134" s="640">
        <f ca="1" t="shared" si="22"/>
        <v>8.61546296296001</v>
      </c>
      <c r="AG134" s="121" t="str">
        <f ca="1" t="shared" si="23"/>
        <v>WARNING</v>
      </c>
      <c r="AH134" s="1365">
        <v>3150000</v>
      </c>
      <c r="AI134" s="1002">
        <v>250000</v>
      </c>
      <c r="AJ134" s="1002"/>
      <c r="AK134" s="1458">
        <v>30000</v>
      </c>
      <c r="AL134" s="1459"/>
      <c r="AM134" s="1459"/>
      <c r="AN134" s="1001"/>
      <c r="AO134" s="1459"/>
      <c r="AP134" s="1001"/>
      <c r="AQ134" s="1001" t="s">
        <v>0</v>
      </c>
      <c r="AR134" s="1001" t="s">
        <v>48</v>
      </c>
      <c r="AS134" s="1001" t="s">
        <v>49</v>
      </c>
      <c r="AT134" s="1371" t="s">
        <v>1426</v>
      </c>
      <c r="AU134" s="285" t="s">
        <v>1427</v>
      </c>
      <c r="AV134" s="1537" t="s">
        <v>1428</v>
      </c>
      <c r="AW134" s="1462" t="s">
        <v>1429</v>
      </c>
      <c r="AX134" s="1538" t="s">
        <v>1430</v>
      </c>
      <c r="AY134" s="1009"/>
      <c r="AZ134" s="1009"/>
      <c r="BA134" s="1009"/>
      <c r="BB134" s="127"/>
      <c r="BC134" s="164"/>
      <c r="BD134" s="1402" t="s">
        <v>55</v>
      </c>
      <c r="BF134" s="1306"/>
    </row>
    <row r="135" s="873" customFormat="1" ht="14.1" customHeight="1" spans="2:58">
      <c r="B135" s="1532" t="s">
        <v>1431</v>
      </c>
      <c r="C135" s="164" t="s">
        <v>1432</v>
      </c>
      <c r="D135" s="164" t="s">
        <v>1433</v>
      </c>
      <c r="E135" s="975" t="s">
        <v>1434</v>
      </c>
      <c r="F135" s="978" t="s">
        <v>43</v>
      </c>
      <c r="G135" s="978" t="s">
        <v>254</v>
      </c>
      <c r="H135" s="925" t="s">
        <v>1343</v>
      </c>
      <c r="I135" s="925" t="s">
        <v>428</v>
      </c>
      <c r="J135" s="925" t="s">
        <v>61</v>
      </c>
      <c r="K135" s="980">
        <v>43150</v>
      </c>
      <c r="L135" s="980">
        <v>43281</v>
      </c>
      <c r="M135" s="981"/>
      <c r="N135" s="981"/>
      <c r="O135" s="981"/>
      <c r="P135" s="981"/>
      <c r="Q135" s="981"/>
      <c r="R135" s="980"/>
      <c r="S135" s="980"/>
      <c r="T135" s="980"/>
      <c r="U135" s="980"/>
      <c r="V135" s="981"/>
      <c r="W135" s="981"/>
      <c r="X135" s="981"/>
      <c r="Y135" s="988"/>
      <c r="Z135" s="980"/>
      <c r="AA135" s="980"/>
      <c r="AB135" s="988"/>
      <c r="AC135" s="988"/>
      <c r="AD135" s="988"/>
      <c r="AE135" s="988"/>
      <c r="AF135" s="640">
        <f ca="1" t="shared" si="22"/>
        <v>8.61546296296001</v>
      </c>
      <c r="AG135" s="121" t="str">
        <f ca="1" t="shared" si="23"/>
        <v>WARNING</v>
      </c>
      <c r="AH135" s="1002">
        <v>3100000</v>
      </c>
      <c r="AI135" s="1002">
        <v>250000</v>
      </c>
      <c r="AJ135" s="1002"/>
      <c r="AK135" s="1459"/>
      <c r="AL135" s="1459"/>
      <c r="AM135" s="1459"/>
      <c r="AN135" s="1001"/>
      <c r="AO135" s="1459">
        <v>780000</v>
      </c>
      <c r="AP135" s="1001"/>
      <c r="AQ135" s="1001" t="s">
        <v>0</v>
      </c>
      <c r="AR135" s="1001" t="s">
        <v>48</v>
      </c>
      <c r="AS135" s="1001" t="s">
        <v>49</v>
      </c>
      <c r="AT135" s="925"/>
      <c r="AU135" s="285" t="s">
        <v>1435</v>
      </c>
      <c r="AV135" s="1537" t="s">
        <v>1436</v>
      </c>
      <c r="AW135" s="1012" t="s">
        <v>1437</v>
      </c>
      <c r="AX135" s="1538" t="s">
        <v>1438</v>
      </c>
      <c r="AY135" s="1009"/>
      <c r="AZ135" s="1009"/>
      <c r="BA135" s="1009"/>
      <c r="BB135" s="127" t="s">
        <v>1439</v>
      </c>
      <c r="BC135" s="164"/>
      <c r="BD135" s="1402" t="s">
        <v>55</v>
      </c>
      <c r="BF135" s="1306"/>
    </row>
    <row r="136" s="873" customFormat="1" ht="14.1" customHeight="1" spans="2:58">
      <c r="B136" s="1532" t="s">
        <v>1440</v>
      </c>
      <c r="C136" s="164" t="s">
        <v>1441</v>
      </c>
      <c r="D136" s="164" t="s">
        <v>1442</v>
      </c>
      <c r="E136" s="975" t="s">
        <v>1443</v>
      </c>
      <c r="F136" s="978" t="s">
        <v>43</v>
      </c>
      <c r="G136" s="978"/>
      <c r="H136" s="925" t="s">
        <v>1300</v>
      </c>
      <c r="I136" s="925" t="s">
        <v>428</v>
      </c>
      <c r="J136" s="925" t="s">
        <v>185</v>
      </c>
      <c r="K136" s="980">
        <v>43139</v>
      </c>
      <c r="L136" s="980">
        <v>43281</v>
      </c>
      <c r="M136" s="981"/>
      <c r="N136" s="981"/>
      <c r="O136" s="981"/>
      <c r="P136" s="981"/>
      <c r="Q136" s="981"/>
      <c r="R136" s="980"/>
      <c r="S136" s="980"/>
      <c r="T136" s="980"/>
      <c r="U136" s="980"/>
      <c r="V136" s="981"/>
      <c r="W136" s="981"/>
      <c r="X136" s="981"/>
      <c r="Y136" s="988"/>
      <c r="Z136" s="980"/>
      <c r="AA136" s="980"/>
      <c r="AB136" s="988"/>
      <c r="AC136" s="988"/>
      <c r="AD136" s="988"/>
      <c r="AE136" s="988"/>
      <c r="AF136" s="640">
        <f ca="1" t="shared" si="22"/>
        <v>8.61546296296001</v>
      </c>
      <c r="AG136" s="121" t="str">
        <f ca="1" t="shared" si="23"/>
        <v>WARNING</v>
      </c>
      <c r="AH136" s="1002">
        <v>2750000</v>
      </c>
      <c r="AI136" s="1002">
        <v>250000</v>
      </c>
      <c r="AJ136" s="1002"/>
      <c r="AK136" s="1459"/>
      <c r="AL136" s="1459"/>
      <c r="AM136" s="1459"/>
      <c r="AN136" s="1001"/>
      <c r="AO136" s="1459"/>
      <c r="AP136" s="1001"/>
      <c r="AQ136" s="1001" t="s">
        <v>0</v>
      </c>
      <c r="AR136" s="1001" t="s">
        <v>48</v>
      </c>
      <c r="AS136" s="1001" t="s">
        <v>49</v>
      </c>
      <c r="AT136" s="925"/>
      <c r="AU136" s="285" t="s">
        <v>1444</v>
      </c>
      <c r="AV136" s="961"/>
      <c r="AW136" s="1462" t="s">
        <v>1429</v>
      </c>
      <c r="AX136" s="1538" t="s">
        <v>1445</v>
      </c>
      <c r="AY136" s="1009"/>
      <c r="AZ136" s="1009"/>
      <c r="BA136" s="1009"/>
      <c r="BB136" s="127"/>
      <c r="BC136" s="164"/>
      <c r="BD136" s="1402" t="s">
        <v>55</v>
      </c>
      <c r="BF136" s="1306"/>
    </row>
    <row r="137" s="873" customFormat="1" ht="14.1" customHeight="1" spans="2:58">
      <c r="B137" s="1532" t="s">
        <v>1446</v>
      </c>
      <c r="C137" s="164" t="s">
        <v>1447</v>
      </c>
      <c r="D137" s="164" t="s">
        <v>1448</v>
      </c>
      <c r="E137" s="975" t="s">
        <v>1449</v>
      </c>
      <c r="F137" s="978"/>
      <c r="G137" s="978"/>
      <c r="H137" s="925" t="s">
        <v>1300</v>
      </c>
      <c r="I137" s="925" t="s">
        <v>428</v>
      </c>
      <c r="J137" s="925" t="s">
        <v>185</v>
      </c>
      <c r="K137" s="980">
        <v>43145</v>
      </c>
      <c r="L137" s="980">
        <v>43281</v>
      </c>
      <c r="M137" s="981"/>
      <c r="N137" s="981"/>
      <c r="O137" s="981"/>
      <c r="P137" s="981"/>
      <c r="Q137" s="981"/>
      <c r="R137" s="980"/>
      <c r="S137" s="980"/>
      <c r="T137" s="980"/>
      <c r="U137" s="980"/>
      <c r="V137" s="981"/>
      <c r="W137" s="981"/>
      <c r="X137" s="981"/>
      <c r="Y137" s="988"/>
      <c r="Z137" s="980"/>
      <c r="AA137" s="980"/>
      <c r="AB137" s="988"/>
      <c r="AC137" s="988"/>
      <c r="AD137" s="988"/>
      <c r="AE137" s="988"/>
      <c r="AF137" s="640">
        <f ca="1" t="shared" si="22"/>
        <v>8.61546296296001</v>
      </c>
      <c r="AG137" s="121" t="str">
        <f ca="1" t="shared" si="23"/>
        <v>WARNING</v>
      </c>
      <c r="AH137" s="1002">
        <v>2750000</v>
      </c>
      <c r="AI137" s="1002">
        <v>250000</v>
      </c>
      <c r="AJ137" s="1002"/>
      <c r="AK137" s="1459"/>
      <c r="AL137" s="1459"/>
      <c r="AM137" s="1459"/>
      <c r="AN137" s="1001"/>
      <c r="AO137" s="1459"/>
      <c r="AP137" s="1001"/>
      <c r="AQ137" s="1001" t="s">
        <v>0</v>
      </c>
      <c r="AR137" s="1001" t="s">
        <v>48</v>
      </c>
      <c r="AS137" s="1001" t="s">
        <v>49</v>
      </c>
      <c r="AT137" s="925"/>
      <c r="AU137" s="285" t="s">
        <v>1450</v>
      </c>
      <c r="AV137" s="961"/>
      <c r="AW137" s="1012"/>
      <c r="AX137" s="1009"/>
      <c r="AY137" s="1009"/>
      <c r="AZ137" s="1009"/>
      <c r="BA137" s="1009"/>
      <c r="BB137" s="127"/>
      <c r="BC137" s="164"/>
      <c r="BD137" s="1402" t="s">
        <v>55</v>
      </c>
      <c r="BF137" s="1306"/>
    </row>
    <row r="138" s="873" customFormat="1" ht="14.1" customHeight="1" spans="2:58">
      <c r="B138" s="1532" t="s">
        <v>1451</v>
      </c>
      <c r="C138" s="164" t="s">
        <v>1452</v>
      </c>
      <c r="D138" s="164" t="s">
        <v>1453</v>
      </c>
      <c r="E138" s="975" t="s">
        <v>1454</v>
      </c>
      <c r="F138" s="978" t="s">
        <v>43</v>
      </c>
      <c r="G138" s="978"/>
      <c r="H138" s="925" t="s">
        <v>1300</v>
      </c>
      <c r="I138" s="925" t="s">
        <v>428</v>
      </c>
      <c r="J138" s="925" t="s">
        <v>185</v>
      </c>
      <c r="K138" s="980">
        <v>43139</v>
      </c>
      <c r="L138" s="980">
        <v>43281</v>
      </c>
      <c r="M138" s="981"/>
      <c r="N138" s="981"/>
      <c r="O138" s="981"/>
      <c r="P138" s="981"/>
      <c r="Q138" s="981"/>
      <c r="R138" s="980"/>
      <c r="S138" s="980"/>
      <c r="T138" s="980"/>
      <c r="U138" s="980"/>
      <c r="V138" s="981"/>
      <c r="W138" s="981"/>
      <c r="X138" s="981"/>
      <c r="Y138" s="988"/>
      <c r="Z138" s="980"/>
      <c r="AA138" s="980"/>
      <c r="AB138" s="988"/>
      <c r="AC138" s="988"/>
      <c r="AD138" s="988"/>
      <c r="AE138" s="988"/>
      <c r="AF138" s="640">
        <f ca="1" t="shared" si="22"/>
        <v>8.61546296296001</v>
      </c>
      <c r="AG138" s="121" t="str">
        <f ca="1" t="shared" si="23"/>
        <v>WARNING</v>
      </c>
      <c r="AH138" s="1002">
        <v>2750000</v>
      </c>
      <c r="AI138" s="1002">
        <v>250000</v>
      </c>
      <c r="AJ138" s="1002"/>
      <c r="AK138" s="1459"/>
      <c r="AL138" s="1459"/>
      <c r="AM138" s="1459"/>
      <c r="AN138" s="1001"/>
      <c r="AO138" s="1459"/>
      <c r="AP138" s="1001"/>
      <c r="AQ138" s="1001" t="s">
        <v>0</v>
      </c>
      <c r="AR138" s="1001" t="s">
        <v>48</v>
      </c>
      <c r="AS138" s="1001" t="s">
        <v>49</v>
      </c>
      <c r="AT138" s="925"/>
      <c r="AU138" s="285" t="s">
        <v>1455</v>
      </c>
      <c r="AV138" s="961"/>
      <c r="AW138" s="1462" t="s">
        <v>1429</v>
      </c>
      <c r="AX138" s="1538" t="s">
        <v>1456</v>
      </c>
      <c r="AY138" s="1009"/>
      <c r="AZ138" s="1009"/>
      <c r="BA138" s="1009"/>
      <c r="BB138" s="127" t="s">
        <v>1457</v>
      </c>
      <c r="BC138" s="164"/>
      <c r="BD138" s="1402" t="s">
        <v>55</v>
      </c>
      <c r="BF138" s="1306"/>
    </row>
    <row r="139" s="873" customFormat="1" ht="14.1" customHeight="1" spans="2:58">
      <c r="B139" s="1532" t="s">
        <v>1458</v>
      </c>
      <c r="C139" s="164" t="s">
        <v>1459</v>
      </c>
      <c r="D139" s="164" t="s">
        <v>1460</v>
      </c>
      <c r="E139" s="975" t="s">
        <v>1461</v>
      </c>
      <c r="F139" s="978" t="s">
        <v>43</v>
      </c>
      <c r="G139" s="978" t="s">
        <v>404</v>
      </c>
      <c r="H139" s="925" t="s">
        <v>1300</v>
      </c>
      <c r="I139" s="925" t="s">
        <v>428</v>
      </c>
      <c r="J139" s="1371" t="s">
        <v>1311</v>
      </c>
      <c r="K139" s="980">
        <v>43145</v>
      </c>
      <c r="L139" s="980">
        <v>43281</v>
      </c>
      <c r="M139" s="983" t="s">
        <v>325</v>
      </c>
      <c r="N139" s="981"/>
      <c r="O139" s="981"/>
      <c r="P139" s="981"/>
      <c r="Q139" s="981"/>
      <c r="R139" s="980"/>
      <c r="S139" s="980"/>
      <c r="T139" s="980"/>
      <c r="U139" s="980"/>
      <c r="V139" s="981"/>
      <c r="W139" s="981"/>
      <c r="X139" s="981"/>
      <c r="Y139" s="988"/>
      <c r="Z139" s="980"/>
      <c r="AA139" s="980"/>
      <c r="AB139" s="988"/>
      <c r="AC139" s="988"/>
      <c r="AD139" s="988"/>
      <c r="AE139" s="988"/>
      <c r="AF139" s="640">
        <f ca="1" t="shared" si="22"/>
        <v>8.61546296296001</v>
      </c>
      <c r="AG139" s="121" t="str">
        <f ca="1" t="shared" si="23"/>
        <v>WARNING</v>
      </c>
      <c r="AH139" s="1002">
        <v>3150000</v>
      </c>
      <c r="AI139" s="1002">
        <v>250000</v>
      </c>
      <c r="AJ139" s="1002"/>
      <c r="AK139" s="1458">
        <v>30000</v>
      </c>
      <c r="AL139" s="1459"/>
      <c r="AM139" s="1459"/>
      <c r="AN139" s="1001"/>
      <c r="AO139" s="1459"/>
      <c r="AP139" s="1001"/>
      <c r="AQ139" s="1001" t="s">
        <v>0</v>
      </c>
      <c r="AR139" s="1001" t="s">
        <v>48</v>
      </c>
      <c r="AS139" s="1001" t="s">
        <v>49</v>
      </c>
      <c r="AT139" s="1371" t="s">
        <v>1312</v>
      </c>
      <c r="AU139" s="285" t="s">
        <v>1462</v>
      </c>
      <c r="AV139" s="1537" t="s">
        <v>1463</v>
      </c>
      <c r="AW139" s="1012" t="s">
        <v>1464</v>
      </c>
      <c r="AX139" s="1538" t="s">
        <v>1465</v>
      </c>
      <c r="AY139" s="1009"/>
      <c r="AZ139" s="1009"/>
      <c r="BA139" s="1009"/>
      <c r="BB139" s="127" t="s">
        <v>1466</v>
      </c>
      <c r="BC139" s="164"/>
      <c r="BD139" s="1402" t="s">
        <v>55</v>
      </c>
      <c r="BF139" s="1306"/>
    </row>
    <row r="140" s="873" customFormat="1" ht="14.1" customHeight="1" spans="2:58">
      <c r="B140" s="1532" t="s">
        <v>1467</v>
      </c>
      <c r="C140" s="164" t="s">
        <v>1468</v>
      </c>
      <c r="D140" s="164" t="s">
        <v>1469</v>
      </c>
      <c r="E140" s="975" t="s">
        <v>1470</v>
      </c>
      <c r="F140" s="978" t="s">
        <v>43</v>
      </c>
      <c r="G140" s="1466" t="s">
        <v>404</v>
      </c>
      <c r="H140" s="925" t="s">
        <v>1300</v>
      </c>
      <c r="I140" s="925" t="s">
        <v>428</v>
      </c>
      <c r="J140" s="1371" t="s">
        <v>1471</v>
      </c>
      <c r="K140" s="980">
        <v>43145</v>
      </c>
      <c r="L140" s="980">
        <v>43281</v>
      </c>
      <c r="M140" s="983" t="s">
        <v>325</v>
      </c>
      <c r="N140" s="981"/>
      <c r="O140" s="981"/>
      <c r="P140" s="981"/>
      <c r="Q140" s="981"/>
      <c r="R140" s="980"/>
      <c r="S140" s="980"/>
      <c r="T140" s="980"/>
      <c r="U140" s="980"/>
      <c r="V140" s="981"/>
      <c r="W140" s="981"/>
      <c r="X140" s="981"/>
      <c r="Y140" s="988"/>
      <c r="Z140" s="980"/>
      <c r="AA140" s="980"/>
      <c r="AB140" s="988"/>
      <c r="AC140" s="988"/>
      <c r="AD140" s="988"/>
      <c r="AE140" s="988"/>
      <c r="AF140" s="640">
        <f ca="1" t="shared" si="22"/>
        <v>8.61546296296001</v>
      </c>
      <c r="AG140" s="121" t="str">
        <f ca="1" t="shared" si="23"/>
        <v>WARNING</v>
      </c>
      <c r="AH140" s="1002">
        <v>4000000</v>
      </c>
      <c r="AI140" s="1002">
        <v>400000</v>
      </c>
      <c r="AJ140" s="1002"/>
      <c r="AK140" s="1459"/>
      <c r="AL140" s="1458">
        <v>500000</v>
      </c>
      <c r="AM140" s="1459">
        <v>500000</v>
      </c>
      <c r="AN140" s="1001"/>
      <c r="AO140" s="1459"/>
      <c r="AP140" s="1001"/>
      <c r="AQ140" s="1001" t="s">
        <v>0</v>
      </c>
      <c r="AR140" s="1001" t="s">
        <v>48</v>
      </c>
      <c r="AS140" s="1001" t="s">
        <v>49</v>
      </c>
      <c r="AT140" s="1371" t="s">
        <v>1472</v>
      </c>
      <c r="AU140" s="285" t="s">
        <v>1473</v>
      </c>
      <c r="AV140" s="1537" t="s">
        <v>1474</v>
      </c>
      <c r="AW140" s="1012" t="s">
        <v>1475</v>
      </c>
      <c r="AX140" s="1538" t="s">
        <v>1476</v>
      </c>
      <c r="AY140" s="1009" t="s">
        <v>1477</v>
      </c>
      <c r="AZ140" s="1009"/>
      <c r="BA140" s="1009"/>
      <c r="BB140" s="127" t="s">
        <v>1478</v>
      </c>
      <c r="BC140" s="164"/>
      <c r="BD140" s="1402" t="s">
        <v>55</v>
      </c>
      <c r="BF140" s="1306"/>
    </row>
    <row r="141" s="873" customFormat="1" ht="14.1" customHeight="1" spans="2:58">
      <c r="B141" s="1532" t="s">
        <v>1479</v>
      </c>
      <c r="C141" s="164" t="s">
        <v>1480</v>
      </c>
      <c r="D141" s="164" t="s">
        <v>1481</v>
      </c>
      <c r="E141" s="975" t="s">
        <v>1482</v>
      </c>
      <c r="F141" s="978" t="s">
        <v>43</v>
      </c>
      <c r="G141" s="978" t="s">
        <v>44</v>
      </c>
      <c r="H141" s="925" t="s">
        <v>920</v>
      </c>
      <c r="I141" s="925" t="s">
        <v>428</v>
      </c>
      <c r="J141" s="925" t="s">
        <v>185</v>
      </c>
      <c r="K141" s="980">
        <v>43144</v>
      </c>
      <c r="L141" s="980">
        <v>43232</v>
      </c>
      <c r="M141" s="1455">
        <v>43373</v>
      </c>
      <c r="N141" s="981"/>
      <c r="O141" s="981"/>
      <c r="P141" s="981"/>
      <c r="Q141" s="981"/>
      <c r="R141" s="980"/>
      <c r="S141" s="980"/>
      <c r="T141" s="980"/>
      <c r="U141" s="980"/>
      <c r="V141" s="981"/>
      <c r="W141" s="981"/>
      <c r="X141" s="981"/>
      <c r="Y141" s="988"/>
      <c r="Z141" s="980"/>
      <c r="AA141" s="980"/>
      <c r="AB141" s="988"/>
      <c r="AC141" s="988"/>
      <c r="AD141" s="988"/>
      <c r="AE141" s="988"/>
      <c r="AF141" s="640">
        <f ca="1">SUM(M141-NOW())</f>
        <v>100.61546296296</v>
      </c>
      <c r="AG141" s="121" t="str">
        <f ca="1" t="shared" si="23"/>
        <v>ACTIVE</v>
      </c>
      <c r="AH141" s="1002">
        <v>2756000</v>
      </c>
      <c r="AI141" s="1002">
        <v>150000</v>
      </c>
      <c r="AJ141" s="1002">
        <v>17000</v>
      </c>
      <c r="AK141" s="1459"/>
      <c r="AL141" s="1459"/>
      <c r="AM141" s="1459"/>
      <c r="AN141" s="1001"/>
      <c r="AO141" s="1459"/>
      <c r="AP141" s="1001"/>
      <c r="AQ141" s="1001" t="s">
        <v>0</v>
      </c>
      <c r="AR141" s="1001" t="s">
        <v>48</v>
      </c>
      <c r="AS141" s="1001" t="s">
        <v>49</v>
      </c>
      <c r="AT141" s="925"/>
      <c r="AU141" s="285" t="s">
        <v>1483</v>
      </c>
      <c r="AV141" s="1537" t="s">
        <v>1484</v>
      </c>
      <c r="AW141" s="1012" t="s">
        <v>1485</v>
      </c>
      <c r="AX141" s="1538" t="s">
        <v>1486</v>
      </c>
      <c r="AY141" s="1009"/>
      <c r="AZ141" s="1009"/>
      <c r="BA141" s="1009"/>
      <c r="BB141" s="127" t="s">
        <v>1487</v>
      </c>
      <c r="BC141" s="164"/>
      <c r="BD141" s="1402" t="s">
        <v>729</v>
      </c>
      <c r="BF141" s="1306"/>
    </row>
    <row r="142" s="873" customFormat="1" ht="14.1" customHeight="1" spans="2:58">
      <c r="B142" s="1532" t="s">
        <v>1488</v>
      </c>
      <c r="C142" s="164" t="s">
        <v>1489</v>
      </c>
      <c r="D142" s="164" t="s">
        <v>1490</v>
      </c>
      <c r="E142" s="975" t="s">
        <v>1491</v>
      </c>
      <c r="F142" s="978" t="s">
        <v>43</v>
      </c>
      <c r="G142" s="978" t="s">
        <v>404</v>
      </c>
      <c r="H142" s="925" t="s">
        <v>920</v>
      </c>
      <c r="I142" s="925" t="s">
        <v>428</v>
      </c>
      <c r="J142" s="925" t="s">
        <v>208</v>
      </c>
      <c r="K142" s="980">
        <v>43154</v>
      </c>
      <c r="L142" s="980">
        <v>43242</v>
      </c>
      <c r="M142" s="1455">
        <v>43434</v>
      </c>
      <c r="N142" s="981"/>
      <c r="O142" s="981"/>
      <c r="P142" s="981"/>
      <c r="Q142" s="981"/>
      <c r="R142" s="980"/>
      <c r="S142" s="980"/>
      <c r="T142" s="980"/>
      <c r="U142" s="980"/>
      <c r="V142" s="981"/>
      <c r="W142" s="981"/>
      <c r="X142" s="981"/>
      <c r="Y142" s="988"/>
      <c r="Z142" s="980"/>
      <c r="AA142" s="980"/>
      <c r="AB142" s="988"/>
      <c r="AC142" s="988"/>
      <c r="AD142" s="988"/>
      <c r="AE142" s="988"/>
      <c r="AF142" s="640">
        <f ca="1" t="shared" ref="AF142:AF173" si="24">SUM(L142-NOW())</f>
        <v>-30.38453703704</v>
      </c>
      <c r="AG142" s="121" t="str">
        <f ca="1" t="shared" si="23"/>
        <v>WARNING</v>
      </c>
      <c r="AH142" s="1002">
        <v>3700000</v>
      </c>
      <c r="AI142" s="1002">
        <v>250000</v>
      </c>
      <c r="AJ142" s="1002">
        <v>20000</v>
      </c>
      <c r="AK142" s="1459"/>
      <c r="AL142" s="1459">
        <v>200000</v>
      </c>
      <c r="AM142" s="1459"/>
      <c r="AN142" s="1001"/>
      <c r="AO142" s="1459"/>
      <c r="AP142" s="1001"/>
      <c r="AQ142" s="1001" t="s">
        <v>0</v>
      </c>
      <c r="AR142" s="1001" t="s">
        <v>48</v>
      </c>
      <c r="AS142" s="1001" t="s">
        <v>49</v>
      </c>
      <c r="AT142" s="925"/>
      <c r="AU142" s="285" t="s">
        <v>1492</v>
      </c>
      <c r="AV142" s="1537" t="s">
        <v>1493</v>
      </c>
      <c r="AW142" s="1012" t="s">
        <v>1494</v>
      </c>
      <c r="AX142" s="1538" t="s">
        <v>1495</v>
      </c>
      <c r="AY142" s="1009"/>
      <c r="AZ142" s="1009" t="s">
        <v>1496</v>
      </c>
      <c r="BA142" s="1538" t="s">
        <v>1497</v>
      </c>
      <c r="BB142" s="127" t="s">
        <v>1498</v>
      </c>
      <c r="BC142" s="164"/>
      <c r="BD142" s="1402"/>
      <c r="BF142" s="1306"/>
    </row>
    <row r="143" s="873" customFormat="1" ht="14.1" customHeight="1" spans="2:58">
      <c r="B143" s="1532" t="s">
        <v>1499</v>
      </c>
      <c r="C143" s="164" t="s">
        <v>1500</v>
      </c>
      <c r="D143" s="164" t="s">
        <v>1501</v>
      </c>
      <c r="E143" s="975" t="s">
        <v>1502</v>
      </c>
      <c r="F143" s="978" t="s">
        <v>125</v>
      </c>
      <c r="G143" s="978" t="s">
        <v>60</v>
      </c>
      <c r="H143" s="925" t="s">
        <v>1343</v>
      </c>
      <c r="I143" s="925" t="s">
        <v>428</v>
      </c>
      <c r="J143" s="925" t="s">
        <v>1503</v>
      </c>
      <c r="K143" s="980">
        <v>43157</v>
      </c>
      <c r="L143" s="980">
        <v>43281</v>
      </c>
      <c r="M143" s="1453"/>
      <c r="N143" s="981"/>
      <c r="O143" s="981"/>
      <c r="P143" s="981"/>
      <c r="Q143" s="981"/>
      <c r="R143" s="980"/>
      <c r="S143" s="980"/>
      <c r="T143" s="980"/>
      <c r="U143" s="980"/>
      <c r="V143" s="981"/>
      <c r="W143" s="981"/>
      <c r="X143" s="981"/>
      <c r="Y143" s="988"/>
      <c r="Z143" s="980"/>
      <c r="AA143" s="980"/>
      <c r="AB143" s="988"/>
      <c r="AC143" s="988"/>
      <c r="AD143" s="988"/>
      <c r="AE143" s="988"/>
      <c r="AF143" s="640">
        <f ca="1" t="shared" si="24"/>
        <v>8.61546296296001</v>
      </c>
      <c r="AG143" s="121" t="str">
        <f ca="1" t="shared" si="23"/>
        <v>WARNING</v>
      </c>
      <c r="AH143" s="1002">
        <v>3000000</v>
      </c>
      <c r="AI143" s="1002">
        <v>250000</v>
      </c>
      <c r="AJ143" s="1002"/>
      <c r="AK143" s="1459"/>
      <c r="AL143" s="1459"/>
      <c r="AM143" s="1459">
        <v>500000</v>
      </c>
      <c r="AN143" s="1001"/>
      <c r="AO143" s="1459">
        <v>325000</v>
      </c>
      <c r="AP143" s="1001"/>
      <c r="AQ143" s="1001" t="s">
        <v>0</v>
      </c>
      <c r="AR143" s="1001" t="s">
        <v>48</v>
      </c>
      <c r="AS143" s="1001" t="s">
        <v>49</v>
      </c>
      <c r="AT143" s="925"/>
      <c r="AU143" s="285" t="s">
        <v>1504</v>
      </c>
      <c r="AV143" s="1537" t="s">
        <v>1505</v>
      </c>
      <c r="AW143" s="1012" t="s">
        <v>1506</v>
      </c>
      <c r="AX143" s="1538" t="s">
        <v>1507</v>
      </c>
      <c r="AY143" s="1009"/>
      <c r="AZ143" s="1009"/>
      <c r="BA143" s="1009"/>
      <c r="BB143" s="127" t="s">
        <v>1508</v>
      </c>
      <c r="BC143" s="164"/>
      <c r="BD143" s="1402"/>
      <c r="BF143" s="1306"/>
    </row>
    <row r="144" s="873" customFormat="1" ht="14.1" customHeight="1" spans="2:58">
      <c r="B144" s="1532" t="s">
        <v>1509</v>
      </c>
      <c r="C144" s="164" t="s">
        <v>1510</v>
      </c>
      <c r="D144" s="164" t="s">
        <v>1511</v>
      </c>
      <c r="E144" s="975" t="s">
        <v>1512</v>
      </c>
      <c r="F144" s="978" t="s">
        <v>43</v>
      </c>
      <c r="G144" s="978" t="s">
        <v>254</v>
      </c>
      <c r="H144" s="925" t="s">
        <v>1300</v>
      </c>
      <c r="I144" s="925" t="s">
        <v>428</v>
      </c>
      <c r="J144" s="925" t="s">
        <v>208</v>
      </c>
      <c r="K144" s="980">
        <v>43160</v>
      </c>
      <c r="L144" s="980">
        <v>43281</v>
      </c>
      <c r="M144" s="1453"/>
      <c r="N144" s="981"/>
      <c r="O144" s="981"/>
      <c r="P144" s="981"/>
      <c r="Q144" s="981"/>
      <c r="R144" s="980"/>
      <c r="S144" s="980"/>
      <c r="T144" s="980"/>
      <c r="U144" s="980"/>
      <c r="V144" s="981"/>
      <c r="W144" s="981"/>
      <c r="X144" s="981"/>
      <c r="Y144" s="988"/>
      <c r="Z144" s="980"/>
      <c r="AA144" s="980"/>
      <c r="AB144" s="988"/>
      <c r="AC144" s="988"/>
      <c r="AD144" s="988"/>
      <c r="AE144" s="988"/>
      <c r="AF144" s="640">
        <f ca="1" t="shared" si="24"/>
        <v>8.61546296296001</v>
      </c>
      <c r="AG144" s="121" t="str">
        <f ca="1" t="shared" si="23"/>
        <v>WARNING</v>
      </c>
      <c r="AH144" s="1002">
        <v>4000000</v>
      </c>
      <c r="AI144" s="1002">
        <v>400000</v>
      </c>
      <c r="AJ144" s="1002"/>
      <c r="AK144" s="1459"/>
      <c r="AL144" s="1459"/>
      <c r="AM144" s="1459">
        <v>500000</v>
      </c>
      <c r="AN144" s="1001"/>
      <c r="AO144" s="1459"/>
      <c r="AP144" s="1001"/>
      <c r="AQ144" s="1001" t="s">
        <v>0</v>
      </c>
      <c r="AR144" s="1001" t="s">
        <v>48</v>
      </c>
      <c r="AS144" s="1001" t="s">
        <v>49</v>
      </c>
      <c r="AT144" s="925"/>
      <c r="AU144" s="285" t="s">
        <v>1513</v>
      </c>
      <c r="AV144" s="1537" t="s">
        <v>1514</v>
      </c>
      <c r="AW144" s="1012" t="s">
        <v>1515</v>
      </c>
      <c r="AX144" s="1538" t="s">
        <v>1516</v>
      </c>
      <c r="AY144" s="1009" t="s">
        <v>1517</v>
      </c>
      <c r="AZ144" s="1009" t="s">
        <v>1518</v>
      </c>
      <c r="BA144" s="1538" t="s">
        <v>1519</v>
      </c>
      <c r="BB144" s="127" t="s">
        <v>1520</v>
      </c>
      <c r="BC144" s="164"/>
      <c r="BD144" s="1402"/>
      <c r="BF144" s="1306"/>
    </row>
    <row r="145" s="1282" customFormat="1" ht="14.1" customHeight="1" spans="2:58">
      <c r="B145" s="1532" t="s">
        <v>1521</v>
      </c>
      <c r="C145" s="164" t="s">
        <v>1522</v>
      </c>
      <c r="D145" s="164" t="s">
        <v>1523</v>
      </c>
      <c r="E145" s="975" t="s">
        <v>1524</v>
      </c>
      <c r="F145" s="976" t="s">
        <v>43</v>
      </c>
      <c r="G145" s="977" t="s">
        <v>44</v>
      </c>
      <c r="H145" s="925" t="s">
        <v>361</v>
      </c>
      <c r="I145" s="925" t="s">
        <v>428</v>
      </c>
      <c r="J145" s="925" t="s">
        <v>185</v>
      </c>
      <c r="K145" s="980">
        <v>43125</v>
      </c>
      <c r="L145" s="980">
        <v>43250</v>
      </c>
      <c r="M145" s="1455">
        <v>43434</v>
      </c>
      <c r="N145" s="981"/>
      <c r="O145" s="981"/>
      <c r="P145" s="981"/>
      <c r="Q145" s="981"/>
      <c r="R145" s="980"/>
      <c r="S145" s="980"/>
      <c r="T145" s="980"/>
      <c r="U145" s="980"/>
      <c r="V145" s="981"/>
      <c r="W145" s="981"/>
      <c r="X145" s="981"/>
      <c r="Y145" s="988"/>
      <c r="Z145" s="980"/>
      <c r="AA145" s="980"/>
      <c r="AB145" s="988"/>
      <c r="AC145" s="988"/>
      <c r="AD145" s="988"/>
      <c r="AE145" s="988"/>
      <c r="AF145" s="640">
        <f ca="1">SUM(M145-NOW())</f>
        <v>161.61546296296</v>
      </c>
      <c r="AG145" s="121" t="str">
        <f ca="1" t="shared" si="23"/>
        <v>ACTIVE</v>
      </c>
      <c r="AH145" s="1002">
        <v>2765000</v>
      </c>
      <c r="AI145" s="1002">
        <v>150000</v>
      </c>
      <c r="AJ145" s="1002">
        <v>17000</v>
      </c>
      <c r="AK145" s="1459"/>
      <c r="AL145" s="1459"/>
      <c r="AM145" s="1459"/>
      <c r="AN145" s="1001"/>
      <c r="AO145" s="1459"/>
      <c r="AP145" s="1001"/>
      <c r="AQ145" s="1001" t="s">
        <v>0</v>
      </c>
      <c r="AR145" s="1001" t="s">
        <v>48</v>
      </c>
      <c r="AS145" s="1001" t="s">
        <v>49</v>
      </c>
      <c r="AT145" s="925"/>
      <c r="AU145" s="285" t="s">
        <v>1525</v>
      </c>
      <c r="AV145" s="1533" t="s">
        <v>1526</v>
      </c>
      <c r="AW145" s="1011" t="s">
        <v>1527</v>
      </c>
      <c r="AX145" s="1011" t="s">
        <v>1528</v>
      </c>
      <c r="AY145" s="1009"/>
      <c r="AZ145" s="1009"/>
      <c r="BA145" s="1009"/>
      <c r="BB145" s="130"/>
      <c r="BC145" s="164"/>
      <c r="BD145" s="1402"/>
      <c r="BF145" s="1308"/>
    </row>
    <row r="146" s="873" customFormat="1" ht="14.1" customHeight="1" spans="2:58">
      <c r="B146" s="1532" t="s">
        <v>1529</v>
      </c>
      <c r="C146" s="164" t="s">
        <v>1530</v>
      </c>
      <c r="D146" s="164" t="s">
        <v>1531</v>
      </c>
      <c r="E146" s="975" t="s">
        <v>1532</v>
      </c>
      <c r="F146" s="978" t="s">
        <v>43</v>
      </c>
      <c r="G146" s="978" t="s">
        <v>44</v>
      </c>
      <c r="H146" s="925" t="s">
        <v>1343</v>
      </c>
      <c r="I146" s="925" t="s">
        <v>428</v>
      </c>
      <c r="J146" s="925" t="s">
        <v>1533</v>
      </c>
      <c r="K146" s="980">
        <v>43150</v>
      </c>
      <c r="L146" s="980">
        <v>43281</v>
      </c>
      <c r="M146" s="1453"/>
      <c r="N146" s="981"/>
      <c r="O146" s="981"/>
      <c r="P146" s="981"/>
      <c r="Q146" s="981"/>
      <c r="R146" s="980"/>
      <c r="S146" s="980"/>
      <c r="T146" s="980"/>
      <c r="U146" s="980"/>
      <c r="V146" s="981"/>
      <c r="W146" s="981"/>
      <c r="X146" s="981"/>
      <c r="Y146" s="988"/>
      <c r="Z146" s="980"/>
      <c r="AA146" s="980"/>
      <c r="AB146" s="988"/>
      <c r="AC146" s="988"/>
      <c r="AD146" s="988"/>
      <c r="AE146" s="988"/>
      <c r="AF146" s="640">
        <f ca="1" t="shared" si="24"/>
        <v>8.61546296296001</v>
      </c>
      <c r="AG146" s="121" t="str">
        <f ca="1" t="shared" si="23"/>
        <v>WARNING</v>
      </c>
      <c r="AH146" s="1002">
        <v>2800000</v>
      </c>
      <c r="AI146" s="1002">
        <v>200000</v>
      </c>
      <c r="AJ146" s="1002"/>
      <c r="AK146" s="1459"/>
      <c r="AL146" s="1459"/>
      <c r="AM146" s="1459"/>
      <c r="AN146" s="1001"/>
      <c r="AO146" s="1459"/>
      <c r="AP146" s="1001"/>
      <c r="AQ146" s="1001" t="s">
        <v>0</v>
      </c>
      <c r="AR146" s="1001" t="s">
        <v>48</v>
      </c>
      <c r="AS146" s="1001" t="s">
        <v>49</v>
      </c>
      <c r="AT146" s="925"/>
      <c r="AU146" s="285" t="s">
        <v>1534</v>
      </c>
      <c r="AV146" s="961"/>
      <c r="AW146" s="1012" t="s">
        <v>1535</v>
      </c>
      <c r="AX146" s="1538" t="s">
        <v>1536</v>
      </c>
      <c r="AY146" s="1009"/>
      <c r="AZ146" s="1009"/>
      <c r="BA146" s="1538" t="s">
        <v>1537</v>
      </c>
      <c r="BB146" s="127"/>
      <c r="BC146" s="164"/>
      <c r="BD146" s="1402"/>
      <c r="BF146" s="1306"/>
    </row>
    <row r="147" s="873" customFormat="1" ht="14.1" customHeight="1" spans="2:58">
      <c r="B147" s="1532" t="s">
        <v>1538</v>
      </c>
      <c r="C147" s="164" t="s">
        <v>1539</v>
      </c>
      <c r="D147" s="164" t="s">
        <v>1540</v>
      </c>
      <c r="E147" s="975" t="s">
        <v>1541</v>
      </c>
      <c r="F147" s="978" t="s">
        <v>43</v>
      </c>
      <c r="G147" s="978"/>
      <c r="H147" s="925" t="s">
        <v>1343</v>
      </c>
      <c r="I147" s="925" t="s">
        <v>428</v>
      </c>
      <c r="J147" s="925" t="s">
        <v>1533</v>
      </c>
      <c r="K147" s="980">
        <v>43150</v>
      </c>
      <c r="L147" s="980">
        <v>43281</v>
      </c>
      <c r="M147" s="1453"/>
      <c r="N147" s="981"/>
      <c r="O147" s="981"/>
      <c r="P147" s="981"/>
      <c r="Q147" s="981"/>
      <c r="R147" s="980"/>
      <c r="S147" s="980"/>
      <c r="T147" s="980"/>
      <c r="U147" s="980"/>
      <c r="V147" s="981"/>
      <c r="W147" s="981"/>
      <c r="X147" s="981"/>
      <c r="Y147" s="988"/>
      <c r="Z147" s="980"/>
      <c r="AA147" s="980"/>
      <c r="AB147" s="988"/>
      <c r="AC147" s="988"/>
      <c r="AD147" s="988"/>
      <c r="AE147" s="988"/>
      <c r="AF147" s="640">
        <f ca="1" t="shared" si="24"/>
        <v>8.61546296296001</v>
      </c>
      <c r="AG147" s="121" t="str">
        <f ca="1" t="shared" si="23"/>
        <v>WARNING</v>
      </c>
      <c r="AH147" s="1002">
        <v>2800000</v>
      </c>
      <c r="AI147" s="1002">
        <v>200000</v>
      </c>
      <c r="AJ147" s="1002"/>
      <c r="AK147" s="1459"/>
      <c r="AL147" s="1459"/>
      <c r="AM147" s="1459"/>
      <c r="AN147" s="1001"/>
      <c r="AO147" s="1459"/>
      <c r="AP147" s="1001"/>
      <c r="AQ147" s="1001" t="s">
        <v>0</v>
      </c>
      <c r="AR147" s="1001" t="s">
        <v>48</v>
      </c>
      <c r="AS147" s="1001" t="s">
        <v>49</v>
      </c>
      <c r="AT147" s="925"/>
      <c r="AU147" s="285" t="s">
        <v>1542</v>
      </c>
      <c r="AV147" s="961"/>
      <c r="AW147" s="1012" t="s">
        <v>1543</v>
      </c>
      <c r="AX147" s="1538" t="s">
        <v>1544</v>
      </c>
      <c r="AY147" s="1009"/>
      <c r="AZ147" s="1009"/>
      <c r="BA147" s="1009"/>
      <c r="BB147" s="127"/>
      <c r="BC147" s="164"/>
      <c r="BD147" s="1402"/>
      <c r="BF147" s="1306"/>
    </row>
    <row r="148" s="873" customFormat="1" ht="14.1" customHeight="1" spans="2:58">
      <c r="B148" s="1532" t="s">
        <v>1545</v>
      </c>
      <c r="C148" s="164" t="s">
        <v>1546</v>
      </c>
      <c r="D148" s="164" t="s">
        <v>1547</v>
      </c>
      <c r="E148" s="975" t="s">
        <v>1548</v>
      </c>
      <c r="F148" s="978" t="s">
        <v>43</v>
      </c>
      <c r="G148" s="978" t="s">
        <v>404</v>
      </c>
      <c r="H148" s="925" t="s">
        <v>1549</v>
      </c>
      <c r="I148" s="925" t="s">
        <v>428</v>
      </c>
      <c r="J148" s="925" t="s">
        <v>1550</v>
      </c>
      <c r="K148" s="980">
        <v>43164</v>
      </c>
      <c r="L148" s="980">
        <v>43281</v>
      </c>
      <c r="M148" s="1453"/>
      <c r="N148" s="981"/>
      <c r="O148" s="981"/>
      <c r="P148" s="981"/>
      <c r="Q148" s="981"/>
      <c r="R148" s="980"/>
      <c r="S148" s="980"/>
      <c r="T148" s="980"/>
      <c r="U148" s="980"/>
      <c r="V148" s="981"/>
      <c r="W148" s="981"/>
      <c r="X148" s="981"/>
      <c r="Y148" s="988"/>
      <c r="Z148" s="980"/>
      <c r="AA148" s="980"/>
      <c r="AB148" s="988"/>
      <c r="AC148" s="988"/>
      <c r="AD148" s="988"/>
      <c r="AE148" s="988"/>
      <c r="AF148" s="640">
        <f ca="1" t="shared" si="24"/>
        <v>8.61546296296001</v>
      </c>
      <c r="AG148" s="121" t="str">
        <f ca="1" t="shared" si="23"/>
        <v>WARNING</v>
      </c>
      <c r="AH148" s="1002">
        <v>3000000</v>
      </c>
      <c r="AI148" s="1002">
        <v>200000</v>
      </c>
      <c r="AJ148" s="1002">
        <v>17000</v>
      </c>
      <c r="AK148" s="1459">
        <v>30000</v>
      </c>
      <c r="AL148" s="1459"/>
      <c r="AM148" s="1459"/>
      <c r="AN148" s="1001"/>
      <c r="AO148" s="1459"/>
      <c r="AP148" s="1001"/>
      <c r="AQ148" s="1001" t="s">
        <v>0</v>
      </c>
      <c r="AR148" s="1001" t="s">
        <v>48</v>
      </c>
      <c r="AS148" s="1001" t="s">
        <v>49</v>
      </c>
      <c r="AT148" s="925"/>
      <c r="AU148" s="285" t="s">
        <v>1551</v>
      </c>
      <c r="AV148" s="1537" t="s">
        <v>1552</v>
      </c>
      <c r="AW148" s="1279" t="s">
        <v>1553</v>
      </c>
      <c r="AX148" s="1538" t="s">
        <v>1554</v>
      </c>
      <c r="AY148" s="1009"/>
      <c r="AZ148" s="1009" t="s">
        <v>1555</v>
      </c>
      <c r="BA148" s="1009"/>
      <c r="BB148" s="127" t="s">
        <v>1556</v>
      </c>
      <c r="BC148" s="164"/>
      <c r="BD148" s="1402"/>
      <c r="BF148" s="1306"/>
    </row>
    <row r="149" s="873" customFormat="1" ht="14.1" customHeight="1" spans="2:58">
      <c r="B149" s="1532" t="s">
        <v>1557</v>
      </c>
      <c r="C149" s="164" t="s">
        <v>1558</v>
      </c>
      <c r="D149" s="164" t="s">
        <v>1559</v>
      </c>
      <c r="E149" s="975" t="s">
        <v>1560</v>
      </c>
      <c r="F149" s="978" t="s">
        <v>43</v>
      </c>
      <c r="G149" s="978" t="s">
        <v>44</v>
      </c>
      <c r="H149" s="925" t="s">
        <v>1300</v>
      </c>
      <c r="I149" s="925" t="s">
        <v>428</v>
      </c>
      <c r="J149" s="925" t="s">
        <v>722</v>
      </c>
      <c r="K149" s="980">
        <v>43166</v>
      </c>
      <c r="L149" s="980">
        <v>43281</v>
      </c>
      <c r="M149" s="1453"/>
      <c r="N149" s="981"/>
      <c r="O149" s="981"/>
      <c r="P149" s="981"/>
      <c r="Q149" s="981"/>
      <c r="R149" s="980"/>
      <c r="S149" s="980"/>
      <c r="T149" s="980"/>
      <c r="U149" s="980"/>
      <c r="V149" s="981"/>
      <c r="W149" s="981"/>
      <c r="X149" s="981"/>
      <c r="Y149" s="988"/>
      <c r="Z149" s="980"/>
      <c r="AA149" s="980"/>
      <c r="AB149" s="988"/>
      <c r="AC149" s="988"/>
      <c r="AD149" s="988"/>
      <c r="AE149" s="988"/>
      <c r="AF149" s="640">
        <f ca="1" t="shared" si="24"/>
        <v>8.61546296296001</v>
      </c>
      <c r="AG149" s="121" t="str">
        <f ca="1" t="shared" si="23"/>
        <v>WARNING</v>
      </c>
      <c r="AH149" s="1002">
        <v>4000000</v>
      </c>
      <c r="AI149" s="1002">
        <v>250000</v>
      </c>
      <c r="AJ149" s="1002"/>
      <c r="AK149" s="1459"/>
      <c r="AL149" s="1459"/>
      <c r="AM149" s="1459">
        <v>500000</v>
      </c>
      <c r="AN149" s="1001"/>
      <c r="AO149" s="1459"/>
      <c r="AP149" s="1001"/>
      <c r="AQ149" s="1001" t="s">
        <v>0</v>
      </c>
      <c r="AR149" s="1001" t="s">
        <v>48</v>
      </c>
      <c r="AS149" s="1001" t="s">
        <v>49</v>
      </c>
      <c r="AT149" s="925"/>
      <c r="AU149" s="285" t="s">
        <v>1561</v>
      </c>
      <c r="AV149" s="1537" t="s">
        <v>1562</v>
      </c>
      <c r="AW149" s="1012" t="s">
        <v>1563</v>
      </c>
      <c r="AX149" s="1538" t="s">
        <v>1564</v>
      </c>
      <c r="AY149" s="1538" t="s">
        <v>1565</v>
      </c>
      <c r="AZ149" s="1009"/>
      <c r="BA149" s="1009"/>
      <c r="BB149" s="127" t="s">
        <v>1566</v>
      </c>
      <c r="BC149" s="164"/>
      <c r="BD149" s="1402"/>
      <c r="BF149" s="1306"/>
    </row>
    <row r="150" s="873" customFormat="1" ht="14.1" customHeight="1" spans="2:58">
      <c r="B150" s="1532" t="s">
        <v>1567</v>
      </c>
      <c r="C150" s="164" t="s">
        <v>1568</v>
      </c>
      <c r="D150" s="164" t="s">
        <v>1569</v>
      </c>
      <c r="E150" s="975" t="s">
        <v>1570</v>
      </c>
      <c r="F150" s="978" t="s">
        <v>125</v>
      </c>
      <c r="G150" s="978" t="s">
        <v>404</v>
      </c>
      <c r="H150" s="925" t="s">
        <v>1300</v>
      </c>
      <c r="I150" s="925" t="s">
        <v>428</v>
      </c>
      <c r="J150" s="925" t="s">
        <v>1571</v>
      </c>
      <c r="K150" s="980">
        <v>43166</v>
      </c>
      <c r="L150" s="980">
        <v>43281</v>
      </c>
      <c r="M150" s="1453"/>
      <c r="N150" s="981"/>
      <c r="O150" s="981"/>
      <c r="P150" s="981"/>
      <c r="Q150" s="981"/>
      <c r="R150" s="980"/>
      <c r="S150" s="980"/>
      <c r="T150" s="980"/>
      <c r="U150" s="980"/>
      <c r="V150" s="981"/>
      <c r="W150" s="981"/>
      <c r="X150" s="981"/>
      <c r="Y150" s="988"/>
      <c r="Z150" s="980"/>
      <c r="AA150" s="980"/>
      <c r="AB150" s="988"/>
      <c r="AC150" s="988"/>
      <c r="AD150" s="988"/>
      <c r="AE150" s="988"/>
      <c r="AF150" s="640">
        <f ca="1" t="shared" si="24"/>
        <v>8.61546296296001</v>
      </c>
      <c r="AG150" s="121" t="str">
        <f ca="1" t="shared" si="23"/>
        <v>WARNING</v>
      </c>
      <c r="AH150" s="1002">
        <v>4000000</v>
      </c>
      <c r="AI150" s="1002">
        <v>250000</v>
      </c>
      <c r="AJ150" s="1002"/>
      <c r="AK150" s="1459"/>
      <c r="AL150" s="1459"/>
      <c r="AM150" s="1459">
        <v>500000</v>
      </c>
      <c r="AN150" s="1001"/>
      <c r="AO150" s="1459"/>
      <c r="AP150" s="1001"/>
      <c r="AQ150" s="1001" t="s">
        <v>0</v>
      </c>
      <c r="AR150" s="1001" t="s">
        <v>48</v>
      </c>
      <c r="AS150" s="1001" t="s">
        <v>49</v>
      </c>
      <c r="AT150" s="925"/>
      <c r="AU150" s="285" t="s">
        <v>1572</v>
      </c>
      <c r="AV150" s="1537" t="s">
        <v>1573</v>
      </c>
      <c r="AW150" s="1012" t="s">
        <v>1574</v>
      </c>
      <c r="AX150" s="1538" t="s">
        <v>1575</v>
      </c>
      <c r="AY150" s="1009" t="s">
        <v>1576</v>
      </c>
      <c r="AZ150" s="1538" t="s">
        <v>1577</v>
      </c>
      <c r="BA150" s="1538" t="s">
        <v>1578</v>
      </c>
      <c r="BB150" s="127" t="s">
        <v>1579</v>
      </c>
      <c r="BC150" s="164"/>
      <c r="BD150" s="1402"/>
      <c r="BF150" s="1306"/>
    </row>
    <row r="151" s="873" customFormat="1" ht="14.1" customHeight="1" spans="2:58">
      <c r="B151" s="1532" t="s">
        <v>1580</v>
      </c>
      <c r="C151" s="164" t="s">
        <v>1581</v>
      </c>
      <c r="D151" s="164" t="s">
        <v>1582</v>
      </c>
      <c r="E151" s="975" t="s">
        <v>1583</v>
      </c>
      <c r="F151" s="978" t="s">
        <v>43</v>
      </c>
      <c r="G151" s="978" t="s">
        <v>60</v>
      </c>
      <c r="H151" s="925" t="s">
        <v>1068</v>
      </c>
      <c r="I151" s="925" t="s">
        <v>428</v>
      </c>
      <c r="J151" s="1371" t="s">
        <v>1584</v>
      </c>
      <c r="K151" s="980">
        <v>43168</v>
      </c>
      <c r="L151" s="980">
        <v>43373</v>
      </c>
      <c r="M151" s="1455" t="s">
        <v>325</v>
      </c>
      <c r="N151" s="981"/>
      <c r="O151" s="981"/>
      <c r="P151" s="981"/>
      <c r="Q151" s="981"/>
      <c r="R151" s="980"/>
      <c r="S151" s="980"/>
      <c r="T151" s="980"/>
      <c r="U151" s="980"/>
      <c r="V151" s="981"/>
      <c r="W151" s="981"/>
      <c r="X151" s="981"/>
      <c r="Y151" s="988"/>
      <c r="Z151" s="980"/>
      <c r="AA151" s="980"/>
      <c r="AB151" s="988"/>
      <c r="AC151" s="988"/>
      <c r="AD151" s="988"/>
      <c r="AE151" s="988"/>
      <c r="AF151" s="640">
        <f ca="1" t="shared" si="24"/>
        <v>100.61546296296</v>
      </c>
      <c r="AG151" s="121" t="str">
        <f ca="1" t="shared" si="23"/>
        <v>ACTIVE</v>
      </c>
      <c r="AH151" s="1002">
        <v>2800000</v>
      </c>
      <c r="AI151" s="1365">
        <v>250000</v>
      </c>
      <c r="AJ151" s="1002"/>
      <c r="AK151" s="1459"/>
      <c r="AL151" s="1459"/>
      <c r="AM151" s="1459"/>
      <c r="AN151" s="1001"/>
      <c r="AO151" s="1458">
        <v>715000</v>
      </c>
      <c r="AP151" s="1001"/>
      <c r="AQ151" s="1001" t="s">
        <v>0</v>
      </c>
      <c r="AR151" s="1001" t="s">
        <v>48</v>
      </c>
      <c r="AS151" s="1001" t="s">
        <v>49</v>
      </c>
      <c r="AT151" s="1371" t="s">
        <v>1585</v>
      </c>
      <c r="AU151" s="285" t="s">
        <v>1586</v>
      </c>
      <c r="AV151" s="1537" t="s">
        <v>1587</v>
      </c>
      <c r="AW151" s="1012" t="s">
        <v>1588</v>
      </c>
      <c r="AX151" s="1538" t="s">
        <v>1589</v>
      </c>
      <c r="AY151" s="1009" t="s">
        <v>1590</v>
      </c>
      <c r="AZ151" s="1009"/>
      <c r="BA151" s="1009"/>
      <c r="BB151" s="127"/>
      <c r="BC151" s="164"/>
      <c r="BD151" s="1402"/>
      <c r="BF151" s="1306"/>
    </row>
    <row r="152" s="873" customFormat="1" ht="14.1" customHeight="1" spans="2:58">
      <c r="B152" s="1532" t="s">
        <v>1591</v>
      </c>
      <c r="C152" s="164" t="s">
        <v>1592</v>
      </c>
      <c r="D152" s="164" t="s">
        <v>1593</v>
      </c>
      <c r="E152" s="975" t="s">
        <v>1594</v>
      </c>
      <c r="F152" s="978" t="s">
        <v>43</v>
      </c>
      <c r="G152" s="978" t="s">
        <v>254</v>
      </c>
      <c r="H152" s="925" t="s">
        <v>1068</v>
      </c>
      <c r="I152" s="925" t="s">
        <v>428</v>
      </c>
      <c r="J152" s="925" t="s">
        <v>1595</v>
      </c>
      <c r="K152" s="980">
        <v>43162</v>
      </c>
      <c r="L152" s="980">
        <v>43373</v>
      </c>
      <c r="M152" s="1453"/>
      <c r="N152" s="981"/>
      <c r="O152" s="981"/>
      <c r="P152" s="981"/>
      <c r="Q152" s="981"/>
      <c r="R152" s="980"/>
      <c r="S152" s="980"/>
      <c r="T152" s="980"/>
      <c r="U152" s="980"/>
      <c r="V152" s="981"/>
      <c r="W152" s="981"/>
      <c r="X152" s="981"/>
      <c r="Y152" s="988"/>
      <c r="Z152" s="980"/>
      <c r="AA152" s="980"/>
      <c r="AB152" s="988"/>
      <c r="AC152" s="988"/>
      <c r="AD152" s="988"/>
      <c r="AE152" s="988"/>
      <c r="AF152" s="640">
        <f ca="1" t="shared" si="24"/>
        <v>100.61546296296</v>
      </c>
      <c r="AG152" s="121" t="str">
        <f ca="1" t="shared" si="23"/>
        <v>ACTIVE</v>
      </c>
      <c r="AH152" s="1002">
        <v>3000000</v>
      </c>
      <c r="AI152" s="1002">
        <v>250000</v>
      </c>
      <c r="AJ152" s="1002"/>
      <c r="AK152" s="1459"/>
      <c r="AL152" s="1459"/>
      <c r="AM152" s="1459">
        <v>500000</v>
      </c>
      <c r="AN152" s="1001"/>
      <c r="AO152" s="1459">
        <v>1365000</v>
      </c>
      <c r="AP152" s="1001"/>
      <c r="AQ152" s="1001" t="s">
        <v>0</v>
      </c>
      <c r="AR152" s="1001" t="s">
        <v>48</v>
      </c>
      <c r="AS152" s="1001" t="s">
        <v>49</v>
      </c>
      <c r="AT152" s="925"/>
      <c r="AU152" s="285" t="s">
        <v>1596</v>
      </c>
      <c r="AV152" s="1537" t="s">
        <v>1597</v>
      </c>
      <c r="AW152" s="1012" t="s">
        <v>1598</v>
      </c>
      <c r="AX152" s="1538" t="s">
        <v>1599</v>
      </c>
      <c r="AY152" s="1009" t="s">
        <v>1600</v>
      </c>
      <c r="AZ152" s="1009"/>
      <c r="BA152" s="1538" t="s">
        <v>1601</v>
      </c>
      <c r="BB152" s="127" t="s">
        <v>1602</v>
      </c>
      <c r="BC152" s="164"/>
      <c r="BD152" s="1402"/>
      <c r="BF152" s="1306"/>
    </row>
    <row r="153" s="873" customFormat="1" ht="14.1" customHeight="1" spans="2:58">
      <c r="B153" s="1532" t="s">
        <v>1603</v>
      </c>
      <c r="C153" s="164" t="s">
        <v>1604</v>
      </c>
      <c r="D153" s="164" t="s">
        <v>1605</v>
      </c>
      <c r="E153" s="975" t="s">
        <v>1606</v>
      </c>
      <c r="F153" s="978" t="s">
        <v>43</v>
      </c>
      <c r="G153" s="978"/>
      <c r="H153" s="925" t="s">
        <v>1068</v>
      </c>
      <c r="I153" s="925" t="s">
        <v>428</v>
      </c>
      <c r="J153" s="1371" t="s">
        <v>1209</v>
      </c>
      <c r="K153" s="980">
        <v>43165</v>
      </c>
      <c r="L153" s="980">
        <v>43373</v>
      </c>
      <c r="M153" s="1455" t="s">
        <v>325</v>
      </c>
      <c r="N153" s="981"/>
      <c r="O153" s="981"/>
      <c r="P153" s="981"/>
      <c r="Q153" s="981"/>
      <c r="R153" s="980"/>
      <c r="S153" s="980"/>
      <c r="T153" s="980"/>
      <c r="U153" s="980"/>
      <c r="V153" s="981"/>
      <c r="W153" s="981"/>
      <c r="X153" s="981"/>
      <c r="Y153" s="988"/>
      <c r="Z153" s="980"/>
      <c r="AA153" s="980"/>
      <c r="AB153" s="988"/>
      <c r="AC153" s="988"/>
      <c r="AD153" s="988"/>
      <c r="AE153" s="988"/>
      <c r="AF153" s="640">
        <f ca="1" t="shared" si="24"/>
        <v>100.61546296296</v>
      </c>
      <c r="AG153" s="121" t="str">
        <f ca="1" t="shared" si="23"/>
        <v>ACTIVE</v>
      </c>
      <c r="AH153" s="1002">
        <v>3000000</v>
      </c>
      <c r="AI153" s="1365">
        <v>400000</v>
      </c>
      <c r="AJ153" s="1002"/>
      <c r="AK153" s="1459"/>
      <c r="AL153" s="1459"/>
      <c r="AM153" s="1458">
        <v>500000</v>
      </c>
      <c r="AN153" s="1001"/>
      <c r="AO153" s="1458">
        <v>1560000</v>
      </c>
      <c r="AP153" s="1001"/>
      <c r="AQ153" s="1001" t="s">
        <v>0</v>
      </c>
      <c r="AR153" s="1001" t="s">
        <v>48</v>
      </c>
      <c r="AS153" s="1001" t="s">
        <v>49</v>
      </c>
      <c r="AT153" s="1371" t="s">
        <v>1210</v>
      </c>
      <c r="AU153" s="285" t="s">
        <v>1607</v>
      </c>
      <c r="AV153" s="1537" t="s">
        <v>1608</v>
      </c>
      <c r="AW153" s="1012" t="s">
        <v>1609</v>
      </c>
      <c r="AX153" s="1538" t="s">
        <v>1610</v>
      </c>
      <c r="AY153" s="1009"/>
      <c r="AZ153" s="1009"/>
      <c r="BA153" s="1009"/>
      <c r="BB153" s="127" t="s">
        <v>1611</v>
      </c>
      <c r="BC153" s="164"/>
      <c r="BD153" s="1402"/>
      <c r="BF153" s="1306"/>
    </row>
    <row r="154" s="873" customFormat="1" ht="14.1" customHeight="1" spans="2:58">
      <c r="B154" s="1532" t="s">
        <v>1612</v>
      </c>
      <c r="C154" s="164" t="s">
        <v>1613</v>
      </c>
      <c r="D154" s="164" t="s">
        <v>1614</v>
      </c>
      <c r="E154" s="975" t="s">
        <v>1615</v>
      </c>
      <c r="F154" s="978" t="s">
        <v>43</v>
      </c>
      <c r="G154" s="978"/>
      <c r="H154" s="925" t="s">
        <v>1343</v>
      </c>
      <c r="I154" s="925" t="s">
        <v>428</v>
      </c>
      <c r="J154" s="925" t="s">
        <v>208</v>
      </c>
      <c r="K154" s="980">
        <v>43167</v>
      </c>
      <c r="L154" s="980">
        <v>43281</v>
      </c>
      <c r="M154" s="1453"/>
      <c r="N154" s="981"/>
      <c r="O154" s="981"/>
      <c r="P154" s="981"/>
      <c r="Q154" s="981"/>
      <c r="R154" s="980"/>
      <c r="S154" s="980"/>
      <c r="T154" s="980"/>
      <c r="U154" s="980"/>
      <c r="V154" s="981"/>
      <c r="W154" s="981"/>
      <c r="X154" s="981"/>
      <c r="Y154" s="988"/>
      <c r="Z154" s="980"/>
      <c r="AA154" s="980"/>
      <c r="AB154" s="988"/>
      <c r="AC154" s="988"/>
      <c r="AD154" s="988"/>
      <c r="AE154" s="988"/>
      <c r="AF154" s="640">
        <f ca="1" t="shared" si="24"/>
        <v>8.61546296296001</v>
      </c>
      <c r="AG154" s="121" t="str">
        <f ca="1" t="shared" si="23"/>
        <v>WARNING</v>
      </c>
      <c r="AH154" s="1002">
        <v>4500000</v>
      </c>
      <c r="AI154" s="1002">
        <v>400000</v>
      </c>
      <c r="AJ154" s="1002"/>
      <c r="AK154" s="1459"/>
      <c r="AL154" s="1459"/>
      <c r="AM154" s="1459">
        <v>500000</v>
      </c>
      <c r="AN154" s="1001"/>
      <c r="AO154" s="1459">
        <v>715000</v>
      </c>
      <c r="AP154" s="1001"/>
      <c r="AQ154" s="1001" t="s">
        <v>0</v>
      </c>
      <c r="AR154" s="1001" t="s">
        <v>48</v>
      </c>
      <c r="AS154" s="1001" t="s">
        <v>49</v>
      </c>
      <c r="AT154" s="925"/>
      <c r="AU154" s="285" t="s">
        <v>1616</v>
      </c>
      <c r="AV154" s="1537" t="s">
        <v>1617</v>
      </c>
      <c r="AW154" s="1012" t="s">
        <v>1618</v>
      </c>
      <c r="AX154" s="1538" t="s">
        <v>1619</v>
      </c>
      <c r="AY154" s="1009"/>
      <c r="AZ154" s="1009"/>
      <c r="BA154" s="1009"/>
      <c r="BB154" s="127" t="s">
        <v>1347</v>
      </c>
      <c r="BC154" s="164"/>
      <c r="BD154" s="1402"/>
      <c r="BF154" s="1306"/>
    </row>
    <row r="155" s="873" customFormat="1" ht="14.1" customHeight="1" spans="2:58">
      <c r="B155" s="1532" t="s">
        <v>1620</v>
      </c>
      <c r="C155" s="164" t="s">
        <v>1621</v>
      </c>
      <c r="D155" s="164" t="s">
        <v>1622</v>
      </c>
      <c r="E155" s="975" t="s">
        <v>1623</v>
      </c>
      <c r="F155" s="978" t="s">
        <v>43</v>
      </c>
      <c r="G155" s="978" t="s">
        <v>254</v>
      </c>
      <c r="H155" s="925" t="s">
        <v>1068</v>
      </c>
      <c r="I155" s="925" t="s">
        <v>428</v>
      </c>
      <c r="J155" s="925" t="s">
        <v>208</v>
      </c>
      <c r="K155" s="980">
        <v>43171</v>
      </c>
      <c r="L155" s="980">
        <v>43373</v>
      </c>
      <c r="M155" s="1453"/>
      <c r="N155" s="981"/>
      <c r="O155" s="981"/>
      <c r="P155" s="981"/>
      <c r="Q155" s="981"/>
      <c r="R155" s="980"/>
      <c r="S155" s="980"/>
      <c r="T155" s="980"/>
      <c r="U155" s="980"/>
      <c r="V155" s="981"/>
      <c r="W155" s="981"/>
      <c r="X155" s="981"/>
      <c r="Y155" s="988"/>
      <c r="Z155" s="980"/>
      <c r="AA155" s="980"/>
      <c r="AB155" s="988"/>
      <c r="AC155" s="988"/>
      <c r="AD155" s="988"/>
      <c r="AE155" s="988"/>
      <c r="AF155" s="640">
        <f ca="1" t="shared" si="24"/>
        <v>100.61546296296</v>
      </c>
      <c r="AG155" s="121" t="str">
        <f ca="1" t="shared" si="23"/>
        <v>ACTIVE</v>
      </c>
      <c r="AH155" s="1002">
        <v>3900000</v>
      </c>
      <c r="AI155" s="1002">
        <v>400000</v>
      </c>
      <c r="AJ155" s="1002"/>
      <c r="AK155" s="1459"/>
      <c r="AL155" s="1459"/>
      <c r="AM155" s="1459">
        <v>500000</v>
      </c>
      <c r="AN155" s="1001"/>
      <c r="AO155" s="1459">
        <v>1560000</v>
      </c>
      <c r="AP155" s="1001"/>
      <c r="AQ155" s="1001" t="s">
        <v>0</v>
      </c>
      <c r="AR155" s="1001" t="s">
        <v>48</v>
      </c>
      <c r="AS155" s="1001" t="s">
        <v>49</v>
      </c>
      <c r="AT155" s="925"/>
      <c r="AU155" s="285" t="s">
        <v>1624</v>
      </c>
      <c r="AV155" s="1537" t="s">
        <v>1625</v>
      </c>
      <c r="AW155" s="1012" t="s">
        <v>1626</v>
      </c>
      <c r="AX155" s="1538" t="s">
        <v>1627</v>
      </c>
      <c r="AY155" s="1009" t="s">
        <v>1628</v>
      </c>
      <c r="AZ155" s="1009" t="s">
        <v>1629</v>
      </c>
      <c r="BA155" s="1009"/>
      <c r="BB155" s="127" t="s">
        <v>1630</v>
      </c>
      <c r="BC155" s="164"/>
      <c r="BD155" s="1402"/>
      <c r="BF155" s="1306"/>
    </row>
    <row r="156" s="873" customFormat="1" ht="14.1" customHeight="1" spans="2:58">
      <c r="B156" s="1532" t="s">
        <v>1631</v>
      </c>
      <c r="C156" s="164" t="s">
        <v>1632</v>
      </c>
      <c r="D156" s="164" t="s">
        <v>1633</v>
      </c>
      <c r="E156" s="975" t="s">
        <v>1634</v>
      </c>
      <c r="F156" s="978" t="s">
        <v>43</v>
      </c>
      <c r="G156" s="978" t="s">
        <v>60</v>
      </c>
      <c r="H156" s="925" t="s">
        <v>1300</v>
      </c>
      <c r="I156" s="925" t="s">
        <v>428</v>
      </c>
      <c r="J156" s="925" t="s">
        <v>208</v>
      </c>
      <c r="K156" s="980">
        <v>43172</v>
      </c>
      <c r="L156" s="980">
        <v>43281</v>
      </c>
      <c r="M156" s="1453"/>
      <c r="N156" s="981"/>
      <c r="O156" s="981"/>
      <c r="P156" s="981"/>
      <c r="Q156" s="981"/>
      <c r="R156" s="980"/>
      <c r="S156" s="980"/>
      <c r="T156" s="980"/>
      <c r="U156" s="980"/>
      <c r="V156" s="981"/>
      <c r="W156" s="981"/>
      <c r="X156" s="981"/>
      <c r="Y156" s="988"/>
      <c r="Z156" s="980"/>
      <c r="AA156" s="980"/>
      <c r="AB156" s="988"/>
      <c r="AC156" s="988"/>
      <c r="AD156" s="988"/>
      <c r="AE156" s="988"/>
      <c r="AF156" s="640">
        <f ca="1" t="shared" si="24"/>
        <v>8.61546296296001</v>
      </c>
      <c r="AG156" s="121" t="str">
        <f ca="1" t="shared" si="23"/>
        <v>WARNING</v>
      </c>
      <c r="AH156" s="1002">
        <v>4000000</v>
      </c>
      <c r="AI156" s="1002">
        <v>400000</v>
      </c>
      <c r="AJ156" s="1002"/>
      <c r="AK156" s="1459"/>
      <c r="AL156" s="1459"/>
      <c r="AM156" s="1459">
        <v>500000</v>
      </c>
      <c r="AN156" s="1001"/>
      <c r="AO156" s="1459"/>
      <c r="AP156" s="1001"/>
      <c r="AQ156" s="1001" t="s">
        <v>0</v>
      </c>
      <c r="AR156" s="1001" t="s">
        <v>48</v>
      </c>
      <c r="AS156" s="1001" t="s">
        <v>49</v>
      </c>
      <c r="AT156" s="925"/>
      <c r="AU156" s="285" t="s">
        <v>1635</v>
      </c>
      <c r="AV156" s="1537" t="s">
        <v>1636</v>
      </c>
      <c r="AW156" s="1012" t="s">
        <v>1637</v>
      </c>
      <c r="AX156" s="1538" t="s">
        <v>1638</v>
      </c>
      <c r="AY156" s="1009"/>
      <c r="AZ156" s="1009"/>
      <c r="BA156" s="1009"/>
      <c r="BB156" s="127" t="s">
        <v>1639</v>
      </c>
      <c r="BC156" s="164"/>
      <c r="BD156" s="1402"/>
      <c r="BF156" s="1306"/>
    </row>
    <row r="157" s="873" customFormat="1" ht="14.1" customHeight="1" spans="2:58">
      <c r="B157" s="1532" t="s">
        <v>1640</v>
      </c>
      <c r="C157" s="164" t="s">
        <v>1641</v>
      </c>
      <c r="D157" s="164" t="s">
        <v>1642</v>
      </c>
      <c r="E157" s="975" t="s">
        <v>1643</v>
      </c>
      <c r="F157" s="978" t="s">
        <v>43</v>
      </c>
      <c r="G157" s="978" t="s">
        <v>96</v>
      </c>
      <c r="H157" s="925" t="s">
        <v>1300</v>
      </c>
      <c r="I157" s="925" t="s">
        <v>428</v>
      </c>
      <c r="J157" s="925" t="s">
        <v>185</v>
      </c>
      <c r="K157" s="980">
        <v>43172</v>
      </c>
      <c r="L157" s="980">
        <v>43281</v>
      </c>
      <c r="M157" s="1453"/>
      <c r="N157" s="981"/>
      <c r="O157" s="981"/>
      <c r="P157" s="981"/>
      <c r="Q157" s="981"/>
      <c r="R157" s="980"/>
      <c r="S157" s="980"/>
      <c r="T157" s="980"/>
      <c r="U157" s="980"/>
      <c r="V157" s="981"/>
      <c r="W157" s="981"/>
      <c r="X157" s="981"/>
      <c r="Y157" s="988"/>
      <c r="Z157" s="980"/>
      <c r="AA157" s="980"/>
      <c r="AB157" s="988"/>
      <c r="AC157" s="988"/>
      <c r="AD157" s="988"/>
      <c r="AE157" s="988"/>
      <c r="AF157" s="640">
        <f ca="1" t="shared" si="24"/>
        <v>8.61546296296001</v>
      </c>
      <c r="AG157" s="121" t="str">
        <f ca="1" t="shared" si="23"/>
        <v>WARNING</v>
      </c>
      <c r="AH157" s="1002">
        <v>2750000</v>
      </c>
      <c r="AI157" s="1002">
        <v>250000</v>
      </c>
      <c r="AJ157" s="1002"/>
      <c r="AK157" s="1459"/>
      <c r="AL157" s="1459"/>
      <c r="AM157" s="1459"/>
      <c r="AN157" s="1001"/>
      <c r="AO157" s="1459"/>
      <c r="AP157" s="1001"/>
      <c r="AQ157" s="1001" t="s">
        <v>0</v>
      </c>
      <c r="AR157" s="1001" t="s">
        <v>48</v>
      </c>
      <c r="AS157" s="1001" t="s">
        <v>49</v>
      </c>
      <c r="AT157" s="925"/>
      <c r="AU157" s="285" t="s">
        <v>1644</v>
      </c>
      <c r="AV157" s="1537" t="s">
        <v>1645</v>
      </c>
      <c r="AW157" s="1012" t="s">
        <v>1646</v>
      </c>
      <c r="AX157" s="1538" t="s">
        <v>1647</v>
      </c>
      <c r="AY157" s="1009" t="s">
        <v>1648</v>
      </c>
      <c r="AZ157" s="1009"/>
      <c r="BA157" s="1009"/>
      <c r="BB157" s="127" t="s">
        <v>1649</v>
      </c>
      <c r="BC157" s="164"/>
      <c r="BD157" s="1402"/>
      <c r="BF157" s="1306"/>
    </row>
    <row r="158" s="873" customFormat="1" ht="14.1" customHeight="1" spans="2:58">
      <c r="B158" s="1532" t="s">
        <v>1650</v>
      </c>
      <c r="C158" s="164" t="s">
        <v>1651</v>
      </c>
      <c r="D158" s="164" t="s">
        <v>1652</v>
      </c>
      <c r="E158" s="975" t="s">
        <v>1653</v>
      </c>
      <c r="F158" s="978" t="s">
        <v>43</v>
      </c>
      <c r="G158" s="978" t="s">
        <v>44</v>
      </c>
      <c r="H158" s="925" t="s">
        <v>1300</v>
      </c>
      <c r="I158" s="925" t="s">
        <v>428</v>
      </c>
      <c r="J158" s="925" t="s">
        <v>185</v>
      </c>
      <c r="K158" s="980">
        <v>43172</v>
      </c>
      <c r="L158" s="980">
        <v>43281</v>
      </c>
      <c r="M158" s="1453"/>
      <c r="N158" s="981"/>
      <c r="O158" s="981"/>
      <c r="P158" s="981"/>
      <c r="Q158" s="981"/>
      <c r="R158" s="980"/>
      <c r="S158" s="980"/>
      <c r="T158" s="980"/>
      <c r="U158" s="980"/>
      <c r="V158" s="981"/>
      <c r="W158" s="981"/>
      <c r="X158" s="981"/>
      <c r="Y158" s="988"/>
      <c r="Z158" s="980"/>
      <c r="AA158" s="980"/>
      <c r="AB158" s="988"/>
      <c r="AC158" s="988"/>
      <c r="AD158" s="988"/>
      <c r="AE158" s="988"/>
      <c r="AF158" s="640">
        <f ca="1" t="shared" si="24"/>
        <v>8.61546296296001</v>
      </c>
      <c r="AG158" s="121" t="str">
        <f ca="1" t="shared" si="23"/>
        <v>WARNING</v>
      </c>
      <c r="AH158" s="1002">
        <v>2500000</v>
      </c>
      <c r="AI158" s="1002">
        <v>250000</v>
      </c>
      <c r="AJ158" s="1002"/>
      <c r="AK158" s="1459"/>
      <c r="AL158" s="1459"/>
      <c r="AM158" s="1459"/>
      <c r="AN158" s="1001"/>
      <c r="AO158" s="1459"/>
      <c r="AP158" s="1001"/>
      <c r="AQ158" s="1001" t="s">
        <v>0</v>
      </c>
      <c r="AR158" s="1001" t="s">
        <v>48</v>
      </c>
      <c r="AS158" s="1001" t="s">
        <v>49</v>
      </c>
      <c r="AT158" s="925"/>
      <c r="AU158" s="285" t="s">
        <v>1654</v>
      </c>
      <c r="AV158" s="1537" t="s">
        <v>1655</v>
      </c>
      <c r="AW158" s="1012" t="s">
        <v>1656</v>
      </c>
      <c r="AX158" s="1538" t="s">
        <v>1657</v>
      </c>
      <c r="AY158" s="1009"/>
      <c r="AZ158" s="1009"/>
      <c r="BA158" s="1009"/>
      <c r="BB158" s="127"/>
      <c r="BC158" s="164"/>
      <c r="BD158" s="1402"/>
      <c r="BF158" s="1306"/>
    </row>
    <row r="159" s="873" customFormat="1" ht="14.1" customHeight="1" spans="2:58">
      <c r="B159" s="1532" t="s">
        <v>1658</v>
      </c>
      <c r="C159" s="164" t="s">
        <v>1659</v>
      </c>
      <c r="D159" s="164" t="s">
        <v>1660</v>
      </c>
      <c r="E159" s="975" t="s">
        <v>1661</v>
      </c>
      <c r="F159" s="978" t="s">
        <v>43</v>
      </c>
      <c r="G159" s="978"/>
      <c r="H159" s="925" t="s">
        <v>1300</v>
      </c>
      <c r="I159" s="925" t="s">
        <v>428</v>
      </c>
      <c r="J159" s="925" t="s">
        <v>185</v>
      </c>
      <c r="K159" s="980">
        <v>43172</v>
      </c>
      <c r="L159" s="980">
        <v>43281</v>
      </c>
      <c r="M159" s="1453"/>
      <c r="N159" s="981"/>
      <c r="O159" s="981"/>
      <c r="P159" s="981"/>
      <c r="Q159" s="981"/>
      <c r="R159" s="980"/>
      <c r="S159" s="980"/>
      <c r="T159" s="980"/>
      <c r="U159" s="980"/>
      <c r="V159" s="981"/>
      <c r="W159" s="981"/>
      <c r="X159" s="981"/>
      <c r="Y159" s="988"/>
      <c r="Z159" s="980"/>
      <c r="AA159" s="980"/>
      <c r="AB159" s="988"/>
      <c r="AC159" s="988"/>
      <c r="AD159" s="988"/>
      <c r="AE159" s="988"/>
      <c r="AF159" s="640">
        <f ca="1" t="shared" si="24"/>
        <v>8.61546296296001</v>
      </c>
      <c r="AG159" s="121" t="str">
        <f ca="1" t="shared" si="23"/>
        <v>WARNING</v>
      </c>
      <c r="AH159" s="1002">
        <v>2750000</v>
      </c>
      <c r="AI159" s="1002">
        <v>250000</v>
      </c>
      <c r="AJ159" s="1002"/>
      <c r="AK159" s="1459"/>
      <c r="AL159" s="1459"/>
      <c r="AM159" s="1459"/>
      <c r="AN159" s="1001"/>
      <c r="AO159" s="1459"/>
      <c r="AP159" s="1001"/>
      <c r="AQ159" s="1001" t="s">
        <v>0</v>
      </c>
      <c r="AR159" s="1001" t="s">
        <v>48</v>
      </c>
      <c r="AS159" s="1001" t="s">
        <v>49</v>
      </c>
      <c r="AT159" s="925"/>
      <c r="AU159" s="285" t="s">
        <v>1662</v>
      </c>
      <c r="AV159" s="1537" t="s">
        <v>1663</v>
      </c>
      <c r="AW159" s="1012" t="s">
        <v>1664</v>
      </c>
      <c r="AX159" s="1538" t="s">
        <v>1665</v>
      </c>
      <c r="AY159" s="1009"/>
      <c r="AZ159" s="1009"/>
      <c r="BA159" s="1009"/>
      <c r="BB159" s="127"/>
      <c r="BC159" s="164"/>
      <c r="BD159" s="1402"/>
      <c r="BF159" s="1306"/>
    </row>
    <row r="160" s="873" customFormat="1" ht="14.1" customHeight="1" spans="2:58">
      <c r="B160" s="1532" t="s">
        <v>1666</v>
      </c>
      <c r="C160" s="164" t="s">
        <v>1667</v>
      </c>
      <c r="D160" s="164" t="s">
        <v>1668</v>
      </c>
      <c r="E160" s="975" t="s">
        <v>1669</v>
      </c>
      <c r="F160" s="978" t="s">
        <v>43</v>
      </c>
      <c r="G160" s="978" t="s">
        <v>254</v>
      </c>
      <c r="H160" s="925" t="s">
        <v>1300</v>
      </c>
      <c r="I160" s="925" t="s">
        <v>428</v>
      </c>
      <c r="J160" s="1371" t="s">
        <v>1670</v>
      </c>
      <c r="K160" s="980">
        <v>43172</v>
      </c>
      <c r="L160" s="980">
        <v>43281</v>
      </c>
      <c r="M160" s="1455" t="s">
        <v>325</v>
      </c>
      <c r="N160" s="981"/>
      <c r="O160" s="981"/>
      <c r="P160" s="981"/>
      <c r="Q160" s="981"/>
      <c r="R160" s="980"/>
      <c r="S160" s="980"/>
      <c r="T160" s="980"/>
      <c r="U160" s="980"/>
      <c r="V160" s="981"/>
      <c r="W160" s="981"/>
      <c r="X160" s="981"/>
      <c r="Y160" s="988"/>
      <c r="Z160" s="980"/>
      <c r="AA160" s="980"/>
      <c r="AB160" s="988"/>
      <c r="AC160" s="988"/>
      <c r="AD160" s="988"/>
      <c r="AE160" s="988"/>
      <c r="AF160" s="640">
        <f ca="1" t="shared" si="24"/>
        <v>8.61546296296001</v>
      </c>
      <c r="AG160" s="121" t="str">
        <f ca="1" t="shared" si="23"/>
        <v>WARNING</v>
      </c>
      <c r="AH160" s="1002">
        <v>4000000</v>
      </c>
      <c r="AI160" s="1002">
        <v>400000</v>
      </c>
      <c r="AJ160" s="1002"/>
      <c r="AK160" s="1458">
        <v>30000</v>
      </c>
      <c r="AL160" s="1459"/>
      <c r="AM160" s="1459">
        <v>500000</v>
      </c>
      <c r="AN160" s="1001"/>
      <c r="AO160" s="1459"/>
      <c r="AP160" s="1001"/>
      <c r="AQ160" s="1001" t="s">
        <v>0</v>
      </c>
      <c r="AR160" s="1001" t="s">
        <v>48</v>
      </c>
      <c r="AS160" s="1001" t="s">
        <v>49</v>
      </c>
      <c r="AT160" s="1371" t="s">
        <v>1312</v>
      </c>
      <c r="AU160" s="285" t="s">
        <v>1671</v>
      </c>
      <c r="AV160" s="1537" t="s">
        <v>1672</v>
      </c>
      <c r="AW160" s="1012" t="s">
        <v>1673</v>
      </c>
      <c r="AX160" s="1538" t="s">
        <v>1674</v>
      </c>
      <c r="AY160" s="1009"/>
      <c r="AZ160" s="1538" t="s">
        <v>1675</v>
      </c>
      <c r="BA160" s="1009"/>
      <c r="BB160" s="127" t="s">
        <v>1676</v>
      </c>
      <c r="BC160" s="164"/>
      <c r="BD160" s="1402"/>
      <c r="BF160" s="1306"/>
    </row>
    <row r="161" s="873" customFormat="1" ht="14.1" customHeight="1" spans="2:58">
      <c r="B161" s="1532" t="s">
        <v>1677</v>
      </c>
      <c r="C161" s="164" t="s">
        <v>1678</v>
      </c>
      <c r="D161" s="164" t="s">
        <v>1679</v>
      </c>
      <c r="E161" s="975" t="s">
        <v>1680</v>
      </c>
      <c r="F161" s="978" t="s">
        <v>43</v>
      </c>
      <c r="G161" s="978"/>
      <c r="H161" s="925" t="s">
        <v>1300</v>
      </c>
      <c r="I161" s="925" t="s">
        <v>428</v>
      </c>
      <c r="J161" s="925" t="s">
        <v>185</v>
      </c>
      <c r="K161" s="980">
        <v>43172</v>
      </c>
      <c r="L161" s="980">
        <v>43281</v>
      </c>
      <c r="M161" s="1453"/>
      <c r="N161" s="981"/>
      <c r="O161" s="981"/>
      <c r="P161" s="981"/>
      <c r="Q161" s="981"/>
      <c r="R161" s="980"/>
      <c r="S161" s="980"/>
      <c r="T161" s="980"/>
      <c r="U161" s="980"/>
      <c r="V161" s="981"/>
      <c r="W161" s="981"/>
      <c r="X161" s="981"/>
      <c r="Y161" s="988"/>
      <c r="Z161" s="980"/>
      <c r="AA161" s="980"/>
      <c r="AB161" s="988"/>
      <c r="AC161" s="988"/>
      <c r="AD161" s="988"/>
      <c r="AE161" s="988"/>
      <c r="AF161" s="640">
        <f ca="1" t="shared" si="24"/>
        <v>8.61546296296001</v>
      </c>
      <c r="AG161" s="121" t="str">
        <f ca="1" t="shared" si="23"/>
        <v>WARNING</v>
      </c>
      <c r="AH161" s="1002">
        <v>2750000</v>
      </c>
      <c r="AI161" s="1002">
        <v>250000</v>
      </c>
      <c r="AJ161" s="1002"/>
      <c r="AK161" s="1459"/>
      <c r="AL161" s="1459"/>
      <c r="AM161" s="1459"/>
      <c r="AN161" s="1001"/>
      <c r="AO161" s="1459"/>
      <c r="AP161" s="1001"/>
      <c r="AQ161" s="1001" t="s">
        <v>0</v>
      </c>
      <c r="AR161" s="1001" t="s">
        <v>48</v>
      </c>
      <c r="AS161" s="1001" t="s">
        <v>49</v>
      </c>
      <c r="AT161" s="925"/>
      <c r="AU161" s="285" t="s">
        <v>1681</v>
      </c>
      <c r="AV161" s="1537" t="s">
        <v>1682</v>
      </c>
      <c r="AW161" s="1012"/>
      <c r="AX161" s="1009"/>
      <c r="AY161" s="1009"/>
      <c r="AZ161" s="1009"/>
      <c r="BA161" s="1009"/>
      <c r="BB161" s="127"/>
      <c r="BC161" s="164"/>
      <c r="BD161" s="1402"/>
      <c r="BF161" s="1306"/>
    </row>
    <row r="162" s="873" customFormat="1" ht="14.1" customHeight="1" spans="2:58">
      <c r="B162" s="1532" t="s">
        <v>1683</v>
      </c>
      <c r="C162" s="164" t="s">
        <v>1684</v>
      </c>
      <c r="D162" s="164" t="s">
        <v>1685</v>
      </c>
      <c r="E162" s="975" t="s">
        <v>1686</v>
      </c>
      <c r="F162" s="978" t="s">
        <v>43</v>
      </c>
      <c r="G162" s="978" t="s">
        <v>404</v>
      </c>
      <c r="H162" s="925" t="s">
        <v>1300</v>
      </c>
      <c r="I162" s="925" t="s">
        <v>428</v>
      </c>
      <c r="J162" s="925" t="s">
        <v>208</v>
      </c>
      <c r="K162" s="980">
        <v>43172</v>
      </c>
      <c r="L162" s="980">
        <v>43281</v>
      </c>
      <c r="M162" s="1453"/>
      <c r="N162" s="981"/>
      <c r="O162" s="981"/>
      <c r="P162" s="981"/>
      <c r="Q162" s="981"/>
      <c r="R162" s="980"/>
      <c r="S162" s="980"/>
      <c r="T162" s="980"/>
      <c r="U162" s="980"/>
      <c r="V162" s="981"/>
      <c r="W162" s="981"/>
      <c r="X162" s="981"/>
      <c r="Y162" s="988"/>
      <c r="Z162" s="980"/>
      <c r="AA162" s="980"/>
      <c r="AB162" s="988"/>
      <c r="AC162" s="988"/>
      <c r="AD162" s="988"/>
      <c r="AE162" s="988"/>
      <c r="AF162" s="640">
        <f ca="1" t="shared" si="24"/>
        <v>8.61546296296001</v>
      </c>
      <c r="AG162" s="121" t="str">
        <f ca="1" t="shared" si="23"/>
        <v>WARNING</v>
      </c>
      <c r="AH162" s="1002">
        <v>4000000</v>
      </c>
      <c r="AI162" s="1002">
        <v>400000</v>
      </c>
      <c r="AJ162" s="1002"/>
      <c r="AK162" s="1459"/>
      <c r="AL162" s="1459"/>
      <c r="AM162" s="1459">
        <v>500000</v>
      </c>
      <c r="AN162" s="1001"/>
      <c r="AO162" s="1459"/>
      <c r="AP162" s="1001"/>
      <c r="AQ162" s="1001" t="s">
        <v>0</v>
      </c>
      <c r="AR162" s="1001" t="s">
        <v>48</v>
      </c>
      <c r="AS162" s="1001" t="s">
        <v>49</v>
      </c>
      <c r="AT162" s="925"/>
      <c r="AU162" s="285" t="s">
        <v>1687</v>
      </c>
      <c r="AV162" s="1537" t="s">
        <v>1688</v>
      </c>
      <c r="AW162" s="1012" t="s">
        <v>1689</v>
      </c>
      <c r="AX162" s="1538" t="s">
        <v>1690</v>
      </c>
      <c r="AY162" s="1009" t="s">
        <v>1691</v>
      </c>
      <c r="AZ162" s="1009"/>
      <c r="BA162" s="1538" t="s">
        <v>1692</v>
      </c>
      <c r="BB162" s="127" t="s">
        <v>1693</v>
      </c>
      <c r="BC162" s="164"/>
      <c r="BD162" s="1402"/>
      <c r="BF162" s="1306"/>
    </row>
    <row r="163" s="873" customFormat="1" ht="14.1" customHeight="1" spans="2:58">
      <c r="B163" s="1532" t="s">
        <v>1694</v>
      </c>
      <c r="C163" s="164" t="s">
        <v>1695</v>
      </c>
      <c r="D163" s="164" t="s">
        <v>1696</v>
      </c>
      <c r="E163" s="975" t="s">
        <v>1697</v>
      </c>
      <c r="F163" s="978" t="s">
        <v>43</v>
      </c>
      <c r="G163" s="978" t="s">
        <v>254</v>
      </c>
      <c r="H163" s="925" t="s">
        <v>1300</v>
      </c>
      <c r="I163" s="925" t="s">
        <v>428</v>
      </c>
      <c r="J163" s="925" t="s">
        <v>185</v>
      </c>
      <c r="K163" s="980">
        <v>43172</v>
      </c>
      <c r="L163" s="980">
        <v>43281</v>
      </c>
      <c r="M163" s="1453"/>
      <c r="N163" s="981"/>
      <c r="O163" s="981"/>
      <c r="P163" s="981"/>
      <c r="Q163" s="981"/>
      <c r="R163" s="980"/>
      <c r="S163" s="980"/>
      <c r="T163" s="980"/>
      <c r="U163" s="980"/>
      <c r="V163" s="981"/>
      <c r="W163" s="981"/>
      <c r="X163" s="981"/>
      <c r="Y163" s="988"/>
      <c r="Z163" s="980"/>
      <c r="AA163" s="980"/>
      <c r="AB163" s="988"/>
      <c r="AC163" s="988"/>
      <c r="AD163" s="988"/>
      <c r="AE163" s="988"/>
      <c r="AF163" s="640">
        <f ca="1" t="shared" si="24"/>
        <v>8.61546296296001</v>
      </c>
      <c r="AG163" s="121" t="str">
        <f ca="1" t="shared" ref="AG163:AG223" si="25">IF(AF163&lt;=40,"WARNING","ACTIVE")</f>
        <v>WARNING</v>
      </c>
      <c r="AH163" s="1002">
        <v>2750000</v>
      </c>
      <c r="AI163" s="1002">
        <v>250000</v>
      </c>
      <c r="AJ163" s="1002"/>
      <c r="AK163" s="1459"/>
      <c r="AL163" s="1459"/>
      <c r="AM163" s="1459"/>
      <c r="AN163" s="1001"/>
      <c r="AO163" s="1459"/>
      <c r="AP163" s="1001"/>
      <c r="AQ163" s="1001" t="s">
        <v>0</v>
      </c>
      <c r="AR163" s="1001" t="s">
        <v>48</v>
      </c>
      <c r="AS163" s="1001" t="s">
        <v>49</v>
      </c>
      <c r="AT163" s="925"/>
      <c r="AU163" s="285" t="s">
        <v>1698</v>
      </c>
      <c r="AV163" s="1537" t="s">
        <v>1699</v>
      </c>
      <c r="AW163" s="1012" t="s">
        <v>1700</v>
      </c>
      <c r="AX163" s="1538" t="s">
        <v>1701</v>
      </c>
      <c r="AY163" s="1009" t="s">
        <v>1702</v>
      </c>
      <c r="AZ163" s="1009"/>
      <c r="BA163" s="1009"/>
      <c r="BB163" s="127" t="s">
        <v>1703</v>
      </c>
      <c r="BC163" s="164"/>
      <c r="BD163" s="1402"/>
      <c r="BF163" s="1306"/>
    </row>
    <row r="164" s="873" customFormat="1" ht="14.1" customHeight="1" spans="2:58">
      <c r="B164" s="1532" t="s">
        <v>1704</v>
      </c>
      <c r="C164" s="164" t="s">
        <v>1705</v>
      </c>
      <c r="D164" s="164" t="s">
        <v>1706</v>
      </c>
      <c r="E164" s="975" t="s">
        <v>1707</v>
      </c>
      <c r="F164" s="978" t="s">
        <v>43</v>
      </c>
      <c r="G164" s="978" t="s">
        <v>96</v>
      </c>
      <c r="H164" s="925" t="s">
        <v>1300</v>
      </c>
      <c r="I164" s="925" t="s">
        <v>428</v>
      </c>
      <c r="J164" s="925" t="s">
        <v>61</v>
      </c>
      <c r="K164" s="980">
        <v>43172</v>
      </c>
      <c r="L164" s="980">
        <v>43281</v>
      </c>
      <c r="M164" s="1453"/>
      <c r="N164" s="981"/>
      <c r="O164" s="981"/>
      <c r="P164" s="981"/>
      <c r="Q164" s="981"/>
      <c r="R164" s="980"/>
      <c r="S164" s="980"/>
      <c r="T164" s="980"/>
      <c r="U164" s="980"/>
      <c r="V164" s="981"/>
      <c r="W164" s="981"/>
      <c r="X164" s="981"/>
      <c r="Y164" s="988"/>
      <c r="Z164" s="980"/>
      <c r="AA164" s="980"/>
      <c r="AB164" s="988"/>
      <c r="AC164" s="988"/>
      <c r="AD164" s="988"/>
      <c r="AE164" s="988"/>
      <c r="AF164" s="640">
        <f ca="1" t="shared" si="24"/>
        <v>8.61546296296001</v>
      </c>
      <c r="AG164" s="121" t="str">
        <f ca="1" t="shared" si="25"/>
        <v>WARNING</v>
      </c>
      <c r="AH164" s="1002">
        <v>3000000</v>
      </c>
      <c r="AI164" s="1002">
        <v>250000</v>
      </c>
      <c r="AJ164" s="1002"/>
      <c r="AK164" s="1459"/>
      <c r="AL164" s="1459"/>
      <c r="AM164" s="1459"/>
      <c r="AN164" s="1001"/>
      <c r="AO164" s="1459"/>
      <c r="AP164" s="1001"/>
      <c r="AQ164" s="1001" t="s">
        <v>0</v>
      </c>
      <c r="AR164" s="1001" t="s">
        <v>48</v>
      </c>
      <c r="AS164" s="1001" t="s">
        <v>49</v>
      </c>
      <c r="AT164" s="925"/>
      <c r="AU164" s="285" t="s">
        <v>1708</v>
      </c>
      <c r="AV164" s="1537" t="s">
        <v>1709</v>
      </c>
      <c r="AW164" s="1012" t="s">
        <v>1710</v>
      </c>
      <c r="AX164" s="1538" t="s">
        <v>1711</v>
      </c>
      <c r="AY164" s="1009"/>
      <c r="AZ164" s="1009"/>
      <c r="BA164" s="1009"/>
      <c r="BB164" s="127"/>
      <c r="BC164" s="164"/>
      <c r="BD164" s="1402"/>
      <c r="BF164" s="1306"/>
    </row>
    <row r="165" s="873" customFormat="1" ht="14.1" customHeight="1" spans="2:58">
      <c r="B165" s="1532" t="s">
        <v>1712</v>
      </c>
      <c r="C165" s="164" t="s">
        <v>1713</v>
      </c>
      <c r="D165" s="164" t="s">
        <v>1714</v>
      </c>
      <c r="E165" s="975" t="s">
        <v>1715</v>
      </c>
      <c r="F165" s="978" t="s">
        <v>43</v>
      </c>
      <c r="G165" s="978" t="s">
        <v>60</v>
      </c>
      <c r="H165" s="925" t="s">
        <v>1300</v>
      </c>
      <c r="I165" s="925" t="s">
        <v>428</v>
      </c>
      <c r="J165" s="925" t="s">
        <v>185</v>
      </c>
      <c r="K165" s="980">
        <v>43172</v>
      </c>
      <c r="L165" s="980">
        <v>43281</v>
      </c>
      <c r="M165" s="1453"/>
      <c r="N165" s="981"/>
      <c r="O165" s="981"/>
      <c r="P165" s="981"/>
      <c r="Q165" s="981"/>
      <c r="R165" s="980"/>
      <c r="S165" s="980"/>
      <c r="T165" s="980"/>
      <c r="U165" s="980"/>
      <c r="V165" s="981"/>
      <c r="W165" s="981"/>
      <c r="X165" s="981"/>
      <c r="Y165" s="988"/>
      <c r="Z165" s="980"/>
      <c r="AA165" s="980"/>
      <c r="AB165" s="988"/>
      <c r="AC165" s="988"/>
      <c r="AD165" s="988"/>
      <c r="AE165" s="988"/>
      <c r="AF165" s="640">
        <f ca="1" t="shared" si="24"/>
        <v>8.61546296296001</v>
      </c>
      <c r="AG165" s="121" t="str">
        <f ca="1" t="shared" si="25"/>
        <v>WARNING</v>
      </c>
      <c r="AH165" s="1002">
        <v>2750000</v>
      </c>
      <c r="AI165" s="1002">
        <v>250000</v>
      </c>
      <c r="AJ165" s="1002"/>
      <c r="AK165" s="1459"/>
      <c r="AL165" s="1459"/>
      <c r="AM165" s="1459"/>
      <c r="AN165" s="1001"/>
      <c r="AO165" s="1459"/>
      <c r="AP165" s="1001"/>
      <c r="AQ165" s="1001" t="s">
        <v>0</v>
      </c>
      <c r="AR165" s="1001" t="s">
        <v>48</v>
      </c>
      <c r="AS165" s="1001" t="s">
        <v>49</v>
      </c>
      <c r="AT165" s="925"/>
      <c r="AU165" s="285" t="s">
        <v>1716</v>
      </c>
      <c r="AV165" s="1537" t="s">
        <v>1717</v>
      </c>
      <c r="AW165" s="1012" t="s">
        <v>1718</v>
      </c>
      <c r="AX165" s="1538" t="s">
        <v>1719</v>
      </c>
      <c r="AY165" s="1009"/>
      <c r="AZ165" s="1009"/>
      <c r="BA165" s="1009"/>
      <c r="BB165" s="127" t="s">
        <v>1720</v>
      </c>
      <c r="BC165" s="164"/>
      <c r="BD165" s="1402"/>
      <c r="BF165" s="1306"/>
    </row>
    <row r="166" s="873" customFormat="1" ht="14.1" customHeight="1" spans="2:58">
      <c r="B166" s="1532" t="s">
        <v>1721</v>
      </c>
      <c r="C166" s="164" t="s">
        <v>1722</v>
      </c>
      <c r="D166" s="164" t="s">
        <v>1723</v>
      </c>
      <c r="E166" s="975" t="s">
        <v>1724</v>
      </c>
      <c r="F166" s="978" t="s">
        <v>43</v>
      </c>
      <c r="G166" s="978" t="s">
        <v>254</v>
      </c>
      <c r="H166" s="925" t="s">
        <v>1068</v>
      </c>
      <c r="I166" s="925" t="s">
        <v>428</v>
      </c>
      <c r="J166" s="925" t="s">
        <v>208</v>
      </c>
      <c r="K166" s="980">
        <v>43191</v>
      </c>
      <c r="L166" s="980">
        <v>43373</v>
      </c>
      <c r="M166" s="1453"/>
      <c r="N166" s="981"/>
      <c r="O166" s="981"/>
      <c r="P166" s="981"/>
      <c r="Q166" s="981"/>
      <c r="R166" s="980"/>
      <c r="S166" s="980"/>
      <c r="T166" s="980"/>
      <c r="U166" s="980"/>
      <c r="V166" s="981"/>
      <c r="W166" s="981"/>
      <c r="X166" s="981"/>
      <c r="Y166" s="988"/>
      <c r="Z166" s="980"/>
      <c r="AA166" s="980"/>
      <c r="AB166" s="988"/>
      <c r="AC166" s="988"/>
      <c r="AD166" s="988"/>
      <c r="AE166" s="988"/>
      <c r="AF166" s="640">
        <f ca="1" t="shared" si="24"/>
        <v>100.61546296296</v>
      </c>
      <c r="AG166" s="121" t="str">
        <f ca="1" t="shared" si="25"/>
        <v>ACTIVE</v>
      </c>
      <c r="AH166" s="1002">
        <v>3200000</v>
      </c>
      <c r="AI166" s="1002">
        <v>400000</v>
      </c>
      <c r="AJ166" s="1002"/>
      <c r="AK166" s="1459"/>
      <c r="AL166" s="1459"/>
      <c r="AM166" s="1459">
        <v>500000</v>
      </c>
      <c r="AN166" s="1001"/>
      <c r="AO166" s="1459">
        <v>1560000</v>
      </c>
      <c r="AP166" s="1001"/>
      <c r="AQ166" s="1001" t="s">
        <v>0</v>
      </c>
      <c r="AR166" s="1001" t="s">
        <v>48</v>
      </c>
      <c r="AS166" s="1001" t="s">
        <v>49</v>
      </c>
      <c r="AT166" s="925"/>
      <c r="AU166" s="285" t="s">
        <v>1725</v>
      </c>
      <c r="AV166" s="1537" t="s">
        <v>1726</v>
      </c>
      <c r="AW166" s="1012" t="s">
        <v>1727</v>
      </c>
      <c r="AX166" s="1538" t="s">
        <v>1728</v>
      </c>
      <c r="AY166" s="1009" t="s">
        <v>1729</v>
      </c>
      <c r="AZ166" s="1009" t="s">
        <v>1730</v>
      </c>
      <c r="BA166" s="1538" t="s">
        <v>1731</v>
      </c>
      <c r="BB166" s="127" t="s">
        <v>1732</v>
      </c>
      <c r="BC166" s="164"/>
      <c r="BD166" s="1402"/>
      <c r="BF166" s="1306"/>
    </row>
    <row r="167" s="873" customFormat="1" ht="14.1" customHeight="1" spans="2:58">
      <c r="B167" s="1532" t="s">
        <v>1733</v>
      </c>
      <c r="C167" s="164" t="s">
        <v>1734</v>
      </c>
      <c r="D167" s="164" t="s">
        <v>1735</v>
      </c>
      <c r="E167" s="975" t="s">
        <v>1736</v>
      </c>
      <c r="F167" s="978" t="s">
        <v>43</v>
      </c>
      <c r="G167" s="978" t="s">
        <v>1110</v>
      </c>
      <c r="H167" s="925" t="s">
        <v>1300</v>
      </c>
      <c r="I167" s="925" t="s">
        <v>428</v>
      </c>
      <c r="J167" s="925" t="s">
        <v>185</v>
      </c>
      <c r="K167" s="980">
        <v>43172</v>
      </c>
      <c r="L167" s="980">
        <v>43281</v>
      </c>
      <c r="M167" s="1453"/>
      <c r="N167" s="981"/>
      <c r="O167" s="981"/>
      <c r="P167" s="981"/>
      <c r="Q167" s="981"/>
      <c r="R167" s="980"/>
      <c r="S167" s="980"/>
      <c r="T167" s="980"/>
      <c r="U167" s="980"/>
      <c r="V167" s="981"/>
      <c r="W167" s="981"/>
      <c r="X167" s="981"/>
      <c r="Y167" s="988"/>
      <c r="Z167" s="980"/>
      <c r="AA167" s="980"/>
      <c r="AB167" s="988"/>
      <c r="AC167" s="988"/>
      <c r="AD167" s="988"/>
      <c r="AE167" s="988"/>
      <c r="AF167" s="640">
        <f ca="1" t="shared" si="24"/>
        <v>8.61546296296001</v>
      </c>
      <c r="AG167" s="121" t="str">
        <f ca="1" t="shared" si="25"/>
        <v>WARNING</v>
      </c>
      <c r="AH167" s="1002">
        <v>2750000</v>
      </c>
      <c r="AI167" s="1002">
        <v>250000</v>
      </c>
      <c r="AJ167" s="1002"/>
      <c r="AK167" s="1459"/>
      <c r="AL167" s="1459"/>
      <c r="AM167" s="1459"/>
      <c r="AN167" s="1001"/>
      <c r="AO167" s="1459"/>
      <c r="AP167" s="1001"/>
      <c r="AQ167" s="1001" t="s">
        <v>0</v>
      </c>
      <c r="AR167" s="1001" t="s">
        <v>48</v>
      </c>
      <c r="AS167" s="1001" t="s">
        <v>49</v>
      </c>
      <c r="AT167" s="925"/>
      <c r="AU167" s="285" t="s">
        <v>1737</v>
      </c>
      <c r="AV167" s="1537" t="s">
        <v>1738</v>
      </c>
      <c r="AW167" s="1012" t="s">
        <v>1739</v>
      </c>
      <c r="AX167" s="1538" t="s">
        <v>1740</v>
      </c>
      <c r="AY167" s="1009"/>
      <c r="AZ167" s="1009"/>
      <c r="BA167" s="1009"/>
      <c r="BB167" s="127" t="s">
        <v>1741</v>
      </c>
      <c r="BC167" s="164"/>
      <c r="BD167" s="1402"/>
      <c r="BF167" s="1306"/>
    </row>
    <row r="168" s="873" customFormat="1" ht="14.1" customHeight="1" spans="2:58">
      <c r="B168" s="1532" t="s">
        <v>1742</v>
      </c>
      <c r="C168" s="164" t="s">
        <v>1743</v>
      </c>
      <c r="D168" s="164" t="s">
        <v>1744</v>
      </c>
      <c r="E168" s="975" t="s">
        <v>1745</v>
      </c>
      <c r="F168" s="978" t="s">
        <v>43</v>
      </c>
      <c r="G168" s="978" t="s">
        <v>44</v>
      </c>
      <c r="H168" s="925" t="s">
        <v>1068</v>
      </c>
      <c r="I168" s="925" t="s">
        <v>428</v>
      </c>
      <c r="J168" s="925" t="s">
        <v>1746</v>
      </c>
      <c r="K168" s="980">
        <v>43179</v>
      </c>
      <c r="L168" s="980">
        <v>43373</v>
      </c>
      <c r="M168" s="1453"/>
      <c r="N168" s="981"/>
      <c r="O168" s="981"/>
      <c r="P168" s="981"/>
      <c r="Q168" s="981"/>
      <c r="R168" s="980"/>
      <c r="S168" s="980"/>
      <c r="T168" s="980"/>
      <c r="U168" s="980"/>
      <c r="V168" s="981"/>
      <c r="W168" s="981"/>
      <c r="X168" s="981"/>
      <c r="Y168" s="988"/>
      <c r="Z168" s="980"/>
      <c r="AA168" s="980"/>
      <c r="AB168" s="988"/>
      <c r="AC168" s="988"/>
      <c r="AD168" s="988"/>
      <c r="AE168" s="988"/>
      <c r="AF168" s="640">
        <f ca="1" t="shared" si="24"/>
        <v>100.61546296296</v>
      </c>
      <c r="AG168" s="121" t="str">
        <f ca="1" t="shared" si="25"/>
        <v>ACTIVE</v>
      </c>
      <c r="AH168" s="1002">
        <v>2700000</v>
      </c>
      <c r="AI168" s="1002">
        <v>250000</v>
      </c>
      <c r="AJ168" s="1002"/>
      <c r="AK168" s="1459"/>
      <c r="AL168" s="1459"/>
      <c r="AM168" s="1459">
        <v>500000</v>
      </c>
      <c r="AN168" s="1001"/>
      <c r="AO168" s="1459">
        <v>715000</v>
      </c>
      <c r="AP168" s="1001"/>
      <c r="AQ168" s="1001" t="s">
        <v>0</v>
      </c>
      <c r="AR168" s="1001" t="s">
        <v>48</v>
      </c>
      <c r="AS168" s="1001" t="s">
        <v>49</v>
      </c>
      <c r="AT168" s="925"/>
      <c r="AU168" s="285" t="s">
        <v>1747</v>
      </c>
      <c r="AV168" s="1537" t="s">
        <v>1748</v>
      </c>
      <c r="AW168" s="1012" t="s">
        <v>1749</v>
      </c>
      <c r="AX168" s="1538" t="s">
        <v>1750</v>
      </c>
      <c r="AY168" s="1009" t="s">
        <v>1751</v>
      </c>
      <c r="AZ168" s="1009"/>
      <c r="BA168" s="1538" t="s">
        <v>1752</v>
      </c>
      <c r="BB168" s="127" t="s">
        <v>1753</v>
      </c>
      <c r="BC168" s="164"/>
      <c r="BD168" s="1402"/>
      <c r="BF168" s="1306"/>
    </row>
    <row r="169" s="873" customFormat="1" ht="14.1" customHeight="1" spans="2:58">
      <c r="B169" s="1532" t="s">
        <v>1754</v>
      </c>
      <c r="C169" s="164" t="s">
        <v>1755</v>
      </c>
      <c r="D169" s="164" t="s">
        <v>1756</v>
      </c>
      <c r="E169" s="975" t="s">
        <v>1757</v>
      </c>
      <c r="F169" s="978" t="s">
        <v>43</v>
      </c>
      <c r="G169" s="978" t="s">
        <v>44</v>
      </c>
      <c r="H169" s="925" t="s">
        <v>1068</v>
      </c>
      <c r="I169" s="925" t="s">
        <v>428</v>
      </c>
      <c r="J169" s="925" t="s">
        <v>208</v>
      </c>
      <c r="K169" s="980">
        <v>43172</v>
      </c>
      <c r="L169" s="980">
        <v>43373</v>
      </c>
      <c r="M169" s="1453"/>
      <c r="N169" s="981"/>
      <c r="O169" s="981"/>
      <c r="P169" s="981"/>
      <c r="Q169" s="981"/>
      <c r="R169" s="980"/>
      <c r="S169" s="980"/>
      <c r="T169" s="980"/>
      <c r="U169" s="980"/>
      <c r="V169" s="981"/>
      <c r="W169" s="981"/>
      <c r="X169" s="981"/>
      <c r="Y169" s="988"/>
      <c r="Z169" s="980"/>
      <c r="AA169" s="980"/>
      <c r="AB169" s="988"/>
      <c r="AC169" s="988"/>
      <c r="AD169" s="988"/>
      <c r="AE169" s="988"/>
      <c r="AF169" s="640">
        <f ca="1" t="shared" si="24"/>
        <v>100.61546296296</v>
      </c>
      <c r="AG169" s="121" t="str">
        <f ca="1" t="shared" si="25"/>
        <v>ACTIVE</v>
      </c>
      <c r="AH169" s="1002">
        <v>3200000</v>
      </c>
      <c r="AI169" s="1002">
        <v>400000</v>
      </c>
      <c r="AJ169" s="1002"/>
      <c r="AK169" s="1459"/>
      <c r="AL169" s="1459"/>
      <c r="AM169" s="1459">
        <v>500000</v>
      </c>
      <c r="AN169" s="1001"/>
      <c r="AO169" s="1459">
        <v>1560000</v>
      </c>
      <c r="AP169" s="1001"/>
      <c r="AQ169" s="1001" t="s">
        <v>0</v>
      </c>
      <c r="AR169" s="1001" t="s">
        <v>48</v>
      </c>
      <c r="AS169" s="1001" t="s">
        <v>49</v>
      </c>
      <c r="AT169" s="925"/>
      <c r="AU169" s="285" t="s">
        <v>1758</v>
      </c>
      <c r="AV169" s="1537" t="s">
        <v>1759</v>
      </c>
      <c r="AW169" s="1012" t="s">
        <v>1760</v>
      </c>
      <c r="AX169" s="1537" t="s">
        <v>1761</v>
      </c>
      <c r="AY169" s="1009"/>
      <c r="AZ169" s="1009"/>
      <c r="BA169" s="1538" t="s">
        <v>1762</v>
      </c>
      <c r="BB169" s="127" t="s">
        <v>1763</v>
      </c>
      <c r="BC169" s="164"/>
      <c r="BD169" s="1402"/>
      <c r="BF169" s="1306"/>
    </row>
    <row r="170" s="873" customFormat="1" ht="14.1" customHeight="1" spans="2:58">
      <c r="B170" s="1532" t="s">
        <v>1764</v>
      </c>
      <c r="C170" s="164" t="s">
        <v>1765</v>
      </c>
      <c r="D170" s="164" t="s">
        <v>1766</v>
      </c>
      <c r="E170" s="975" t="s">
        <v>1767</v>
      </c>
      <c r="F170" s="978" t="s">
        <v>43</v>
      </c>
      <c r="G170" s="978" t="s">
        <v>60</v>
      </c>
      <c r="H170" s="925" t="s">
        <v>1068</v>
      </c>
      <c r="I170" s="925" t="s">
        <v>428</v>
      </c>
      <c r="J170" s="925" t="s">
        <v>61</v>
      </c>
      <c r="K170" s="980">
        <v>43179</v>
      </c>
      <c r="L170" s="980">
        <v>43373</v>
      </c>
      <c r="M170" s="1453"/>
      <c r="N170" s="981"/>
      <c r="O170" s="981"/>
      <c r="P170" s="981"/>
      <c r="Q170" s="981"/>
      <c r="R170" s="980"/>
      <c r="S170" s="980"/>
      <c r="T170" s="980"/>
      <c r="U170" s="980"/>
      <c r="V170" s="981"/>
      <c r="W170" s="981"/>
      <c r="X170" s="981"/>
      <c r="Y170" s="988"/>
      <c r="Z170" s="980"/>
      <c r="AA170" s="980"/>
      <c r="AB170" s="988"/>
      <c r="AC170" s="988"/>
      <c r="AD170" s="988"/>
      <c r="AE170" s="988"/>
      <c r="AF170" s="640">
        <f ca="1" t="shared" si="24"/>
        <v>100.61546296296</v>
      </c>
      <c r="AG170" s="121" t="str">
        <f ca="1" t="shared" si="25"/>
        <v>ACTIVE</v>
      </c>
      <c r="AH170" s="1002">
        <v>3000000</v>
      </c>
      <c r="AI170" s="1002">
        <v>250000</v>
      </c>
      <c r="AJ170" s="1002"/>
      <c r="AK170" s="1459"/>
      <c r="AL170" s="1459"/>
      <c r="AM170" s="1459"/>
      <c r="AN170" s="1001"/>
      <c r="AO170" s="1459">
        <v>1365000</v>
      </c>
      <c r="AP170" s="1001"/>
      <c r="AQ170" s="1001" t="s">
        <v>0</v>
      </c>
      <c r="AR170" s="1001" t="s">
        <v>48</v>
      </c>
      <c r="AS170" s="1001" t="s">
        <v>49</v>
      </c>
      <c r="AT170" s="925"/>
      <c r="AU170" s="285" t="s">
        <v>1768</v>
      </c>
      <c r="AV170" s="1537" t="s">
        <v>1769</v>
      </c>
      <c r="AW170" s="1012" t="s">
        <v>1770</v>
      </c>
      <c r="AX170" s="1538" t="s">
        <v>1771</v>
      </c>
      <c r="AY170" s="1009"/>
      <c r="AZ170" s="1009"/>
      <c r="BA170" s="1009"/>
      <c r="BB170" s="127" t="s">
        <v>1772</v>
      </c>
      <c r="BC170" s="164"/>
      <c r="BD170" s="1402"/>
      <c r="BF170" s="1306"/>
    </row>
    <row r="171" s="873" customFormat="1" ht="14.1" customHeight="1" spans="2:58">
      <c r="B171" s="1532" t="s">
        <v>1773</v>
      </c>
      <c r="C171" s="164" t="s">
        <v>1774</v>
      </c>
      <c r="D171" s="164" t="s">
        <v>1775</v>
      </c>
      <c r="E171" s="975" t="s">
        <v>1776</v>
      </c>
      <c r="F171" s="978" t="s">
        <v>43</v>
      </c>
      <c r="G171" s="978" t="s">
        <v>44</v>
      </c>
      <c r="H171" s="925" t="s">
        <v>1068</v>
      </c>
      <c r="I171" s="925" t="s">
        <v>428</v>
      </c>
      <c r="J171" s="925" t="s">
        <v>185</v>
      </c>
      <c r="K171" s="980">
        <v>43179</v>
      </c>
      <c r="L171" s="980">
        <v>43373</v>
      </c>
      <c r="M171" s="1453"/>
      <c r="N171" s="981"/>
      <c r="O171" s="981"/>
      <c r="P171" s="981"/>
      <c r="Q171" s="981"/>
      <c r="R171" s="980"/>
      <c r="S171" s="980"/>
      <c r="T171" s="980"/>
      <c r="U171" s="980"/>
      <c r="V171" s="981"/>
      <c r="W171" s="981"/>
      <c r="X171" s="981"/>
      <c r="Y171" s="988"/>
      <c r="Z171" s="980"/>
      <c r="AA171" s="980"/>
      <c r="AB171" s="988"/>
      <c r="AC171" s="988"/>
      <c r="AD171" s="988"/>
      <c r="AE171" s="988"/>
      <c r="AF171" s="640">
        <f ca="1" t="shared" si="24"/>
        <v>100.61546296296</v>
      </c>
      <c r="AG171" s="121" t="str">
        <f ca="1" t="shared" si="25"/>
        <v>ACTIVE</v>
      </c>
      <c r="AH171" s="1002">
        <v>2500000</v>
      </c>
      <c r="AI171" s="1002">
        <v>250000</v>
      </c>
      <c r="AJ171" s="1002"/>
      <c r="AK171" s="1459"/>
      <c r="AL171" s="1459"/>
      <c r="AM171" s="1459"/>
      <c r="AN171" s="1001"/>
      <c r="AO171" s="1459">
        <v>715000</v>
      </c>
      <c r="AP171" s="1001"/>
      <c r="AQ171" s="1001" t="s">
        <v>0</v>
      </c>
      <c r="AR171" s="1001" t="s">
        <v>48</v>
      </c>
      <c r="AS171" s="1001" t="s">
        <v>49</v>
      </c>
      <c r="AT171" s="925"/>
      <c r="AU171" s="285" t="s">
        <v>1777</v>
      </c>
      <c r="AV171" s="1537" t="s">
        <v>1778</v>
      </c>
      <c r="AW171" s="1012" t="s">
        <v>1779</v>
      </c>
      <c r="AX171" s="1538" t="s">
        <v>1780</v>
      </c>
      <c r="AY171" s="1009"/>
      <c r="AZ171" s="1009"/>
      <c r="BA171" s="1009"/>
      <c r="BB171" s="127" t="s">
        <v>1781</v>
      </c>
      <c r="BC171" s="164"/>
      <c r="BD171" s="1402"/>
      <c r="BF171" s="1306"/>
    </row>
    <row r="172" s="873" customFormat="1" ht="14.1" customHeight="1" spans="2:58">
      <c r="B172" s="1532" t="s">
        <v>1782</v>
      </c>
      <c r="C172" s="164" t="s">
        <v>1783</v>
      </c>
      <c r="D172" s="164" t="s">
        <v>1784</v>
      </c>
      <c r="E172" s="975" t="s">
        <v>1067</v>
      </c>
      <c r="F172" s="978" t="s">
        <v>43</v>
      </c>
      <c r="G172" s="978" t="s">
        <v>44</v>
      </c>
      <c r="H172" s="925" t="s">
        <v>1068</v>
      </c>
      <c r="I172" s="925" t="s">
        <v>428</v>
      </c>
      <c r="J172" s="925" t="s">
        <v>1785</v>
      </c>
      <c r="K172" s="980">
        <v>43178</v>
      </c>
      <c r="L172" s="980">
        <v>43373</v>
      </c>
      <c r="M172" s="1453"/>
      <c r="N172" s="981"/>
      <c r="O172" s="981"/>
      <c r="P172" s="981"/>
      <c r="Q172" s="981"/>
      <c r="R172" s="980"/>
      <c r="S172" s="980"/>
      <c r="T172" s="980"/>
      <c r="U172" s="980"/>
      <c r="V172" s="981"/>
      <c r="W172" s="981"/>
      <c r="X172" s="981"/>
      <c r="Y172" s="988"/>
      <c r="Z172" s="980"/>
      <c r="AA172" s="980"/>
      <c r="AB172" s="988"/>
      <c r="AC172" s="988"/>
      <c r="AD172" s="988"/>
      <c r="AE172" s="988"/>
      <c r="AF172" s="640">
        <f ca="1" t="shared" si="24"/>
        <v>100.61546296296</v>
      </c>
      <c r="AG172" s="121" t="str">
        <f ca="1" t="shared" si="25"/>
        <v>ACTIVE</v>
      </c>
      <c r="AH172" s="1002">
        <v>2700000</v>
      </c>
      <c r="AI172" s="1002">
        <v>250000</v>
      </c>
      <c r="AJ172" s="1002"/>
      <c r="AK172" s="1459"/>
      <c r="AL172" s="1459"/>
      <c r="AM172" s="1459">
        <v>500000</v>
      </c>
      <c r="AN172" s="1001"/>
      <c r="AO172" s="1459">
        <v>715000</v>
      </c>
      <c r="AP172" s="1001"/>
      <c r="AQ172" s="1001" t="s">
        <v>0</v>
      </c>
      <c r="AR172" s="1001" t="s">
        <v>48</v>
      </c>
      <c r="AS172" s="1001" t="s">
        <v>49</v>
      </c>
      <c r="AT172" s="925"/>
      <c r="AU172" s="285" t="s">
        <v>1786</v>
      </c>
      <c r="AV172" s="961"/>
      <c r="AW172" s="1012" t="s">
        <v>1787</v>
      </c>
      <c r="AX172" s="1538" t="s">
        <v>1788</v>
      </c>
      <c r="AY172" s="1009"/>
      <c r="AZ172" s="1009"/>
      <c r="BA172" s="1009"/>
      <c r="BB172" s="127"/>
      <c r="BC172" s="164"/>
      <c r="BD172" s="1402"/>
      <c r="BF172" s="1306"/>
    </row>
    <row r="173" s="873" customFormat="1" ht="14.1" customHeight="1" spans="2:58">
      <c r="B173" s="1532" t="s">
        <v>1789</v>
      </c>
      <c r="C173" s="164" t="s">
        <v>1790</v>
      </c>
      <c r="D173" s="164" t="s">
        <v>1791</v>
      </c>
      <c r="E173" s="975" t="s">
        <v>1792</v>
      </c>
      <c r="F173" s="978" t="s">
        <v>43</v>
      </c>
      <c r="G173" s="978" t="s">
        <v>404</v>
      </c>
      <c r="H173" s="925" t="s">
        <v>1793</v>
      </c>
      <c r="I173" s="925" t="s">
        <v>428</v>
      </c>
      <c r="J173" s="925" t="s">
        <v>208</v>
      </c>
      <c r="K173" s="980">
        <v>43180</v>
      </c>
      <c r="L173" s="980">
        <v>43281</v>
      </c>
      <c r="M173" s="1453"/>
      <c r="N173" s="981"/>
      <c r="O173" s="981"/>
      <c r="P173" s="981"/>
      <c r="Q173" s="981"/>
      <c r="R173" s="980"/>
      <c r="S173" s="980"/>
      <c r="T173" s="980"/>
      <c r="U173" s="980"/>
      <c r="V173" s="981"/>
      <c r="W173" s="981"/>
      <c r="X173" s="981"/>
      <c r="Y173" s="988"/>
      <c r="Z173" s="980"/>
      <c r="AA173" s="980"/>
      <c r="AB173" s="988"/>
      <c r="AC173" s="988"/>
      <c r="AD173" s="988"/>
      <c r="AE173" s="988"/>
      <c r="AF173" s="640">
        <f ca="1" t="shared" si="24"/>
        <v>8.61546296296001</v>
      </c>
      <c r="AG173" s="121" t="str">
        <f ca="1" t="shared" si="25"/>
        <v>WARNING</v>
      </c>
      <c r="AH173" s="1002">
        <v>4100000</v>
      </c>
      <c r="AI173" s="1002">
        <v>400000</v>
      </c>
      <c r="AJ173" s="1002"/>
      <c r="AK173" s="1459"/>
      <c r="AL173" s="1459"/>
      <c r="AM173" s="1459">
        <v>500000</v>
      </c>
      <c r="AN173" s="1001"/>
      <c r="AO173" s="1459"/>
      <c r="AP173" s="1001"/>
      <c r="AQ173" s="1001" t="s">
        <v>0</v>
      </c>
      <c r="AR173" s="1001" t="s">
        <v>48</v>
      </c>
      <c r="AS173" s="1001" t="s">
        <v>49</v>
      </c>
      <c r="AT173" s="925"/>
      <c r="AU173" s="285" t="s">
        <v>1794</v>
      </c>
      <c r="AV173" s="1537" t="s">
        <v>1795</v>
      </c>
      <c r="AW173" s="1012" t="s">
        <v>1796</v>
      </c>
      <c r="AX173" s="1538" t="s">
        <v>1797</v>
      </c>
      <c r="AY173" s="1538" t="s">
        <v>1798</v>
      </c>
      <c r="AZ173" s="1009"/>
      <c r="BA173" s="1538" t="s">
        <v>1799</v>
      </c>
      <c r="BB173" s="127" t="s">
        <v>1800</v>
      </c>
      <c r="BC173" s="164"/>
      <c r="BD173" s="1402"/>
      <c r="BF173" s="1306"/>
    </row>
    <row r="174" s="873" customFormat="1" ht="14.1" customHeight="1" spans="2:58">
      <c r="B174" s="1532" t="s">
        <v>1801</v>
      </c>
      <c r="C174" s="164" t="s">
        <v>1802</v>
      </c>
      <c r="D174" s="164" t="s">
        <v>1803</v>
      </c>
      <c r="E174" s="975" t="s">
        <v>1804</v>
      </c>
      <c r="F174" s="978" t="s">
        <v>43</v>
      </c>
      <c r="G174" s="978" t="s">
        <v>60</v>
      </c>
      <c r="H174" s="925" t="s">
        <v>1300</v>
      </c>
      <c r="I174" s="925" t="s">
        <v>428</v>
      </c>
      <c r="J174" s="925" t="s">
        <v>185</v>
      </c>
      <c r="K174" s="980">
        <v>43180</v>
      </c>
      <c r="L174" s="980">
        <v>43281</v>
      </c>
      <c r="M174" s="1453"/>
      <c r="N174" s="981"/>
      <c r="O174" s="981"/>
      <c r="P174" s="981"/>
      <c r="Q174" s="981"/>
      <c r="R174" s="980"/>
      <c r="S174" s="980"/>
      <c r="T174" s="980"/>
      <c r="U174" s="980"/>
      <c r="V174" s="981"/>
      <c r="W174" s="981"/>
      <c r="X174" s="981"/>
      <c r="Y174" s="988"/>
      <c r="Z174" s="980"/>
      <c r="AA174" s="980"/>
      <c r="AB174" s="988"/>
      <c r="AC174" s="988"/>
      <c r="AD174" s="988"/>
      <c r="AE174" s="988"/>
      <c r="AF174" s="640">
        <f ca="1" t="shared" ref="AF174:AF204" si="26">SUM(L174-NOW())</f>
        <v>8.61546296296001</v>
      </c>
      <c r="AG174" s="121" t="str">
        <f ca="1" t="shared" si="25"/>
        <v>WARNING</v>
      </c>
      <c r="AH174" s="1002">
        <v>2750000</v>
      </c>
      <c r="AI174" s="1002">
        <v>250000</v>
      </c>
      <c r="AJ174" s="1002"/>
      <c r="AK174" s="1459"/>
      <c r="AL174" s="1459"/>
      <c r="AM174" s="1459"/>
      <c r="AN174" s="1001"/>
      <c r="AO174" s="1459"/>
      <c r="AP174" s="1001"/>
      <c r="AQ174" s="1001" t="s">
        <v>0</v>
      </c>
      <c r="AR174" s="1001" t="s">
        <v>48</v>
      </c>
      <c r="AS174" s="1001" t="s">
        <v>49</v>
      </c>
      <c r="AT174" s="925"/>
      <c r="AU174" s="285" t="s">
        <v>1805</v>
      </c>
      <c r="AV174" s="1537" t="s">
        <v>1806</v>
      </c>
      <c r="AW174" s="1012" t="s">
        <v>1807</v>
      </c>
      <c r="AX174" s="1538" t="s">
        <v>1808</v>
      </c>
      <c r="AY174" s="1009"/>
      <c r="AZ174" s="1009"/>
      <c r="BA174" s="1009"/>
      <c r="BB174" s="127" t="s">
        <v>1809</v>
      </c>
      <c r="BC174" s="164"/>
      <c r="BD174" s="1402"/>
      <c r="BF174" s="1306"/>
    </row>
    <row r="175" s="873" customFormat="1" ht="14.1" customHeight="1" spans="2:58">
      <c r="B175" s="1532" t="s">
        <v>1810</v>
      </c>
      <c r="C175" s="164" t="s">
        <v>1811</v>
      </c>
      <c r="D175" s="164" t="s">
        <v>1812</v>
      </c>
      <c r="E175" s="975" t="s">
        <v>1813</v>
      </c>
      <c r="F175" s="978" t="s">
        <v>43</v>
      </c>
      <c r="G175" s="978" t="s">
        <v>44</v>
      </c>
      <c r="H175" s="925" t="s">
        <v>1300</v>
      </c>
      <c r="I175" s="925" t="s">
        <v>428</v>
      </c>
      <c r="J175" s="925" t="s">
        <v>185</v>
      </c>
      <c r="K175" s="980">
        <v>43180</v>
      </c>
      <c r="L175" s="980">
        <v>43281</v>
      </c>
      <c r="M175" s="1453"/>
      <c r="N175" s="981"/>
      <c r="O175" s="981"/>
      <c r="P175" s="981"/>
      <c r="Q175" s="981"/>
      <c r="R175" s="980"/>
      <c r="S175" s="980"/>
      <c r="T175" s="980"/>
      <c r="U175" s="980"/>
      <c r="V175" s="981"/>
      <c r="W175" s="981"/>
      <c r="X175" s="981"/>
      <c r="Y175" s="988"/>
      <c r="Z175" s="980"/>
      <c r="AA175" s="980"/>
      <c r="AB175" s="988"/>
      <c r="AC175" s="988"/>
      <c r="AD175" s="988"/>
      <c r="AE175" s="988"/>
      <c r="AF175" s="640">
        <f ca="1" t="shared" si="26"/>
        <v>8.61546296296001</v>
      </c>
      <c r="AG175" s="121" t="str">
        <f ca="1" t="shared" si="25"/>
        <v>WARNING</v>
      </c>
      <c r="AH175" s="1002">
        <v>2750000</v>
      </c>
      <c r="AI175" s="1002">
        <v>250000</v>
      </c>
      <c r="AJ175" s="1002"/>
      <c r="AK175" s="1459"/>
      <c r="AL175" s="1459"/>
      <c r="AM175" s="1459"/>
      <c r="AN175" s="1001"/>
      <c r="AO175" s="1459"/>
      <c r="AP175" s="1001"/>
      <c r="AQ175" s="1001" t="s">
        <v>0</v>
      </c>
      <c r="AR175" s="1001" t="s">
        <v>48</v>
      </c>
      <c r="AS175" s="1001" t="s">
        <v>49</v>
      </c>
      <c r="AT175" s="925"/>
      <c r="AU175" s="285" t="s">
        <v>1814</v>
      </c>
      <c r="AV175" s="1537" t="s">
        <v>1815</v>
      </c>
      <c r="AW175" s="1012" t="s">
        <v>1816</v>
      </c>
      <c r="AX175" s="1538" t="s">
        <v>1817</v>
      </c>
      <c r="AY175" s="1009"/>
      <c r="AZ175" s="1009"/>
      <c r="BA175" s="1009"/>
      <c r="BB175" s="127" t="s">
        <v>1818</v>
      </c>
      <c r="BC175" s="164"/>
      <c r="BD175" s="1402"/>
      <c r="BF175" s="1306"/>
    </row>
    <row r="176" s="873" customFormat="1" ht="14.1" customHeight="1" spans="2:56">
      <c r="B176" s="1532" t="s">
        <v>1819</v>
      </c>
      <c r="C176" s="164" t="s">
        <v>1820</v>
      </c>
      <c r="D176" s="164" t="s">
        <v>1821</v>
      </c>
      <c r="E176" s="975" t="s">
        <v>1822</v>
      </c>
      <c r="F176" s="978" t="s">
        <v>43</v>
      </c>
      <c r="G176" s="978" t="s">
        <v>404</v>
      </c>
      <c r="H176" s="925" t="s">
        <v>1068</v>
      </c>
      <c r="I176" s="925" t="s">
        <v>428</v>
      </c>
      <c r="J176" s="1371" t="s">
        <v>1584</v>
      </c>
      <c r="K176" s="980">
        <v>43165</v>
      </c>
      <c r="L176" s="980">
        <v>43373</v>
      </c>
      <c r="M176" s="1455" t="s">
        <v>325</v>
      </c>
      <c r="N176" s="981"/>
      <c r="O176" s="981"/>
      <c r="P176" s="981"/>
      <c r="Q176" s="981"/>
      <c r="R176" s="980"/>
      <c r="S176" s="980"/>
      <c r="T176" s="980"/>
      <c r="U176" s="980"/>
      <c r="V176" s="981"/>
      <c r="W176" s="981"/>
      <c r="X176" s="981"/>
      <c r="Y176" s="988"/>
      <c r="Z176" s="980"/>
      <c r="AA176" s="980"/>
      <c r="AB176" s="988"/>
      <c r="AC176" s="988"/>
      <c r="AD176" s="988"/>
      <c r="AE176" s="988"/>
      <c r="AF176" s="640">
        <f ca="1" t="shared" si="26"/>
        <v>100.61546296296</v>
      </c>
      <c r="AG176" s="121" t="str">
        <f ca="1" t="shared" si="25"/>
        <v>ACTIVE</v>
      </c>
      <c r="AH176" s="1002">
        <v>2800000</v>
      </c>
      <c r="AI176" s="1365">
        <v>250000</v>
      </c>
      <c r="AJ176" s="1002"/>
      <c r="AK176" s="1459"/>
      <c r="AL176" s="1459"/>
      <c r="AM176" s="1459"/>
      <c r="AN176" s="1001"/>
      <c r="AO176" s="1458">
        <v>715000</v>
      </c>
      <c r="AP176" s="1001"/>
      <c r="AQ176" s="1001" t="s">
        <v>0</v>
      </c>
      <c r="AR176" s="1001" t="s">
        <v>48</v>
      </c>
      <c r="AS176" s="1001" t="s">
        <v>49</v>
      </c>
      <c r="AT176" s="1371" t="s">
        <v>1585</v>
      </c>
      <c r="AU176" s="285" t="s">
        <v>1823</v>
      </c>
      <c r="AV176" s="1537" t="s">
        <v>1824</v>
      </c>
      <c r="AW176" s="1012" t="s">
        <v>1825</v>
      </c>
      <c r="AX176" s="1538" t="s">
        <v>1826</v>
      </c>
      <c r="AY176" s="1009"/>
      <c r="AZ176" s="1009"/>
      <c r="BA176" s="1009"/>
      <c r="BB176" s="127" t="s">
        <v>1827</v>
      </c>
      <c r="BC176" s="164"/>
      <c r="BD176" s="1402"/>
    </row>
    <row r="177" s="873" customFormat="1" ht="14.1" customHeight="1" spans="2:56">
      <c r="B177" s="1532" t="s">
        <v>1828</v>
      </c>
      <c r="C177" s="164" t="s">
        <v>1829</v>
      </c>
      <c r="D177" s="164" t="s">
        <v>1830</v>
      </c>
      <c r="E177" s="975" t="s">
        <v>1831</v>
      </c>
      <c r="F177" s="978" t="s">
        <v>43</v>
      </c>
      <c r="G177" s="978" t="s">
        <v>44</v>
      </c>
      <c r="H177" s="925" t="s">
        <v>1068</v>
      </c>
      <c r="I177" s="925" t="s">
        <v>428</v>
      </c>
      <c r="J177" s="1371" t="s">
        <v>1584</v>
      </c>
      <c r="K177" s="980">
        <v>43165</v>
      </c>
      <c r="L177" s="980">
        <v>43373</v>
      </c>
      <c r="M177" s="1455" t="s">
        <v>325</v>
      </c>
      <c r="N177" s="981"/>
      <c r="O177" s="981"/>
      <c r="P177" s="981"/>
      <c r="Q177" s="981"/>
      <c r="R177" s="980"/>
      <c r="S177" s="980"/>
      <c r="T177" s="980"/>
      <c r="U177" s="980"/>
      <c r="V177" s="981"/>
      <c r="W177" s="981"/>
      <c r="X177" s="981"/>
      <c r="Y177" s="988"/>
      <c r="Z177" s="980"/>
      <c r="AA177" s="980"/>
      <c r="AB177" s="988"/>
      <c r="AC177" s="988"/>
      <c r="AD177" s="988"/>
      <c r="AE177" s="988"/>
      <c r="AF177" s="640">
        <f ca="1" t="shared" si="26"/>
        <v>100.61546296296</v>
      </c>
      <c r="AG177" s="121" t="str">
        <f ca="1" t="shared" si="25"/>
        <v>ACTIVE</v>
      </c>
      <c r="AH177" s="1002">
        <v>2800000</v>
      </c>
      <c r="AI177" s="1365">
        <v>250000</v>
      </c>
      <c r="AJ177" s="1002"/>
      <c r="AK177" s="1459"/>
      <c r="AL177" s="1459"/>
      <c r="AM177" s="1459"/>
      <c r="AN177" s="1001"/>
      <c r="AO177" s="1458">
        <v>715000</v>
      </c>
      <c r="AP177" s="1001"/>
      <c r="AQ177" s="1001" t="s">
        <v>0</v>
      </c>
      <c r="AR177" s="1001" t="s">
        <v>48</v>
      </c>
      <c r="AS177" s="1001" t="s">
        <v>49</v>
      </c>
      <c r="AT177" s="1371" t="s">
        <v>1585</v>
      </c>
      <c r="AU177" s="285" t="s">
        <v>1832</v>
      </c>
      <c r="AV177" s="1537" t="s">
        <v>1833</v>
      </c>
      <c r="AW177" s="1012" t="s">
        <v>1834</v>
      </c>
      <c r="AX177" s="1538" t="s">
        <v>1835</v>
      </c>
      <c r="AY177" s="1009"/>
      <c r="AZ177" s="1009"/>
      <c r="BA177" s="1009"/>
      <c r="BB177" s="127"/>
      <c r="BC177" s="164"/>
      <c r="BD177" s="1402"/>
    </row>
    <row r="178" s="873" customFormat="1" ht="14.1" customHeight="1" spans="2:56">
      <c r="B178" s="1532" t="s">
        <v>1836</v>
      </c>
      <c r="C178" s="164" t="s">
        <v>1837</v>
      </c>
      <c r="D178" s="164" t="s">
        <v>1838</v>
      </c>
      <c r="E178" s="975" t="s">
        <v>1839</v>
      </c>
      <c r="F178" s="978" t="s">
        <v>43</v>
      </c>
      <c r="G178" s="978" t="s">
        <v>44</v>
      </c>
      <c r="H178" s="925" t="s">
        <v>1840</v>
      </c>
      <c r="I178" s="925" t="s">
        <v>428</v>
      </c>
      <c r="J178" s="925" t="s">
        <v>1241</v>
      </c>
      <c r="K178" s="980">
        <v>43181</v>
      </c>
      <c r="L178" s="980">
        <v>43281</v>
      </c>
      <c r="M178" s="1453"/>
      <c r="N178" s="981"/>
      <c r="O178" s="981"/>
      <c r="P178" s="981"/>
      <c r="Q178" s="981"/>
      <c r="R178" s="980" t="s">
        <v>583</v>
      </c>
      <c r="S178" s="980"/>
      <c r="T178" s="980"/>
      <c r="U178" s="980"/>
      <c r="V178" s="981"/>
      <c r="W178" s="981"/>
      <c r="X178" s="981"/>
      <c r="Y178" s="988"/>
      <c r="Z178" s="980"/>
      <c r="AA178" s="980"/>
      <c r="AB178" s="988"/>
      <c r="AC178" s="988"/>
      <c r="AD178" s="988"/>
      <c r="AE178" s="988"/>
      <c r="AF178" s="640">
        <f ca="1" t="shared" si="26"/>
        <v>8.61546296296001</v>
      </c>
      <c r="AG178" s="121" t="str">
        <f ca="1" t="shared" si="25"/>
        <v>WARNING</v>
      </c>
      <c r="AH178" s="1002">
        <v>4500000</v>
      </c>
      <c r="AI178" s="1002">
        <v>400000</v>
      </c>
      <c r="AJ178" s="1002" t="s">
        <v>583</v>
      </c>
      <c r="AK178" s="1459"/>
      <c r="AL178" s="1459">
        <v>500000</v>
      </c>
      <c r="AM178" s="1459">
        <v>500000</v>
      </c>
      <c r="AN178" s="1001" t="s">
        <v>583</v>
      </c>
      <c r="AO178" s="1459"/>
      <c r="AP178" s="1001"/>
      <c r="AQ178" s="1001" t="s">
        <v>0</v>
      </c>
      <c r="AR178" s="1001" t="s">
        <v>48</v>
      </c>
      <c r="AS178" s="1001" t="s">
        <v>49</v>
      </c>
      <c r="AT178" s="925"/>
      <c r="AU178" s="285" t="s">
        <v>1841</v>
      </c>
      <c r="AV178" s="1537" t="s">
        <v>1842</v>
      </c>
      <c r="AW178" s="1012" t="s">
        <v>1843</v>
      </c>
      <c r="AX178" s="1538" t="s">
        <v>1844</v>
      </c>
      <c r="AY178" s="1538" t="s">
        <v>1845</v>
      </c>
      <c r="AZ178" s="1009"/>
      <c r="BA178" s="1538" t="s">
        <v>1846</v>
      </c>
      <c r="BB178" s="127" t="s">
        <v>1847</v>
      </c>
      <c r="BC178" s="164"/>
      <c r="BD178" s="1402"/>
    </row>
    <row r="179" s="1022" customFormat="1" ht="14.1" customHeight="1" spans="2:56">
      <c r="B179" s="1540" t="s">
        <v>1848</v>
      </c>
      <c r="C179" s="168" t="s">
        <v>1849</v>
      </c>
      <c r="D179" s="168" t="s">
        <v>1850</v>
      </c>
      <c r="E179" s="979" t="s">
        <v>1851</v>
      </c>
      <c r="F179" s="922" t="s">
        <v>43</v>
      </c>
      <c r="G179" s="922" t="s">
        <v>43</v>
      </c>
      <c r="H179" s="927" t="s">
        <v>1852</v>
      </c>
      <c r="I179" s="927" t="s">
        <v>428</v>
      </c>
      <c r="J179" s="927" t="s">
        <v>1020</v>
      </c>
      <c r="K179" s="1246">
        <v>43168</v>
      </c>
      <c r="L179" s="1246">
        <v>43281</v>
      </c>
      <c r="M179" s="1270"/>
      <c r="N179" s="934"/>
      <c r="O179" s="934"/>
      <c r="P179" s="934"/>
      <c r="Q179" s="934"/>
      <c r="R179" s="1246" t="s">
        <v>583</v>
      </c>
      <c r="S179" s="1246"/>
      <c r="T179" s="1246"/>
      <c r="U179" s="1246"/>
      <c r="V179" s="934"/>
      <c r="W179" s="934"/>
      <c r="X179" s="934"/>
      <c r="Y179" s="989"/>
      <c r="Z179" s="1246"/>
      <c r="AA179" s="1246"/>
      <c r="AB179" s="989"/>
      <c r="AC179" s="989"/>
      <c r="AD179" s="989"/>
      <c r="AE179" s="989"/>
      <c r="AF179" s="641">
        <f ca="1" t="shared" si="26"/>
        <v>8.61546296296001</v>
      </c>
      <c r="AG179" s="187" t="str">
        <f ca="1" t="shared" si="25"/>
        <v>WARNING</v>
      </c>
      <c r="AH179" s="1006">
        <v>3000000</v>
      </c>
      <c r="AI179" s="1006">
        <v>200000</v>
      </c>
      <c r="AJ179" s="1006">
        <v>17000</v>
      </c>
      <c r="AK179" s="1468">
        <v>30000</v>
      </c>
      <c r="AL179" s="1468"/>
      <c r="AM179" s="1468" t="s">
        <v>583</v>
      </c>
      <c r="AN179" s="1321" t="s">
        <v>583</v>
      </c>
      <c r="AO179" s="1468"/>
      <c r="AP179" s="1321"/>
      <c r="AQ179" s="1321" t="s">
        <v>0</v>
      </c>
      <c r="AR179" s="1321" t="s">
        <v>48</v>
      </c>
      <c r="AS179" s="1321" t="s">
        <v>49</v>
      </c>
      <c r="AT179" s="927"/>
      <c r="AU179" s="290" t="s">
        <v>1853</v>
      </c>
      <c r="AV179" s="1541" t="s">
        <v>1854</v>
      </c>
      <c r="AW179" s="1014" t="s">
        <v>1855</v>
      </c>
      <c r="AX179" s="1542" t="s">
        <v>1856</v>
      </c>
      <c r="AY179" s="963"/>
      <c r="AZ179" s="963"/>
      <c r="BA179" s="963"/>
      <c r="BB179" s="229"/>
      <c r="BC179" s="168" t="s">
        <v>1857</v>
      </c>
      <c r="BD179" s="1324"/>
    </row>
    <row r="180" s="873" customFormat="1" ht="14.1" customHeight="1" spans="2:56">
      <c r="B180" s="1532" t="s">
        <v>1858</v>
      </c>
      <c r="C180" s="164" t="s">
        <v>1859</v>
      </c>
      <c r="D180" s="164" t="s">
        <v>1860</v>
      </c>
      <c r="E180" s="975" t="s">
        <v>1861</v>
      </c>
      <c r="F180" s="978" t="s">
        <v>43</v>
      </c>
      <c r="G180" s="978" t="s">
        <v>44</v>
      </c>
      <c r="H180" s="925" t="s">
        <v>1852</v>
      </c>
      <c r="I180" s="925" t="s">
        <v>428</v>
      </c>
      <c r="J180" s="925" t="s">
        <v>61</v>
      </c>
      <c r="K180" s="1467">
        <v>43180</v>
      </c>
      <c r="L180" s="1467">
        <v>43281</v>
      </c>
      <c r="M180" s="1453"/>
      <c r="N180" s="981"/>
      <c r="O180" s="981"/>
      <c r="P180" s="981"/>
      <c r="Q180" s="981"/>
      <c r="R180" s="980" t="s">
        <v>583</v>
      </c>
      <c r="S180" s="980"/>
      <c r="T180" s="980"/>
      <c r="U180" s="980"/>
      <c r="V180" s="981"/>
      <c r="W180" s="981"/>
      <c r="X180" s="981"/>
      <c r="Y180" s="988"/>
      <c r="Z180" s="980"/>
      <c r="AA180" s="980"/>
      <c r="AB180" s="988"/>
      <c r="AC180" s="988"/>
      <c r="AD180" s="988"/>
      <c r="AE180" s="988"/>
      <c r="AF180" s="640">
        <f ca="1" t="shared" si="26"/>
        <v>8.61546296296001</v>
      </c>
      <c r="AG180" s="121" t="str">
        <f ca="1" t="shared" si="25"/>
        <v>WARNING</v>
      </c>
      <c r="AH180" s="1002">
        <v>3000000</v>
      </c>
      <c r="AI180" s="1002">
        <v>200000</v>
      </c>
      <c r="AJ180" s="1002">
        <v>17000</v>
      </c>
      <c r="AK180" s="1459" t="s">
        <v>583</v>
      </c>
      <c r="AL180" s="1459" t="s">
        <v>583</v>
      </c>
      <c r="AM180" s="1459" t="s">
        <v>583</v>
      </c>
      <c r="AN180" s="1001" t="s">
        <v>583</v>
      </c>
      <c r="AO180" s="1459"/>
      <c r="AP180" s="1001"/>
      <c r="AQ180" s="1001" t="s">
        <v>0</v>
      </c>
      <c r="AR180" s="1001" t="s">
        <v>48</v>
      </c>
      <c r="AS180" s="1001" t="s">
        <v>49</v>
      </c>
      <c r="AT180" s="925"/>
      <c r="AU180" s="285" t="s">
        <v>1862</v>
      </c>
      <c r="AV180" s="961"/>
      <c r="AW180" s="1012" t="s">
        <v>1863</v>
      </c>
      <c r="AX180" s="1538" t="s">
        <v>1864</v>
      </c>
      <c r="AY180" s="1009"/>
      <c r="AZ180" s="1538" t="s">
        <v>1865</v>
      </c>
      <c r="BA180" s="1009"/>
      <c r="BB180" s="127" t="s">
        <v>1866</v>
      </c>
      <c r="BC180" s="164"/>
      <c r="BD180" s="1402"/>
    </row>
    <row r="181" s="873" customFormat="1" ht="14.1" customHeight="1" spans="2:56">
      <c r="B181" s="1532" t="s">
        <v>1867</v>
      </c>
      <c r="C181" s="164" t="s">
        <v>1868</v>
      </c>
      <c r="D181" s="164" t="s">
        <v>1869</v>
      </c>
      <c r="E181" s="975" t="s">
        <v>1870</v>
      </c>
      <c r="F181" s="978" t="s">
        <v>43</v>
      </c>
      <c r="G181" s="978" t="s">
        <v>44</v>
      </c>
      <c r="H181" s="925" t="s">
        <v>1852</v>
      </c>
      <c r="I181" s="925" t="s">
        <v>428</v>
      </c>
      <c r="J181" s="925" t="s">
        <v>185</v>
      </c>
      <c r="K181" s="1467">
        <v>43174</v>
      </c>
      <c r="L181" s="1467">
        <v>43281</v>
      </c>
      <c r="M181" s="1453"/>
      <c r="N181" s="981"/>
      <c r="O181" s="981"/>
      <c r="P181" s="981"/>
      <c r="Q181" s="981"/>
      <c r="R181" s="980" t="s">
        <v>583</v>
      </c>
      <c r="S181" s="980"/>
      <c r="T181" s="980"/>
      <c r="U181" s="980"/>
      <c r="V181" s="981"/>
      <c r="W181" s="981"/>
      <c r="X181" s="981"/>
      <c r="Y181" s="988"/>
      <c r="Z181" s="980"/>
      <c r="AA181" s="980"/>
      <c r="AB181" s="988"/>
      <c r="AC181" s="988"/>
      <c r="AD181" s="988"/>
      <c r="AE181" s="988"/>
      <c r="AF181" s="640">
        <f ca="1" t="shared" si="26"/>
        <v>8.61546296296001</v>
      </c>
      <c r="AG181" s="121" t="str">
        <f ca="1" t="shared" si="25"/>
        <v>WARNING</v>
      </c>
      <c r="AH181" s="1002">
        <v>2765000</v>
      </c>
      <c r="AI181" s="1002">
        <v>150000</v>
      </c>
      <c r="AJ181" s="1002">
        <v>17000</v>
      </c>
      <c r="AK181" s="1459" t="s">
        <v>583</v>
      </c>
      <c r="AL181" s="1459" t="s">
        <v>583</v>
      </c>
      <c r="AM181" s="1459" t="s">
        <v>583</v>
      </c>
      <c r="AN181" s="1001" t="s">
        <v>583</v>
      </c>
      <c r="AO181" s="1459"/>
      <c r="AP181" s="1001"/>
      <c r="AQ181" s="1001" t="s">
        <v>0</v>
      </c>
      <c r="AR181" s="1001" t="s">
        <v>48</v>
      </c>
      <c r="AS181" s="1001" t="s">
        <v>49</v>
      </c>
      <c r="AT181" s="925"/>
      <c r="AU181" s="285" t="s">
        <v>1871</v>
      </c>
      <c r="AV181" s="1537" t="s">
        <v>1872</v>
      </c>
      <c r="AW181" s="1012" t="s">
        <v>1873</v>
      </c>
      <c r="AX181" s="1538" t="s">
        <v>1874</v>
      </c>
      <c r="AY181" s="1009"/>
      <c r="AZ181" s="1009"/>
      <c r="BA181" s="1009"/>
      <c r="BB181" s="127" t="s">
        <v>1875</v>
      </c>
      <c r="BC181" s="164"/>
      <c r="BD181" s="1402"/>
    </row>
    <row r="182" s="1022" customFormat="1" ht="14.1" customHeight="1" spans="2:56">
      <c r="B182" s="1540" t="s">
        <v>1876</v>
      </c>
      <c r="C182" s="168" t="s">
        <v>1877</v>
      </c>
      <c r="D182" s="168" t="s">
        <v>1878</v>
      </c>
      <c r="E182" s="979" t="s">
        <v>1879</v>
      </c>
      <c r="F182" s="922" t="s">
        <v>43</v>
      </c>
      <c r="G182" s="922" t="s">
        <v>44</v>
      </c>
      <c r="H182" s="927" t="s">
        <v>1852</v>
      </c>
      <c r="I182" s="927" t="s">
        <v>428</v>
      </c>
      <c r="J182" s="927" t="s">
        <v>185</v>
      </c>
      <c r="K182" s="1246">
        <v>43168</v>
      </c>
      <c r="L182" s="1246">
        <v>43281</v>
      </c>
      <c r="M182" s="1270"/>
      <c r="N182" s="934"/>
      <c r="O182" s="934"/>
      <c r="P182" s="934"/>
      <c r="Q182" s="934"/>
      <c r="R182" s="1246" t="s">
        <v>583</v>
      </c>
      <c r="S182" s="1246"/>
      <c r="T182" s="1246"/>
      <c r="U182" s="1246"/>
      <c r="V182" s="934"/>
      <c r="W182" s="934"/>
      <c r="X182" s="934"/>
      <c r="Y182" s="989"/>
      <c r="Z182" s="1246"/>
      <c r="AA182" s="1246"/>
      <c r="AB182" s="989"/>
      <c r="AC182" s="989"/>
      <c r="AD182" s="989"/>
      <c r="AE182" s="989"/>
      <c r="AF182" s="641">
        <f ca="1" t="shared" si="26"/>
        <v>8.61546296296001</v>
      </c>
      <c r="AG182" s="187" t="str">
        <f ca="1" t="shared" si="25"/>
        <v>WARNING</v>
      </c>
      <c r="AH182" s="1006">
        <v>2765000</v>
      </c>
      <c r="AI182" s="1006">
        <v>150000</v>
      </c>
      <c r="AJ182" s="1006">
        <v>17000</v>
      </c>
      <c r="AK182" s="1468" t="s">
        <v>583</v>
      </c>
      <c r="AL182" s="1468" t="s">
        <v>583</v>
      </c>
      <c r="AM182" s="1468" t="s">
        <v>583</v>
      </c>
      <c r="AN182" s="1321" t="s">
        <v>583</v>
      </c>
      <c r="AO182" s="1468"/>
      <c r="AP182" s="1321"/>
      <c r="AQ182" s="1321" t="s">
        <v>0</v>
      </c>
      <c r="AR182" s="1321" t="s">
        <v>48</v>
      </c>
      <c r="AS182" s="1321" t="s">
        <v>49</v>
      </c>
      <c r="AT182" s="927"/>
      <c r="AU182" s="290" t="s">
        <v>1880</v>
      </c>
      <c r="AV182" s="1541" t="s">
        <v>1881</v>
      </c>
      <c r="AW182" s="1014" t="s">
        <v>1882</v>
      </c>
      <c r="AX182" s="1542" t="s">
        <v>1883</v>
      </c>
      <c r="AY182" s="963"/>
      <c r="AZ182" s="963"/>
      <c r="BA182" s="963"/>
      <c r="BB182" s="229" t="s">
        <v>1884</v>
      </c>
      <c r="BC182" s="168" t="s">
        <v>1857</v>
      </c>
      <c r="BD182" s="1324"/>
    </row>
    <row r="183" s="873" customFormat="1" ht="14.1" customHeight="1" spans="2:56">
      <c r="B183" s="1532" t="s">
        <v>1885</v>
      </c>
      <c r="C183" s="164" t="s">
        <v>1886</v>
      </c>
      <c r="D183" s="164" t="s">
        <v>1887</v>
      </c>
      <c r="E183" s="975" t="s">
        <v>1888</v>
      </c>
      <c r="F183" s="978" t="s">
        <v>43</v>
      </c>
      <c r="G183" s="978" t="s">
        <v>44</v>
      </c>
      <c r="H183" s="925" t="s">
        <v>1852</v>
      </c>
      <c r="I183" s="925" t="s">
        <v>428</v>
      </c>
      <c r="J183" s="925" t="s">
        <v>185</v>
      </c>
      <c r="K183" s="1467">
        <v>43185</v>
      </c>
      <c r="L183" s="1467">
        <v>43281</v>
      </c>
      <c r="M183" s="1453"/>
      <c r="N183" s="981"/>
      <c r="O183" s="981"/>
      <c r="P183" s="981"/>
      <c r="Q183" s="981"/>
      <c r="R183" s="980" t="s">
        <v>583</v>
      </c>
      <c r="S183" s="980"/>
      <c r="T183" s="980"/>
      <c r="U183" s="980"/>
      <c r="V183" s="981"/>
      <c r="W183" s="981"/>
      <c r="X183" s="981"/>
      <c r="Y183" s="988"/>
      <c r="Z183" s="980"/>
      <c r="AA183" s="980"/>
      <c r="AB183" s="988"/>
      <c r="AC183" s="988"/>
      <c r="AD183" s="988"/>
      <c r="AE183" s="988"/>
      <c r="AF183" s="640">
        <f ca="1" t="shared" si="26"/>
        <v>8.61546296296001</v>
      </c>
      <c r="AG183" s="121" t="str">
        <f ca="1" t="shared" si="25"/>
        <v>WARNING</v>
      </c>
      <c r="AH183" s="1002">
        <v>2765000</v>
      </c>
      <c r="AI183" s="1002">
        <v>150000</v>
      </c>
      <c r="AJ183" s="1002">
        <v>17000</v>
      </c>
      <c r="AK183" s="1459" t="s">
        <v>583</v>
      </c>
      <c r="AL183" s="1459" t="s">
        <v>583</v>
      </c>
      <c r="AM183" s="1459" t="s">
        <v>583</v>
      </c>
      <c r="AN183" s="1001" t="s">
        <v>583</v>
      </c>
      <c r="AO183" s="1459"/>
      <c r="AP183" s="1001"/>
      <c r="AQ183" s="1001" t="s">
        <v>0</v>
      </c>
      <c r="AR183" s="1001" t="s">
        <v>48</v>
      </c>
      <c r="AS183" s="1001" t="s">
        <v>49</v>
      </c>
      <c r="AT183" s="925"/>
      <c r="AU183" s="285" t="s">
        <v>1889</v>
      </c>
      <c r="AV183" s="1537" t="s">
        <v>1890</v>
      </c>
      <c r="AW183" s="1539" t="s">
        <v>1891</v>
      </c>
      <c r="AX183" s="1538" t="s">
        <v>1892</v>
      </c>
      <c r="AY183" s="1009"/>
      <c r="AZ183" s="1538" t="s">
        <v>1893</v>
      </c>
      <c r="BA183" s="1009"/>
      <c r="BB183" s="127" t="s">
        <v>1894</v>
      </c>
      <c r="BC183" s="164"/>
      <c r="BD183" s="1402"/>
    </row>
    <row r="184" s="873" customFormat="1" ht="14.1" customHeight="1" spans="2:56">
      <c r="B184" s="1532" t="s">
        <v>1895</v>
      </c>
      <c r="C184" s="164" t="s">
        <v>1896</v>
      </c>
      <c r="D184" s="164" t="s">
        <v>1897</v>
      </c>
      <c r="E184" s="975" t="s">
        <v>1898</v>
      </c>
      <c r="F184" s="978" t="s">
        <v>43</v>
      </c>
      <c r="G184" s="978" t="s">
        <v>44</v>
      </c>
      <c r="H184" s="925" t="s">
        <v>1852</v>
      </c>
      <c r="I184" s="925" t="s">
        <v>428</v>
      </c>
      <c r="J184" s="925" t="s">
        <v>185</v>
      </c>
      <c r="K184" s="1467">
        <v>43185</v>
      </c>
      <c r="L184" s="1467">
        <v>43281</v>
      </c>
      <c r="M184" s="1453"/>
      <c r="N184" s="981"/>
      <c r="O184" s="981"/>
      <c r="P184" s="981"/>
      <c r="Q184" s="981"/>
      <c r="R184" s="980" t="s">
        <v>583</v>
      </c>
      <c r="S184" s="980"/>
      <c r="T184" s="980"/>
      <c r="U184" s="980"/>
      <c r="V184" s="981"/>
      <c r="W184" s="981"/>
      <c r="X184" s="981"/>
      <c r="Y184" s="988"/>
      <c r="Z184" s="980"/>
      <c r="AA184" s="980"/>
      <c r="AB184" s="988"/>
      <c r="AC184" s="988"/>
      <c r="AD184" s="988"/>
      <c r="AE184" s="988"/>
      <c r="AF184" s="640">
        <f ca="1" t="shared" si="26"/>
        <v>8.61546296296001</v>
      </c>
      <c r="AG184" s="121" t="str">
        <f ca="1" t="shared" si="25"/>
        <v>WARNING</v>
      </c>
      <c r="AH184" s="1002">
        <v>2765000</v>
      </c>
      <c r="AI184" s="1002">
        <v>150000</v>
      </c>
      <c r="AJ184" s="1002">
        <v>17000</v>
      </c>
      <c r="AK184" s="1459" t="s">
        <v>583</v>
      </c>
      <c r="AL184" s="1459" t="s">
        <v>583</v>
      </c>
      <c r="AM184" s="1459" t="s">
        <v>583</v>
      </c>
      <c r="AN184" s="1001" t="s">
        <v>583</v>
      </c>
      <c r="AO184" s="1459"/>
      <c r="AP184" s="1001"/>
      <c r="AQ184" s="1001" t="s">
        <v>0</v>
      </c>
      <c r="AR184" s="1001" t="s">
        <v>48</v>
      </c>
      <c r="AS184" s="1001" t="s">
        <v>49</v>
      </c>
      <c r="AT184" s="925"/>
      <c r="AU184" s="285" t="s">
        <v>1862</v>
      </c>
      <c r="AV184" s="961"/>
      <c r="AW184" s="1012" t="s">
        <v>1899</v>
      </c>
      <c r="AX184" s="1538" t="s">
        <v>1900</v>
      </c>
      <c r="AY184" s="1009"/>
      <c r="AZ184" s="1538" t="s">
        <v>1901</v>
      </c>
      <c r="BA184" s="1009"/>
      <c r="BB184" s="127"/>
      <c r="BC184" s="164"/>
      <c r="BD184" s="1402"/>
    </row>
    <row r="185" s="873" customFormat="1" ht="14.1" customHeight="1" spans="2:56">
      <c r="B185" s="1532" t="s">
        <v>1902</v>
      </c>
      <c r="C185" s="164" t="s">
        <v>1903</v>
      </c>
      <c r="D185" s="164" t="s">
        <v>1904</v>
      </c>
      <c r="E185" s="975" t="s">
        <v>1905</v>
      </c>
      <c r="F185" s="978" t="s">
        <v>43</v>
      </c>
      <c r="G185" s="978" t="s">
        <v>404</v>
      </c>
      <c r="H185" s="925" t="s">
        <v>1068</v>
      </c>
      <c r="I185" s="925" t="s">
        <v>428</v>
      </c>
      <c r="J185" s="925" t="s">
        <v>185</v>
      </c>
      <c r="K185" s="980">
        <v>43179</v>
      </c>
      <c r="L185" s="980">
        <v>43373</v>
      </c>
      <c r="M185" s="1453"/>
      <c r="N185" s="981"/>
      <c r="O185" s="981"/>
      <c r="P185" s="981"/>
      <c r="Q185" s="981"/>
      <c r="R185" s="980" t="s">
        <v>583</v>
      </c>
      <c r="S185" s="980"/>
      <c r="T185" s="980"/>
      <c r="U185" s="980"/>
      <c r="V185" s="981"/>
      <c r="W185" s="981"/>
      <c r="X185" s="981"/>
      <c r="Y185" s="988"/>
      <c r="Z185" s="980"/>
      <c r="AA185" s="980"/>
      <c r="AB185" s="988"/>
      <c r="AC185" s="988"/>
      <c r="AD185" s="988"/>
      <c r="AE185" s="988"/>
      <c r="AF185" s="640">
        <f ca="1" t="shared" si="26"/>
        <v>100.61546296296</v>
      </c>
      <c r="AG185" s="121" t="str">
        <f ca="1" t="shared" si="25"/>
        <v>ACTIVE</v>
      </c>
      <c r="AH185" s="1002">
        <v>2500000</v>
      </c>
      <c r="AI185" s="1002">
        <v>250000</v>
      </c>
      <c r="AJ185" s="1002" t="s">
        <v>583</v>
      </c>
      <c r="AK185" s="1459" t="s">
        <v>583</v>
      </c>
      <c r="AL185" s="1459" t="s">
        <v>583</v>
      </c>
      <c r="AM185" s="1459" t="s">
        <v>583</v>
      </c>
      <c r="AN185" s="1001"/>
      <c r="AO185" s="1001">
        <v>715000</v>
      </c>
      <c r="AP185" s="1001"/>
      <c r="AQ185" s="1001" t="s">
        <v>0</v>
      </c>
      <c r="AR185" s="1001" t="s">
        <v>48</v>
      </c>
      <c r="AS185" s="1001" t="s">
        <v>49</v>
      </c>
      <c r="AT185" s="925"/>
      <c r="AU185" s="285" t="s">
        <v>1906</v>
      </c>
      <c r="AV185" s="1537" t="s">
        <v>1907</v>
      </c>
      <c r="AW185" s="1012" t="s">
        <v>1908</v>
      </c>
      <c r="AX185" s="1538" t="s">
        <v>1909</v>
      </c>
      <c r="AY185" s="1009"/>
      <c r="AZ185" s="1009"/>
      <c r="BA185" s="1009"/>
      <c r="BB185" s="127"/>
      <c r="BC185" s="164"/>
      <c r="BD185" s="1402"/>
    </row>
    <row r="186" s="873" customFormat="1" ht="13.5" customHeight="1" spans="2:56">
      <c r="B186" s="1532" t="s">
        <v>1910</v>
      </c>
      <c r="C186" s="164" t="s">
        <v>1911</v>
      </c>
      <c r="D186" s="164" t="s">
        <v>1912</v>
      </c>
      <c r="E186" s="975" t="s">
        <v>1913</v>
      </c>
      <c r="F186" s="978" t="s">
        <v>125</v>
      </c>
      <c r="G186" s="978" t="s">
        <v>1110</v>
      </c>
      <c r="H186" s="925" t="s">
        <v>1269</v>
      </c>
      <c r="I186" s="925" t="s">
        <v>428</v>
      </c>
      <c r="J186" s="925" t="s">
        <v>1503</v>
      </c>
      <c r="K186" s="980">
        <v>43153</v>
      </c>
      <c r="L186" s="980">
        <v>43241</v>
      </c>
      <c r="M186" s="1455">
        <v>43425</v>
      </c>
      <c r="N186" s="981"/>
      <c r="O186" s="981"/>
      <c r="P186" s="981"/>
      <c r="Q186" s="981"/>
      <c r="R186" s="980"/>
      <c r="S186" s="980"/>
      <c r="T186" s="980"/>
      <c r="U186" s="980"/>
      <c r="V186" s="981"/>
      <c r="W186" s="981"/>
      <c r="X186" s="981"/>
      <c r="Y186" s="988"/>
      <c r="Z186" s="980"/>
      <c r="AA186" s="980"/>
      <c r="AB186" s="988"/>
      <c r="AC186" s="988"/>
      <c r="AD186" s="988"/>
      <c r="AE186" s="988"/>
      <c r="AF186" s="640">
        <f ca="1">SUM(M186-NOW())</f>
        <v>152.61546296296</v>
      </c>
      <c r="AG186" s="121" t="str">
        <f ca="1" t="shared" si="25"/>
        <v>ACTIVE</v>
      </c>
      <c r="AH186" s="1002">
        <v>3100000</v>
      </c>
      <c r="AI186" s="1002">
        <v>100000</v>
      </c>
      <c r="AJ186" s="1002">
        <v>17000</v>
      </c>
      <c r="AK186" s="1459"/>
      <c r="AL186" s="1459">
        <v>400000</v>
      </c>
      <c r="AM186" s="1459">
        <v>500000</v>
      </c>
      <c r="AN186" s="1001"/>
      <c r="AO186" s="1459" t="s">
        <v>583</v>
      </c>
      <c r="AP186" s="1001"/>
      <c r="AQ186" s="1001" t="s">
        <v>0</v>
      </c>
      <c r="AR186" s="1001" t="s">
        <v>48</v>
      </c>
      <c r="AS186" s="1001" t="s">
        <v>49</v>
      </c>
      <c r="AT186" s="925"/>
      <c r="AU186" s="285" t="s">
        <v>1914</v>
      </c>
      <c r="AV186" s="1537" t="s">
        <v>1915</v>
      </c>
      <c r="AW186" s="1012" t="s">
        <v>1916</v>
      </c>
      <c r="AX186" s="1538" t="s">
        <v>1917</v>
      </c>
      <c r="AY186" s="1538" t="s">
        <v>1918</v>
      </c>
      <c r="AZ186" s="1538" t="s">
        <v>1919</v>
      </c>
      <c r="BA186" s="1538" t="s">
        <v>1920</v>
      </c>
      <c r="BB186" s="127" t="s">
        <v>1921</v>
      </c>
      <c r="BC186" s="164"/>
      <c r="BD186" s="1402"/>
    </row>
    <row r="187" s="873" customFormat="1" ht="14.1" customHeight="1" spans="2:56">
      <c r="B187" s="1532" t="s">
        <v>1922</v>
      </c>
      <c r="C187" s="164" t="s">
        <v>1923</v>
      </c>
      <c r="D187" s="164" t="s">
        <v>1924</v>
      </c>
      <c r="E187" s="975" t="s">
        <v>1925</v>
      </c>
      <c r="F187" s="978" t="s">
        <v>43</v>
      </c>
      <c r="G187" s="978" t="s">
        <v>254</v>
      </c>
      <c r="H187" s="925" t="s">
        <v>1068</v>
      </c>
      <c r="I187" s="925" t="s">
        <v>428</v>
      </c>
      <c r="J187" s="925" t="s">
        <v>185</v>
      </c>
      <c r="K187" s="980">
        <v>43172</v>
      </c>
      <c r="L187" s="980">
        <v>43373</v>
      </c>
      <c r="M187" s="1453"/>
      <c r="N187" s="981"/>
      <c r="O187" s="981"/>
      <c r="P187" s="981"/>
      <c r="Q187" s="981"/>
      <c r="R187" s="980"/>
      <c r="S187" s="980"/>
      <c r="T187" s="980"/>
      <c r="U187" s="980"/>
      <c r="V187" s="981"/>
      <c r="W187" s="981"/>
      <c r="X187" s="981"/>
      <c r="Y187" s="988"/>
      <c r="Z187" s="980"/>
      <c r="AA187" s="980"/>
      <c r="AB187" s="988"/>
      <c r="AC187" s="988"/>
      <c r="AD187" s="988"/>
      <c r="AE187" s="988"/>
      <c r="AF187" s="640">
        <f ca="1" t="shared" si="26"/>
        <v>100.61546296296</v>
      </c>
      <c r="AG187" s="121" t="str">
        <f ca="1" t="shared" si="25"/>
        <v>ACTIVE</v>
      </c>
      <c r="AH187" s="1002">
        <v>2500000</v>
      </c>
      <c r="AI187" s="1002">
        <v>250000</v>
      </c>
      <c r="AJ187" s="1002" t="s">
        <v>583</v>
      </c>
      <c r="AK187" s="1459"/>
      <c r="AL187" s="1459" t="s">
        <v>583</v>
      </c>
      <c r="AM187" s="1459" t="s">
        <v>583</v>
      </c>
      <c r="AN187" s="1001"/>
      <c r="AO187" s="1459">
        <v>715000</v>
      </c>
      <c r="AP187" s="1001"/>
      <c r="AQ187" s="1001" t="s">
        <v>0</v>
      </c>
      <c r="AR187" s="1001" t="s">
        <v>48</v>
      </c>
      <c r="AS187" s="1001" t="s">
        <v>49</v>
      </c>
      <c r="AT187" s="925"/>
      <c r="AU187" s="285" t="s">
        <v>1926</v>
      </c>
      <c r="AV187" s="1537" t="s">
        <v>1927</v>
      </c>
      <c r="AW187" s="1012" t="s">
        <v>1928</v>
      </c>
      <c r="AX187" s="1537" t="s">
        <v>1929</v>
      </c>
      <c r="AY187" s="1009"/>
      <c r="AZ187" s="1009"/>
      <c r="BA187" s="1009"/>
      <c r="BB187" s="127" t="s">
        <v>1930</v>
      </c>
      <c r="BC187" s="164"/>
      <c r="BD187" s="1402"/>
    </row>
    <row r="188" s="873" customFormat="1" ht="14.1" customHeight="1" spans="2:56">
      <c r="B188" s="1532" t="s">
        <v>1931</v>
      </c>
      <c r="C188" s="164" t="s">
        <v>1932</v>
      </c>
      <c r="D188" s="164" t="s">
        <v>1933</v>
      </c>
      <c r="E188" s="975" t="s">
        <v>1934</v>
      </c>
      <c r="F188" s="978" t="s">
        <v>43</v>
      </c>
      <c r="G188" s="978" t="s">
        <v>44</v>
      </c>
      <c r="H188" s="925" t="s">
        <v>1068</v>
      </c>
      <c r="I188" s="925" t="s">
        <v>428</v>
      </c>
      <c r="J188" s="925" t="s">
        <v>208</v>
      </c>
      <c r="K188" s="980">
        <v>43180</v>
      </c>
      <c r="L188" s="980">
        <v>43373</v>
      </c>
      <c r="M188" s="1453"/>
      <c r="N188" s="981"/>
      <c r="O188" s="981"/>
      <c r="P188" s="981"/>
      <c r="Q188" s="981"/>
      <c r="R188" s="980"/>
      <c r="S188" s="980"/>
      <c r="T188" s="980"/>
      <c r="U188" s="980"/>
      <c r="V188" s="981"/>
      <c r="W188" s="981"/>
      <c r="X188" s="981"/>
      <c r="Y188" s="988"/>
      <c r="Z188" s="980"/>
      <c r="AA188" s="980"/>
      <c r="AB188" s="988"/>
      <c r="AC188" s="988"/>
      <c r="AD188" s="988"/>
      <c r="AE188" s="988"/>
      <c r="AF188" s="640">
        <f ca="1" t="shared" si="26"/>
        <v>100.61546296296</v>
      </c>
      <c r="AG188" s="121" t="str">
        <f ca="1" t="shared" si="25"/>
        <v>ACTIVE</v>
      </c>
      <c r="AH188" s="1002">
        <v>4100000</v>
      </c>
      <c r="AI188" s="1002">
        <v>400000</v>
      </c>
      <c r="AJ188" s="1002" t="s">
        <v>583</v>
      </c>
      <c r="AK188" s="1459"/>
      <c r="AL188" s="1459" t="s">
        <v>583</v>
      </c>
      <c r="AM188" s="1459">
        <v>500000</v>
      </c>
      <c r="AN188" s="1001"/>
      <c r="AO188" s="1459">
        <v>1560000</v>
      </c>
      <c r="AP188" s="1001"/>
      <c r="AQ188" s="1001" t="s">
        <v>0</v>
      </c>
      <c r="AR188" s="1001" t="s">
        <v>48</v>
      </c>
      <c r="AS188" s="1001" t="s">
        <v>49</v>
      </c>
      <c r="AT188" s="925"/>
      <c r="AU188" s="285" t="s">
        <v>1935</v>
      </c>
      <c r="AV188" s="1537" t="s">
        <v>1936</v>
      </c>
      <c r="AW188" s="1012" t="s">
        <v>1937</v>
      </c>
      <c r="AX188" s="1538" t="s">
        <v>1938</v>
      </c>
      <c r="AY188" s="1538" t="s">
        <v>1939</v>
      </c>
      <c r="AZ188" s="1009"/>
      <c r="BA188" s="1009"/>
      <c r="BB188" s="127" t="s">
        <v>1940</v>
      </c>
      <c r="BC188" s="164"/>
      <c r="BD188" s="1402"/>
    </row>
    <row r="189" s="873" customFormat="1" ht="14.1" customHeight="1" spans="2:56">
      <c r="B189" s="1532" t="s">
        <v>1941</v>
      </c>
      <c r="C189" s="164" t="s">
        <v>1942</v>
      </c>
      <c r="D189" s="164" t="s">
        <v>1943</v>
      </c>
      <c r="E189" s="975" t="s">
        <v>1944</v>
      </c>
      <c r="F189" s="978" t="s">
        <v>43</v>
      </c>
      <c r="G189" s="978" t="s">
        <v>44</v>
      </c>
      <c r="H189" s="925" t="s">
        <v>1068</v>
      </c>
      <c r="I189" s="925" t="s">
        <v>428</v>
      </c>
      <c r="J189" s="925" t="s">
        <v>1533</v>
      </c>
      <c r="K189" s="980">
        <v>43182</v>
      </c>
      <c r="L189" s="980">
        <v>43373</v>
      </c>
      <c r="M189" s="1453"/>
      <c r="N189" s="981"/>
      <c r="O189" s="981"/>
      <c r="P189" s="981"/>
      <c r="Q189" s="981"/>
      <c r="R189" s="980"/>
      <c r="S189" s="980"/>
      <c r="T189" s="980"/>
      <c r="U189" s="980"/>
      <c r="V189" s="981"/>
      <c r="W189" s="981"/>
      <c r="X189" s="981"/>
      <c r="Y189" s="988"/>
      <c r="Z189" s="980"/>
      <c r="AA189" s="980"/>
      <c r="AB189" s="988"/>
      <c r="AC189" s="988"/>
      <c r="AD189" s="988"/>
      <c r="AE189" s="988"/>
      <c r="AF189" s="640">
        <f ca="1" t="shared" si="26"/>
        <v>100.61546296296</v>
      </c>
      <c r="AG189" s="121" t="str">
        <f ca="1" t="shared" si="25"/>
        <v>ACTIVE</v>
      </c>
      <c r="AH189" s="1002">
        <v>2800000</v>
      </c>
      <c r="AI189" s="1002">
        <v>200000</v>
      </c>
      <c r="AJ189" s="1002" t="s">
        <v>583</v>
      </c>
      <c r="AK189" s="1459"/>
      <c r="AL189" s="1459" t="s">
        <v>583</v>
      </c>
      <c r="AM189" s="1459" t="s">
        <v>583</v>
      </c>
      <c r="AN189" s="1001"/>
      <c r="AO189" s="1459" t="s">
        <v>583</v>
      </c>
      <c r="AP189" s="1001"/>
      <c r="AQ189" s="1001" t="s">
        <v>0</v>
      </c>
      <c r="AR189" s="1001" t="s">
        <v>48</v>
      </c>
      <c r="AS189" s="1001" t="s">
        <v>49</v>
      </c>
      <c r="AT189" s="925"/>
      <c r="AU189" s="285" t="s">
        <v>1945</v>
      </c>
      <c r="AV189" s="961"/>
      <c r="AW189" s="1012" t="s">
        <v>1946</v>
      </c>
      <c r="AX189" s="1538" t="s">
        <v>1947</v>
      </c>
      <c r="AY189" s="1009"/>
      <c r="AZ189" s="1009"/>
      <c r="BA189" s="1009"/>
      <c r="BB189" s="127"/>
      <c r="BC189" s="164"/>
      <c r="BD189" s="1402"/>
    </row>
    <row r="190" s="873" customFormat="1" ht="14.1" customHeight="1" spans="2:56">
      <c r="B190" s="1532" t="s">
        <v>1948</v>
      </c>
      <c r="C190" s="164" t="s">
        <v>1949</v>
      </c>
      <c r="D190" s="164" t="s">
        <v>1950</v>
      </c>
      <c r="E190" s="975" t="s">
        <v>1951</v>
      </c>
      <c r="F190" s="978" t="s">
        <v>43</v>
      </c>
      <c r="G190" s="978" t="s">
        <v>44</v>
      </c>
      <c r="H190" s="925" t="s">
        <v>1549</v>
      </c>
      <c r="I190" s="925" t="s">
        <v>428</v>
      </c>
      <c r="J190" s="925" t="s">
        <v>1746</v>
      </c>
      <c r="K190" s="980">
        <v>43186</v>
      </c>
      <c r="L190" s="980">
        <v>43281</v>
      </c>
      <c r="M190" s="1453"/>
      <c r="N190" s="981"/>
      <c r="O190" s="981"/>
      <c r="P190" s="981"/>
      <c r="Q190" s="981"/>
      <c r="R190" s="980"/>
      <c r="S190" s="980"/>
      <c r="T190" s="980"/>
      <c r="U190" s="980"/>
      <c r="V190" s="981"/>
      <c r="W190" s="981"/>
      <c r="X190" s="981"/>
      <c r="Y190" s="988"/>
      <c r="Z190" s="980"/>
      <c r="AA190" s="980"/>
      <c r="AB190" s="988"/>
      <c r="AC190" s="988"/>
      <c r="AD190" s="988"/>
      <c r="AE190" s="988"/>
      <c r="AF190" s="640">
        <f ca="1" t="shared" si="26"/>
        <v>8.61546296296001</v>
      </c>
      <c r="AG190" s="121" t="str">
        <f ca="1" t="shared" si="25"/>
        <v>WARNING</v>
      </c>
      <c r="AH190" s="1002">
        <v>3100000</v>
      </c>
      <c r="AI190" s="1002">
        <v>100000</v>
      </c>
      <c r="AJ190" s="1002">
        <v>17000</v>
      </c>
      <c r="AK190" s="1459"/>
      <c r="AL190" s="1459"/>
      <c r="AM190" s="1459">
        <v>500000</v>
      </c>
      <c r="AN190" s="1001"/>
      <c r="AO190" s="1459"/>
      <c r="AP190" s="1001"/>
      <c r="AQ190" s="1001" t="s">
        <v>0</v>
      </c>
      <c r="AR190" s="1001" t="s">
        <v>48</v>
      </c>
      <c r="AS190" s="1001" t="s">
        <v>49</v>
      </c>
      <c r="AT190" s="925"/>
      <c r="AU190" s="285" t="s">
        <v>1952</v>
      </c>
      <c r="AV190" s="1537" t="s">
        <v>1953</v>
      </c>
      <c r="AW190" s="1012" t="s">
        <v>1954</v>
      </c>
      <c r="AX190" s="1538" t="s">
        <v>1955</v>
      </c>
      <c r="AY190" s="1538" t="s">
        <v>1956</v>
      </c>
      <c r="AZ190" s="1009"/>
      <c r="BA190" s="1009"/>
      <c r="BB190" s="127" t="s">
        <v>1957</v>
      </c>
      <c r="BC190" s="164"/>
      <c r="BD190" s="1402"/>
    </row>
    <row r="191" s="873" customFormat="1" ht="14.1" customHeight="1" spans="2:56">
      <c r="B191" s="1532" t="s">
        <v>1958</v>
      </c>
      <c r="C191" s="164" t="s">
        <v>1959</v>
      </c>
      <c r="D191" s="164" t="s">
        <v>1960</v>
      </c>
      <c r="E191" s="975" t="s">
        <v>1961</v>
      </c>
      <c r="F191" s="978" t="s">
        <v>43</v>
      </c>
      <c r="G191" s="978" t="s">
        <v>880</v>
      </c>
      <c r="H191" s="925" t="s">
        <v>757</v>
      </c>
      <c r="I191" s="925" t="s">
        <v>428</v>
      </c>
      <c r="J191" s="925" t="s">
        <v>1020</v>
      </c>
      <c r="K191" s="980">
        <v>43164</v>
      </c>
      <c r="L191" s="980">
        <v>43281</v>
      </c>
      <c r="M191" s="1453"/>
      <c r="N191" s="981"/>
      <c r="O191" s="981"/>
      <c r="P191" s="981"/>
      <c r="Q191" s="981"/>
      <c r="R191" s="980"/>
      <c r="S191" s="980"/>
      <c r="T191" s="980"/>
      <c r="U191" s="980"/>
      <c r="V191" s="981"/>
      <c r="W191" s="981"/>
      <c r="X191" s="981"/>
      <c r="Y191" s="988"/>
      <c r="Z191" s="980"/>
      <c r="AA191" s="980"/>
      <c r="AB191" s="988"/>
      <c r="AC191" s="988"/>
      <c r="AD191" s="988"/>
      <c r="AE191" s="988"/>
      <c r="AF191" s="640">
        <f ca="1" t="shared" si="26"/>
        <v>8.61546296296001</v>
      </c>
      <c r="AG191" s="121" t="str">
        <f ca="1" t="shared" si="25"/>
        <v>WARNING</v>
      </c>
      <c r="AH191" s="1002">
        <v>3000000</v>
      </c>
      <c r="AI191" s="1002">
        <v>200000</v>
      </c>
      <c r="AJ191" s="1002">
        <v>17000</v>
      </c>
      <c r="AK191" s="1459">
        <v>30000</v>
      </c>
      <c r="AL191" s="1459"/>
      <c r="AM191" s="1459"/>
      <c r="AN191" s="1001"/>
      <c r="AO191" s="1459"/>
      <c r="AP191" s="1001"/>
      <c r="AQ191" s="1001" t="s">
        <v>0</v>
      </c>
      <c r="AR191" s="1001" t="s">
        <v>48</v>
      </c>
      <c r="AS191" s="1001" t="s">
        <v>49</v>
      </c>
      <c r="AT191" s="925"/>
      <c r="AU191" s="285" t="s">
        <v>1962</v>
      </c>
      <c r="AV191" s="1537" t="s">
        <v>1963</v>
      </c>
      <c r="AW191" s="1012" t="s">
        <v>1964</v>
      </c>
      <c r="AX191" s="1538" t="s">
        <v>1965</v>
      </c>
      <c r="AY191" s="1538" t="s">
        <v>1966</v>
      </c>
      <c r="AZ191" s="1538" t="s">
        <v>1967</v>
      </c>
      <c r="BA191" s="1538" t="s">
        <v>1968</v>
      </c>
      <c r="BB191" s="127" t="s">
        <v>1969</v>
      </c>
      <c r="BC191" s="164"/>
      <c r="BD191" s="1402"/>
    </row>
    <row r="192" s="873" customFormat="1" ht="14.1" customHeight="1" spans="2:56">
      <c r="B192" s="1532" t="s">
        <v>1970</v>
      </c>
      <c r="C192" s="164" t="s">
        <v>1971</v>
      </c>
      <c r="D192" s="164" t="s">
        <v>1972</v>
      </c>
      <c r="E192" s="975" t="s">
        <v>1973</v>
      </c>
      <c r="F192" s="978" t="s">
        <v>43</v>
      </c>
      <c r="G192" s="978" t="s">
        <v>254</v>
      </c>
      <c r="H192" s="925" t="s">
        <v>1068</v>
      </c>
      <c r="I192" s="925" t="s">
        <v>428</v>
      </c>
      <c r="J192" s="925" t="s">
        <v>185</v>
      </c>
      <c r="K192" s="980">
        <v>43179</v>
      </c>
      <c r="L192" s="980">
        <v>43373</v>
      </c>
      <c r="M192" s="1453"/>
      <c r="N192" s="981"/>
      <c r="O192" s="981"/>
      <c r="P192" s="981"/>
      <c r="Q192" s="981"/>
      <c r="R192" s="980"/>
      <c r="S192" s="980"/>
      <c r="T192" s="980"/>
      <c r="U192" s="980"/>
      <c r="V192" s="981"/>
      <c r="W192" s="981"/>
      <c r="X192" s="981"/>
      <c r="Y192" s="988"/>
      <c r="Z192" s="980"/>
      <c r="AA192" s="980"/>
      <c r="AB192" s="988"/>
      <c r="AC192" s="988"/>
      <c r="AD192" s="988"/>
      <c r="AE192" s="988"/>
      <c r="AF192" s="640">
        <f ca="1" t="shared" si="26"/>
        <v>100.61546296296</v>
      </c>
      <c r="AG192" s="121" t="str">
        <f ca="1" t="shared" si="25"/>
        <v>ACTIVE</v>
      </c>
      <c r="AH192" s="1002">
        <v>2500000</v>
      </c>
      <c r="AI192" s="1002">
        <v>250000</v>
      </c>
      <c r="AJ192" s="1002" t="s">
        <v>583</v>
      </c>
      <c r="AK192" s="1459"/>
      <c r="AL192" s="1459" t="s">
        <v>583</v>
      </c>
      <c r="AM192" s="1459" t="s">
        <v>583</v>
      </c>
      <c r="AN192" s="1001" t="s">
        <v>583</v>
      </c>
      <c r="AO192" s="1459">
        <v>715000</v>
      </c>
      <c r="AP192" s="1001" t="s">
        <v>583</v>
      </c>
      <c r="AQ192" s="1001" t="s">
        <v>0</v>
      </c>
      <c r="AR192" s="1001" t="s">
        <v>48</v>
      </c>
      <c r="AS192" s="1001" t="s">
        <v>49</v>
      </c>
      <c r="AT192" s="925"/>
      <c r="AU192" s="285" t="s">
        <v>1974</v>
      </c>
      <c r="AV192" s="1537" t="s">
        <v>1975</v>
      </c>
      <c r="AW192" s="1012" t="s">
        <v>1976</v>
      </c>
      <c r="AX192" s="1538" t="s">
        <v>1977</v>
      </c>
      <c r="AY192" s="1009"/>
      <c r="AZ192" s="1009"/>
      <c r="BA192" s="1009"/>
      <c r="BB192" s="127"/>
      <c r="BC192" s="164"/>
      <c r="BD192" s="1402"/>
    </row>
    <row r="193" s="873" customFormat="1" ht="14.1" customHeight="1" spans="2:56">
      <c r="B193" s="1532" t="s">
        <v>1978</v>
      </c>
      <c r="C193" s="164" t="s">
        <v>1979</v>
      </c>
      <c r="D193" s="164" t="s">
        <v>1980</v>
      </c>
      <c r="E193" s="975" t="s">
        <v>1981</v>
      </c>
      <c r="F193" s="978" t="s">
        <v>43</v>
      </c>
      <c r="G193" s="978" t="s">
        <v>44</v>
      </c>
      <c r="H193" s="925" t="s">
        <v>1343</v>
      </c>
      <c r="I193" s="925" t="s">
        <v>428</v>
      </c>
      <c r="J193" s="925" t="s">
        <v>185</v>
      </c>
      <c r="K193" s="980">
        <v>43190</v>
      </c>
      <c r="L193" s="980">
        <v>43281</v>
      </c>
      <c r="M193" s="1453"/>
      <c r="N193" s="981"/>
      <c r="O193" s="981"/>
      <c r="P193" s="981"/>
      <c r="Q193" s="981"/>
      <c r="R193" s="980"/>
      <c r="S193" s="980"/>
      <c r="T193" s="980"/>
      <c r="U193" s="980"/>
      <c r="V193" s="981"/>
      <c r="W193" s="981"/>
      <c r="X193" s="981"/>
      <c r="Y193" s="988"/>
      <c r="Z193" s="980"/>
      <c r="AA193" s="980"/>
      <c r="AB193" s="988"/>
      <c r="AC193" s="988"/>
      <c r="AD193" s="988"/>
      <c r="AE193" s="988"/>
      <c r="AF193" s="640">
        <f ca="1" t="shared" si="26"/>
        <v>8.61546296296001</v>
      </c>
      <c r="AG193" s="121" t="str">
        <f ca="1" t="shared" si="25"/>
        <v>WARNING</v>
      </c>
      <c r="AH193" s="1002">
        <v>2800000</v>
      </c>
      <c r="AI193" s="1002">
        <v>250000</v>
      </c>
      <c r="AJ193" s="1002" t="s">
        <v>583</v>
      </c>
      <c r="AK193" s="1459"/>
      <c r="AL193" s="1459" t="s">
        <v>583</v>
      </c>
      <c r="AM193" s="1459" t="s">
        <v>583</v>
      </c>
      <c r="AN193" s="1001" t="s">
        <v>583</v>
      </c>
      <c r="AO193" s="1459">
        <v>520000</v>
      </c>
      <c r="AP193" s="1001" t="s">
        <v>583</v>
      </c>
      <c r="AQ193" s="1001" t="s">
        <v>0</v>
      </c>
      <c r="AR193" s="1001" t="s">
        <v>48</v>
      </c>
      <c r="AS193" s="1001" t="s">
        <v>49</v>
      </c>
      <c r="AT193" s="925"/>
      <c r="AU193" s="285" t="s">
        <v>1982</v>
      </c>
      <c r="AV193" s="1537" t="s">
        <v>1983</v>
      </c>
      <c r="AW193" s="1012" t="s">
        <v>1984</v>
      </c>
      <c r="AX193" s="1538" t="s">
        <v>1985</v>
      </c>
      <c r="AY193" s="1009"/>
      <c r="AZ193" s="1009"/>
      <c r="BA193" s="1009"/>
      <c r="BB193" s="127" t="s">
        <v>1986</v>
      </c>
      <c r="BC193" s="164"/>
      <c r="BD193" s="1402"/>
    </row>
    <row r="194" s="873" customFormat="1" ht="14.1" customHeight="1" spans="2:56">
      <c r="B194" s="1532" t="s">
        <v>1987</v>
      </c>
      <c r="C194" s="164" t="s">
        <v>1988</v>
      </c>
      <c r="D194" s="164" t="s">
        <v>1989</v>
      </c>
      <c r="E194" s="975" t="s">
        <v>1990</v>
      </c>
      <c r="F194" s="978" t="s">
        <v>43</v>
      </c>
      <c r="G194" s="978" t="s">
        <v>44</v>
      </c>
      <c r="H194" s="925" t="s">
        <v>1068</v>
      </c>
      <c r="I194" s="925" t="s">
        <v>428</v>
      </c>
      <c r="J194" s="925" t="s">
        <v>1533</v>
      </c>
      <c r="K194" s="980">
        <v>43192</v>
      </c>
      <c r="L194" s="980">
        <v>43373</v>
      </c>
      <c r="M194" s="1453"/>
      <c r="N194" s="981"/>
      <c r="O194" s="981"/>
      <c r="P194" s="981"/>
      <c r="Q194" s="981"/>
      <c r="R194" s="980"/>
      <c r="S194" s="980"/>
      <c r="T194" s="980"/>
      <c r="U194" s="980"/>
      <c r="V194" s="981"/>
      <c r="W194" s="981"/>
      <c r="X194" s="981"/>
      <c r="Y194" s="988"/>
      <c r="Z194" s="980"/>
      <c r="AA194" s="980"/>
      <c r="AB194" s="988"/>
      <c r="AC194" s="988"/>
      <c r="AD194" s="988"/>
      <c r="AE194" s="988"/>
      <c r="AF194" s="640">
        <f ca="1" t="shared" si="26"/>
        <v>100.61546296296</v>
      </c>
      <c r="AG194" s="121" t="str">
        <f ca="1" t="shared" si="25"/>
        <v>ACTIVE</v>
      </c>
      <c r="AH194" s="1002">
        <v>2800000</v>
      </c>
      <c r="AI194" s="1002">
        <v>200000</v>
      </c>
      <c r="AJ194" s="1002" t="s">
        <v>583</v>
      </c>
      <c r="AK194" s="1459"/>
      <c r="AL194" s="1459" t="s">
        <v>583</v>
      </c>
      <c r="AM194" s="1459" t="s">
        <v>583</v>
      </c>
      <c r="AN194" s="1001" t="s">
        <v>583</v>
      </c>
      <c r="AO194" s="1459" t="s">
        <v>583</v>
      </c>
      <c r="AP194" s="1001" t="s">
        <v>583</v>
      </c>
      <c r="AQ194" s="1001" t="s">
        <v>0</v>
      </c>
      <c r="AR194" s="1001" t="s">
        <v>48</v>
      </c>
      <c r="AS194" s="1001" t="s">
        <v>49</v>
      </c>
      <c r="AT194" s="925"/>
      <c r="AU194" s="285" t="s">
        <v>1991</v>
      </c>
      <c r="AV194" s="1537" t="s">
        <v>1992</v>
      </c>
      <c r="AW194" s="1012" t="s">
        <v>1993</v>
      </c>
      <c r="AX194" s="1538" t="s">
        <v>1994</v>
      </c>
      <c r="AY194" s="1009"/>
      <c r="AZ194" s="1009"/>
      <c r="BA194" s="1009"/>
      <c r="BB194" s="127" t="s">
        <v>1995</v>
      </c>
      <c r="BC194" s="164"/>
      <c r="BD194" s="1402"/>
    </row>
    <row r="195" s="873" customFormat="1" ht="14.1" customHeight="1" spans="2:56">
      <c r="B195" s="1532" t="s">
        <v>1996</v>
      </c>
      <c r="C195" s="164" t="s">
        <v>1997</v>
      </c>
      <c r="D195" s="164" t="s">
        <v>1998</v>
      </c>
      <c r="E195" s="975" t="s">
        <v>1999</v>
      </c>
      <c r="F195" s="978" t="s">
        <v>43</v>
      </c>
      <c r="G195" s="978" t="s">
        <v>44</v>
      </c>
      <c r="H195" s="925" t="s">
        <v>1300</v>
      </c>
      <c r="I195" s="925" t="s">
        <v>428</v>
      </c>
      <c r="J195" s="925" t="s">
        <v>208</v>
      </c>
      <c r="K195" s="980">
        <v>43185</v>
      </c>
      <c r="L195" s="980">
        <v>43281</v>
      </c>
      <c r="M195" s="1453"/>
      <c r="N195" s="981"/>
      <c r="O195" s="981"/>
      <c r="P195" s="981"/>
      <c r="Q195" s="981"/>
      <c r="R195" s="980"/>
      <c r="S195" s="980"/>
      <c r="T195" s="980"/>
      <c r="U195" s="980"/>
      <c r="V195" s="981"/>
      <c r="W195" s="981"/>
      <c r="X195" s="981"/>
      <c r="Y195" s="988"/>
      <c r="Z195" s="980"/>
      <c r="AA195" s="980"/>
      <c r="AB195" s="988"/>
      <c r="AC195" s="988"/>
      <c r="AD195" s="988"/>
      <c r="AE195" s="988"/>
      <c r="AF195" s="640">
        <f ca="1" t="shared" si="26"/>
        <v>8.61546296296001</v>
      </c>
      <c r="AG195" s="121" t="str">
        <f ca="1" t="shared" si="25"/>
        <v>WARNING</v>
      </c>
      <c r="AH195" s="1002">
        <v>4000000</v>
      </c>
      <c r="AI195" s="1002">
        <v>400000</v>
      </c>
      <c r="AJ195" s="1002" t="s">
        <v>583</v>
      </c>
      <c r="AK195" s="1459"/>
      <c r="AL195" s="1459"/>
      <c r="AM195" s="1459">
        <v>500000</v>
      </c>
      <c r="AN195" s="1001" t="s">
        <v>583</v>
      </c>
      <c r="AO195" s="1459" t="s">
        <v>583</v>
      </c>
      <c r="AP195" s="1001" t="s">
        <v>583</v>
      </c>
      <c r="AQ195" s="1001" t="s">
        <v>0</v>
      </c>
      <c r="AR195" s="1001" t="s">
        <v>48</v>
      </c>
      <c r="AS195" s="1001" t="s">
        <v>49</v>
      </c>
      <c r="AT195" s="925"/>
      <c r="AU195" s="285" t="s">
        <v>2000</v>
      </c>
      <c r="AV195" s="1537" t="s">
        <v>2001</v>
      </c>
      <c r="AW195" s="1012" t="s">
        <v>2002</v>
      </c>
      <c r="AX195" s="1538" t="s">
        <v>2003</v>
      </c>
      <c r="AY195" s="1538" t="s">
        <v>2004</v>
      </c>
      <c r="AZ195" s="1537" t="s">
        <v>2005</v>
      </c>
      <c r="BA195" s="1009"/>
      <c r="BB195" s="1543" t="s">
        <v>2006</v>
      </c>
      <c r="BC195" s="164"/>
      <c r="BD195" s="1402"/>
    </row>
    <row r="196" s="873" customFormat="1" ht="14.1" customHeight="1" spans="2:56">
      <c r="B196" s="1532" t="s">
        <v>2007</v>
      </c>
      <c r="C196" s="164" t="s">
        <v>2008</v>
      </c>
      <c r="D196" s="164" t="s">
        <v>2009</v>
      </c>
      <c r="E196" s="975" t="s">
        <v>2010</v>
      </c>
      <c r="F196" s="978" t="s">
        <v>43</v>
      </c>
      <c r="G196" s="978" t="s">
        <v>60</v>
      </c>
      <c r="H196" s="925" t="s">
        <v>1300</v>
      </c>
      <c r="I196" s="925" t="s">
        <v>428</v>
      </c>
      <c r="J196" s="925" t="s">
        <v>208</v>
      </c>
      <c r="K196" s="980">
        <v>43192</v>
      </c>
      <c r="L196" s="980">
        <v>43281</v>
      </c>
      <c r="M196" s="1453"/>
      <c r="N196" s="981"/>
      <c r="O196" s="981"/>
      <c r="P196" s="981"/>
      <c r="Q196" s="981"/>
      <c r="R196" s="980"/>
      <c r="S196" s="980"/>
      <c r="T196" s="980"/>
      <c r="U196" s="980"/>
      <c r="V196" s="981"/>
      <c r="W196" s="981"/>
      <c r="X196" s="981"/>
      <c r="Y196" s="988"/>
      <c r="Z196" s="980"/>
      <c r="AA196" s="980"/>
      <c r="AB196" s="988"/>
      <c r="AC196" s="988"/>
      <c r="AD196" s="988"/>
      <c r="AE196" s="988"/>
      <c r="AF196" s="640">
        <f ca="1" t="shared" si="26"/>
        <v>8.61546296296001</v>
      </c>
      <c r="AG196" s="121" t="str">
        <f ca="1" t="shared" si="25"/>
        <v>WARNING</v>
      </c>
      <c r="AH196" s="1002">
        <v>4000000</v>
      </c>
      <c r="AI196" s="1002">
        <v>400000</v>
      </c>
      <c r="AJ196" s="1002" t="s">
        <v>583</v>
      </c>
      <c r="AK196" s="1459"/>
      <c r="AL196" s="1459"/>
      <c r="AM196" s="1459">
        <v>500000</v>
      </c>
      <c r="AN196" s="1001" t="s">
        <v>583</v>
      </c>
      <c r="AO196" s="1459" t="s">
        <v>583</v>
      </c>
      <c r="AP196" s="1001" t="s">
        <v>583</v>
      </c>
      <c r="AQ196" s="1001" t="s">
        <v>0</v>
      </c>
      <c r="AR196" s="1001" t="s">
        <v>48</v>
      </c>
      <c r="AS196" s="1001" t="s">
        <v>49</v>
      </c>
      <c r="AT196" s="925"/>
      <c r="AU196" s="285" t="s">
        <v>2011</v>
      </c>
      <c r="AV196" s="1537" t="s">
        <v>2012</v>
      </c>
      <c r="AW196" s="1012" t="s">
        <v>2013</v>
      </c>
      <c r="AX196" s="1538" t="s">
        <v>2014</v>
      </c>
      <c r="AY196" s="1538" t="s">
        <v>2015</v>
      </c>
      <c r="AZ196" s="1009"/>
      <c r="BA196" s="1538" t="s">
        <v>2016</v>
      </c>
      <c r="BB196" s="127" t="s">
        <v>2017</v>
      </c>
      <c r="BC196" s="164"/>
      <c r="BD196" s="1402"/>
    </row>
    <row r="197" s="873" customFormat="1" ht="14.1" customHeight="1" spans="2:56">
      <c r="B197" s="1532" t="s">
        <v>2018</v>
      </c>
      <c r="C197" s="164" t="s">
        <v>2019</v>
      </c>
      <c r="D197" s="164" t="s">
        <v>2020</v>
      </c>
      <c r="E197" s="975" t="s">
        <v>2021</v>
      </c>
      <c r="F197" s="978" t="s">
        <v>43</v>
      </c>
      <c r="G197" s="978" t="s">
        <v>254</v>
      </c>
      <c r="H197" s="925" t="s">
        <v>1300</v>
      </c>
      <c r="I197" s="925" t="s">
        <v>428</v>
      </c>
      <c r="J197" s="925" t="s">
        <v>208</v>
      </c>
      <c r="K197" s="980">
        <v>43192</v>
      </c>
      <c r="L197" s="980">
        <v>43281</v>
      </c>
      <c r="M197" s="1453"/>
      <c r="N197" s="981"/>
      <c r="O197" s="981"/>
      <c r="P197" s="981"/>
      <c r="Q197" s="981"/>
      <c r="R197" s="980"/>
      <c r="S197" s="980"/>
      <c r="T197" s="980"/>
      <c r="U197" s="980"/>
      <c r="V197" s="981"/>
      <c r="W197" s="981"/>
      <c r="X197" s="981"/>
      <c r="Y197" s="988"/>
      <c r="Z197" s="980"/>
      <c r="AA197" s="980"/>
      <c r="AB197" s="988"/>
      <c r="AC197" s="988"/>
      <c r="AD197" s="988"/>
      <c r="AE197" s="988"/>
      <c r="AF197" s="640">
        <f ca="1" t="shared" si="26"/>
        <v>8.61546296296001</v>
      </c>
      <c r="AG197" s="121" t="str">
        <f ca="1" t="shared" si="25"/>
        <v>WARNING</v>
      </c>
      <c r="AH197" s="1002">
        <v>4000000</v>
      </c>
      <c r="AI197" s="1002">
        <v>400000</v>
      </c>
      <c r="AJ197" s="1002" t="s">
        <v>583</v>
      </c>
      <c r="AK197" s="1459"/>
      <c r="AL197" s="1459"/>
      <c r="AM197" s="1459">
        <v>500000</v>
      </c>
      <c r="AN197" s="1001" t="s">
        <v>583</v>
      </c>
      <c r="AO197" s="1459" t="s">
        <v>583</v>
      </c>
      <c r="AP197" s="1001" t="s">
        <v>583</v>
      </c>
      <c r="AQ197" s="1001" t="s">
        <v>0</v>
      </c>
      <c r="AR197" s="1001" t="s">
        <v>48</v>
      </c>
      <c r="AS197" s="1001" t="s">
        <v>49</v>
      </c>
      <c r="AT197" s="925"/>
      <c r="AU197" s="285" t="s">
        <v>2022</v>
      </c>
      <c r="AV197" s="1537" t="s">
        <v>2023</v>
      </c>
      <c r="AW197" s="1012" t="s">
        <v>2024</v>
      </c>
      <c r="AX197" s="1538" t="s">
        <v>2025</v>
      </c>
      <c r="AY197" s="1538" t="s">
        <v>2026</v>
      </c>
      <c r="AZ197" s="1009"/>
      <c r="BA197" s="1538" t="s">
        <v>2027</v>
      </c>
      <c r="BB197" s="127" t="s">
        <v>2028</v>
      </c>
      <c r="BC197" s="164"/>
      <c r="BD197" s="1402"/>
    </row>
    <row r="198" s="873" customFormat="1" ht="14.1" customHeight="1" spans="2:56">
      <c r="B198" s="1532" t="s">
        <v>2029</v>
      </c>
      <c r="C198" s="164" t="s">
        <v>2030</v>
      </c>
      <c r="D198" s="164" t="s">
        <v>2031</v>
      </c>
      <c r="E198" s="975" t="s">
        <v>2032</v>
      </c>
      <c r="F198" s="978" t="s">
        <v>43</v>
      </c>
      <c r="G198" s="978" t="s">
        <v>44</v>
      </c>
      <c r="H198" s="925" t="s">
        <v>2033</v>
      </c>
      <c r="I198" s="925" t="s">
        <v>428</v>
      </c>
      <c r="J198" s="925" t="s">
        <v>185</v>
      </c>
      <c r="K198" s="980">
        <v>43183</v>
      </c>
      <c r="L198" s="980">
        <v>43281</v>
      </c>
      <c r="M198" s="1453"/>
      <c r="N198" s="981"/>
      <c r="O198" s="981"/>
      <c r="P198" s="981"/>
      <c r="Q198" s="981"/>
      <c r="R198" s="980"/>
      <c r="S198" s="980"/>
      <c r="T198" s="980"/>
      <c r="U198" s="980"/>
      <c r="V198" s="981"/>
      <c r="W198" s="981"/>
      <c r="X198" s="981"/>
      <c r="Y198" s="988"/>
      <c r="Z198" s="980"/>
      <c r="AA198" s="980"/>
      <c r="AB198" s="988"/>
      <c r="AC198" s="988"/>
      <c r="AD198" s="988"/>
      <c r="AE198" s="988"/>
      <c r="AF198" s="640">
        <f ca="1" t="shared" si="26"/>
        <v>8.61546296296001</v>
      </c>
      <c r="AG198" s="121" t="str">
        <f ca="1" t="shared" si="25"/>
        <v>WARNING</v>
      </c>
      <c r="AH198" s="1002">
        <v>3000000</v>
      </c>
      <c r="AI198" s="1002">
        <v>250000</v>
      </c>
      <c r="AJ198" s="1002" t="s">
        <v>583</v>
      </c>
      <c r="AK198" s="1459"/>
      <c r="AL198" s="1459" t="s">
        <v>583</v>
      </c>
      <c r="AM198" s="1459" t="s">
        <v>583</v>
      </c>
      <c r="AN198" s="1001" t="s">
        <v>583</v>
      </c>
      <c r="AO198" s="1459" t="s">
        <v>583</v>
      </c>
      <c r="AP198" s="1001" t="s">
        <v>583</v>
      </c>
      <c r="AQ198" s="1001" t="s">
        <v>0</v>
      </c>
      <c r="AR198" s="1001" t="s">
        <v>48</v>
      </c>
      <c r="AS198" s="1001" t="s">
        <v>49</v>
      </c>
      <c r="AT198" s="925"/>
      <c r="AU198" s="285" t="s">
        <v>2034</v>
      </c>
      <c r="AV198" s="1537" t="s">
        <v>2035</v>
      </c>
      <c r="AW198" s="1012" t="s">
        <v>2036</v>
      </c>
      <c r="AX198" s="1538" t="s">
        <v>2037</v>
      </c>
      <c r="AY198" s="1538" t="s">
        <v>2038</v>
      </c>
      <c r="AZ198" s="1009"/>
      <c r="BA198" s="1009"/>
      <c r="BB198" s="127" t="s">
        <v>2039</v>
      </c>
      <c r="BC198" s="164"/>
      <c r="BD198" s="1402"/>
    </row>
    <row r="199" s="873" customFormat="1" ht="14.1" customHeight="1" spans="2:56">
      <c r="B199" s="1532" t="s">
        <v>2040</v>
      </c>
      <c r="C199" s="164" t="s">
        <v>2041</v>
      </c>
      <c r="D199" s="164" t="s">
        <v>2042</v>
      </c>
      <c r="E199" s="975" t="s">
        <v>2043</v>
      </c>
      <c r="F199" s="978" t="s">
        <v>43</v>
      </c>
      <c r="G199" s="978" t="s">
        <v>44</v>
      </c>
      <c r="H199" s="925" t="s">
        <v>2044</v>
      </c>
      <c r="I199" s="925" t="s">
        <v>428</v>
      </c>
      <c r="J199" s="925" t="s">
        <v>185</v>
      </c>
      <c r="K199" s="980">
        <v>43183</v>
      </c>
      <c r="L199" s="980">
        <v>43281</v>
      </c>
      <c r="M199" s="1453"/>
      <c r="N199" s="981"/>
      <c r="O199" s="981"/>
      <c r="P199" s="981"/>
      <c r="Q199" s="981"/>
      <c r="R199" s="980"/>
      <c r="S199" s="980"/>
      <c r="T199" s="980"/>
      <c r="U199" s="980"/>
      <c r="V199" s="981"/>
      <c r="W199" s="981"/>
      <c r="X199" s="981"/>
      <c r="Y199" s="988"/>
      <c r="Z199" s="980"/>
      <c r="AA199" s="980"/>
      <c r="AB199" s="988"/>
      <c r="AC199" s="988"/>
      <c r="AD199" s="988"/>
      <c r="AE199" s="988"/>
      <c r="AF199" s="640">
        <f ca="1" t="shared" si="26"/>
        <v>8.61546296296001</v>
      </c>
      <c r="AG199" s="121" t="str">
        <f ca="1" t="shared" si="25"/>
        <v>WARNING</v>
      </c>
      <c r="AH199" s="1002">
        <v>2500000</v>
      </c>
      <c r="AI199" s="1002">
        <v>150000</v>
      </c>
      <c r="AJ199" s="1002">
        <v>17000</v>
      </c>
      <c r="AK199" s="1459"/>
      <c r="AL199" s="1459" t="s">
        <v>583</v>
      </c>
      <c r="AM199" s="1459" t="s">
        <v>583</v>
      </c>
      <c r="AN199" s="1001" t="s">
        <v>583</v>
      </c>
      <c r="AO199" s="1459" t="s">
        <v>583</v>
      </c>
      <c r="AP199" s="1001" t="s">
        <v>583</v>
      </c>
      <c r="AQ199" s="1001" t="s">
        <v>0</v>
      </c>
      <c r="AR199" s="1001" t="s">
        <v>48</v>
      </c>
      <c r="AS199" s="1001" t="s">
        <v>49</v>
      </c>
      <c r="AT199" s="925"/>
      <c r="AU199" s="285" t="s">
        <v>2045</v>
      </c>
      <c r="AV199" s="961"/>
      <c r="AW199" s="1012" t="s">
        <v>2046</v>
      </c>
      <c r="AX199" s="1538" t="s">
        <v>2047</v>
      </c>
      <c r="AY199" s="1009"/>
      <c r="AZ199" s="1009"/>
      <c r="BA199" s="1009"/>
      <c r="BB199" s="127"/>
      <c r="BC199" s="164"/>
      <c r="BD199" s="1402"/>
    </row>
    <row r="200" s="873" customFormat="1" ht="14.1" customHeight="1" spans="2:56">
      <c r="B200" s="1532" t="s">
        <v>2048</v>
      </c>
      <c r="C200" s="164" t="s">
        <v>2049</v>
      </c>
      <c r="D200" s="164" t="s">
        <v>2050</v>
      </c>
      <c r="E200" s="975" t="s">
        <v>2051</v>
      </c>
      <c r="F200" s="978" t="s">
        <v>43</v>
      </c>
      <c r="G200" s="978" t="s">
        <v>44</v>
      </c>
      <c r="H200" s="925" t="s">
        <v>1300</v>
      </c>
      <c r="I200" s="925" t="s">
        <v>428</v>
      </c>
      <c r="J200" s="925" t="s">
        <v>185</v>
      </c>
      <c r="K200" s="980">
        <v>43187</v>
      </c>
      <c r="L200" s="980">
        <v>43281</v>
      </c>
      <c r="M200" s="1453"/>
      <c r="N200" s="981"/>
      <c r="O200" s="981"/>
      <c r="P200" s="981"/>
      <c r="Q200" s="981"/>
      <c r="R200" s="980"/>
      <c r="S200" s="980"/>
      <c r="T200" s="980"/>
      <c r="U200" s="980"/>
      <c r="V200" s="981"/>
      <c r="W200" s="981"/>
      <c r="X200" s="981"/>
      <c r="Y200" s="988"/>
      <c r="Z200" s="980"/>
      <c r="AA200" s="980"/>
      <c r="AB200" s="988"/>
      <c r="AC200" s="988"/>
      <c r="AD200" s="988"/>
      <c r="AE200" s="988"/>
      <c r="AF200" s="640">
        <f ca="1" t="shared" si="26"/>
        <v>8.61546296296001</v>
      </c>
      <c r="AG200" s="121" t="str">
        <f ca="1" t="shared" si="25"/>
        <v>WARNING</v>
      </c>
      <c r="AH200" s="1002">
        <v>2750000</v>
      </c>
      <c r="AI200" s="1002">
        <v>250000</v>
      </c>
      <c r="AJ200" s="1002" t="s">
        <v>583</v>
      </c>
      <c r="AK200" s="1459"/>
      <c r="AL200" s="1459" t="s">
        <v>583</v>
      </c>
      <c r="AM200" s="1459" t="s">
        <v>583</v>
      </c>
      <c r="AN200" s="1001" t="s">
        <v>583</v>
      </c>
      <c r="AO200" s="1459" t="s">
        <v>583</v>
      </c>
      <c r="AP200" s="1001" t="s">
        <v>583</v>
      </c>
      <c r="AQ200" s="1001" t="s">
        <v>0</v>
      </c>
      <c r="AR200" s="1001" t="s">
        <v>48</v>
      </c>
      <c r="AS200" s="1001" t="s">
        <v>49</v>
      </c>
      <c r="AT200" s="925"/>
      <c r="AU200" s="285" t="s">
        <v>2052</v>
      </c>
      <c r="AV200" s="1537" t="s">
        <v>2053</v>
      </c>
      <c r="AW200" s="1012" t="s">
        <v>2054</v>
      </c>
      <c r="AX200" s="1538" t="s">
        <v>2055</v>
      </c>
      <c r="AY200" s="1009"/>
      <c r="AZ200" s="1009"/>
      <c r="BA200" s="1009"/>
      <c r="BB200" s="127"/>
      <c r="BC200" s="164"/>
      <c r="BD200" s="1402"/>
    </row>
    <row r="201" s="873" customFormat="1" ht="14.1" customHeight="1" spans="2:56">
      <c r="B201" s="1532" t="s">
        <v>2056</v>
      </c>
      <c r="C201" s="164" t="s">
        <v>2057</v>
      </c>
      <c r="D201" s="164" t="s">
        <v>2058</v>
      </c>
      <c r="E201" s="975" t="s">
        <v>2059</v>
      </c>
      <c r="F201" s="978" t="s">
        <v>43</v>
      </c>
      <c r="G201" s="978" t="s">
        <v>404</v>
      </c>
      <c r="H201" s="925" t="s">
        <v>1300</v>
      </c>
      <c r="I201" s="925" t="s">
        <v>428</v>
      </c>
      <c r="J201" s="925" t="s">
        <v>185</v>
      </c>
      <c r="K201" s="980">
        <v>43187</v>
      </c>
      <c r="L201" s="980">
        <v>43281</v>
      </c>
      <c r="M201" s="1453"/>
      <c r="N201" s="981"/>
      <c r="O201" s="981"/>
      <c r="P201" s="981"/>
      <c r="Q201" s="981"/>
      <c r="R201" s="980"/>
      <c r="S201" s="980"/>
      <c r="T201" s="980"/>
      <c r="U201" s="980"/>
      <c r="V201" s="981"/>
      <c r="W201" s="981"/>
      <c r="X201" s="981"/>
      <c r="Y201" s="988"/>
      <c r="Z201" s="980"/>
      <c r="AA201" s="980"/>
      <c r="AB201" s="988"/>
      <c r="AC201" s="988"/>
      <c r="AD201" s="988"/>
      <c r="AE201" s="988"/>
      <c r="AF201" s="640">
        <f ca="1" t="shared" si="26"/>
        <v>8.61546296296001</v>
      </c>
      <c r="AG201" s="121" t="str">
        <f ca="1" t="shared" si="25"/>
        <v>WARNING</v>
      </c>
      <c r="AH201" s="1002">
        <v>2750000</v>
      </c>
      <c r="AI201" s="1002">
        <v>250000</v>
      </c>
      <c r="AJ201" s="1002" t="s">
        <v>583</v>
      </c>
      <c r="AK201" s="1459"/>
      <c r="AL201" s="1459" t="s">
        <v>583</v>
      </c>
      <c r="AM201" s="1459" t="s">
        <v>583</v>
      </c>
      <c r="AN201" s="1001" t="s">
        <v>583</v>
      </c>
      <c r="AO201" s="1459" t="s">
        <v>583</v>
      </c>
      <c r="AP201" s="1001" t="s">
        <v>583</v>
      </c>
      <c r="AQ201" s="1001" t="s">
        <v>0</v>
      </c>
      <c r="AR201" s="1001" t="s">
        <v>48</v>
      </c>
      <c r="AS201" s="1001" t="s">
        <v>49</v>
      </c>
      <c r="AT201" s="925"/>
      <c r="AU201" s="285" t="s">
        <v>2060</v>
      </c>
      <c r="AV201" s="961"/>
      <c r="AW201" s="1012" t="s">
        <v>2061</v>
      </c>
      <c r="AX201" s="1538" t="s">
        <v>2062</v>
      </c>
      <c r="AY201" s="1009"/>
      <c r="AZ201" s="1538" t="s">
        <v>2063</v>
      </c>
      <c r="BA201" s="1009"/>
      <c r="BB201" s="127" t="s">
        <v>2064</v>
      </c>
      <c r="BC201" s="164"/>
      <c r="BD201" s="1402"/>
    </row>
    <row r="202" s="873" customFormat="1" ht="14.1" customHeight="1" spans="2:56">
      <c r="B202" s="1532" t="s">
        <v>2065</v>
      </c>
      <c r="C202" s="164" t="s">
        <v>2066</v>
      </c>
      <c r="D202" s="164" t="s">
        <v>2067</v>
      </c>
      <c r="E202" s="975" t="s">
        <v>2068</v>
      </c>
      <c r="F202" s="978" t="s">
        <v>43</v>
      </c>
      <c r="G202" s="978" t="s">
        <v>2069</v>
      </c>
      <c r="H202" s="925" t="s">
        <v>1300</v>
      </c>
      <c r="I202" s="925" t="s">
        <v>428</v>
      </c>
      <c r="J202" s="925" t="s">
        <v>185</v>
      </c>
      <c r="K202" s="980">
        <v>43187</v>
      </c>
      <c r="L202" s="980">
        <v>43281</v>
      </c>
      <c r="M202" s="1453"/>
      <c r="N202" s="981"/>
      <c r="O202" s="981"/>
      <c r="P202" s="981"/>
      <c r="Q202" s="981"/>
      <c r="R202" s="980"/>
      <c r="S202" s="980"/>
      <c r="T202" s="980"/>
      <c r="U202" s="980"/>
      <c r="V202" s="981"/>
      <c r="W202" s="981"/>
      <c r="X202" s="981"/>
      <c r="Y202" s="988"/>
      <c r="Z202" s="980"/>
      <c r="AA202" s="980"/>
      <c r="AB202" s="988"/>
      <c r="AC202" s="988"/>
      <c r="AD202" s="988"/>
      <c r="AE202" s="988"/>
      <c r="AF202" s="640">
        <f ca="1" t="shared" si="26"/>
        <v>8.61546296296001</v>
      </c>
      <c r="AG202" s="121" t="str">
        <f ca="1" t="shared" si="25"/>
        <v>WARNING</v>
      </c>
      <c r="AH202" s="1002">
        <v>2750000</v>
      </c>
      <c r="AI202" s="1002">
        <v>250000</v>
      </c>
      <c r="AJ202" s="1002" t="s">
        <v>583</v>
      </c>
      <c r="AK202" s="1459"/>
      <c r="AL202" s="1459" t="s">
        <v>583</v>
      </c>
      <c r="AM202" s="1459" t="s">
        <v>583</v>
      </c>
      <c r="AN202" s="1001" t="s">
        <v>583</v>
      </c>
      <c r="AO202" s="1459" t="s">
        <v>583</v>
      </c>
      <c r="AP202" s="1001" t="s">
        <v>583</v>
      </c>
      <c r="AQ202" s="1001" t="s">
        <v>0</v>
      </c>
      <c r="AR202" s="1001" t="s">
        <v>48</v>
      </c>
      <c r="AS202" s="1001" t="s">
        <v>49</v>
      </c>
      <c r="AT202" s="925"/>
      <c r="AU202" s="285" t="s">
        <v>2070</v>
      </c>
      <c r="AV202" s="961"/>
      <c r="AW202" s="1012" t="s">
        <v>2071</v>
      </c>
      <c r="AX202" s="1538" t="s">
        <v>2072</v>
      </c>
      <c r="AY202" s="1538" t="s">
        <v>2073</v>
      </c>
      <c r="AZ202" s="1009"/>
      <c r="BA202" s="1009"/>
      <c r="BB202" s="127"/>
      <c r="BC202" s="164"/>
      <c r="BD202" s="1402"/>
    </row>
    <row r="203" s="873" customFormat="1" ht="14.1" customHeight="1" spans="2:56">
      <c r="B203" s="1532" t="s">
        <v>2074</v>
      </c>
      <c r="C203" s="164" t="s">
        <v>2075</v>
      </c>
      <c r="D203" s="164" t="s">
        <v>2076</v>
      </c>
      <c r="E203" s="975" t="s">
        <v>2077</v>
      </c>
      <c r="F203" s="978" t="s">
        <v>43</v>
      </c>
      <c r="G203" s="978" t="s">
        <v>60</v>
      </c>
      <c r="H203" s="925" t="s">
        <v>1300</v>
      </c>
      <c r="I203" s="925" t="s">
        <v>428</v>
      </c>
      <c r="J203" s="925" t="s">
        <v>185</v>
      </c>
      <c r="K203" s="980">
        <v>43192</v>
      </c>
      <c r="L203" s="980">
        <v>43281</v>
      </c>
      <c r="M203" s="1453"/>
      <c r="N203" s="981"/>
      <c r="O203" s="981"/>
      <c r="P203" s="981"/>
      <c r="Q203" s="981"/>
      <c r="R203" s="980"/>
      <c r="S203" s="980"/>
      <c r="T203" s="980"/>
      <c r="U203" s="980"/>
      <c r="V203" s="981"/>
      <c r="W203" s="981"/>
      <c r="X203" s="981"/>
      <c r="Y203" s="988"/>
      <c r="Z203" s="980"/>
      <c r="AA203" s="980"/>
      <c r="AB203" s="988"/>
      <c r="AC203" s="988"/>
      <c r="AD203" s="988"/>
      <c r="AE203" s="988"/>
      <c r="AF203" s="640">
        <f ca="1" t="shared" si="26"/>
        <v>8.61546296296001</v>
      </c>
      <c r="AG203" s="121" t="str">
        <f ca="1" t="shared" si="25"/>
        <v>WARNING</v>
      </c>
      <c r="AH203" s="1002">
        <v>2750000</v>
      </c>
      <c r="AI203" s="1002">
        <v>250000</v>
      </c>
      <c r="AJ203" s="1002" t="s">
        <v>583</v>
      </c>
      <c r="AK203" s="1459"/>
      <c r="AL203" s="1459" t="s">
        <v>583</v>
      </c>
      <c r="AM203" s="1459" t="s">
        <v>583</v>
      </c>
      <c r="AN203" s="1001" t="s">
        <v>583</v>
      </c>
      <c r="AO203" s="1459" t="s">
        <v>583</v>
      </c>
      <c r="AP203" s="1001" t="s">
        <v>583</v>
      </c>
      <c r="AQ203" s="1001" t="s">
        <v>0</v>
      </c>
      <c r="AR203" s="1001" t="s">
        <v>48</v>
      </c>
      <c r="AS203" s="1001" t="s">
        <v>49</v>
      </c>
      <c r="AT203" s="925"/>
      <c r="AU203" s="285" t="s">
        <v>2078</v>
      </c>
      <c r="AV203" s="1537" t="s">
        <v>2079</v>
      </c>
      <c r="AW203" s="1012" t="s">
        <v>2080</v>
      </c>
      <c r="AX203" s="1538" t="s">
        <v>2081</v>
      </c>
      <c r="AY203" s="1009"/>
      <c r="AZ203" s="1009"/>
      <c r="BA203" s="1009"/>
      <c r="BB203" s="127" t="s">
        <v>2082</v>
      </c>
      <c r="BC203" s="164"/>
      <c r="BD203" s="1402"/>
    </row>
    <row r="204" s="873" customFormat="1" ht="14.1" customHeight="1" spans="2:56">
      <c r="B204" s="1532" t="s">
        <v>2083</v>
      </c>
      <c r="C204" s="164" t="s">
        <v>2084</v>
      </c>
      <c r="D204" s="164" t="s">
        <v>2085</v>
      </c>
      <c r="E204" s="975" t="s">
        <v>2086</v>
      </c>
      <c r="F204" s="978" t="s">
        <v>43</v>
      </c>
      <c r="G204" s="978" t="s">
        <v>44</v>
      </c>
      <c r="H204" s="925" t="s">
        <v>2044</v>
      </c>
      <c r="I204" s="925" t="s">
        <v>428</v>
      </c>
      <c r="J204" s="925" t="s">
        <v>185</v>
      </c>
      <c r="K204" s="980">
        <v>43178</v>
      </c>
      <c r="L204" s="980">
        <v>43281</v>
      </c>
      <c r="M204" s="1453"/>
      <c r="N204" s="981"/>
      <c r="O204" s="981"/>
      <c r="P204" s="981"/>
      <c r="Q204" s="981"/>
      <c r="R204" s="980"/>
      <c r="S204" s="980"/>
      <c r="T204" s="980"/>
      <c r="U204" s="980"/>
      <c r="V204" s="981"/>
      <c r="W204" s="981"/>
      <c r="X204" s="981"/>
      <c r="Y204" s="988"/>
      <c r="Z204" s="980"/>
      <c r="AA204" s="980"/>
      <c r="AB204" s="988"/>
      <c r="AC204" s="988"/>
      <c r="AD204" s="988"/>
      <c r="AE204" s="988"/>
      <c r="AF204" s="640">
        <f ca="1" t="shared" si="26"/>
        <v>8.61546296296001</v>
      </c>
      <c r="AG204" s="121" t="str">
        <f ca="1" t="shared" si="25"/>
        <v>WARNING</v>
      </c>
      <c r="AH204" s="1002">
        <v>2750000</v>
      </c>
      <c r="AI204" s="1002">
        <v>150000</v>
      </c>
      <c r="AJ204" s="1002">
        <v>17000</v>
      </c>
      <c r="AK204" s="1459"/>
      <c r="AL204" s="1459" t="s">
        <v>583</v>
      </c>
      <c r="AM204" s="1459" t="s">
        <v>583</v>
      </c>
      <c r="AN204" s="1001" t="s">
        <v>583</v>
      </c>
      <c r="AO204" s="1459" t="s">
        <v>583</v>
      </c>
      <c r="AP204" s="1001" t="s">
        <v>583</v>
      </c>
      <c r="AQ204" s="1001" t="s">
        <v>0</v>
      </c>
      <c r="AR204" s="1001" t="s">
        <v>48</v>
      </c>
      <c r="AS204" s="1001" t="s">
        <v>49</v>
      </c>
      <c r="AT204" s="925"/>
      <c r="AU204" s="285" t="s">
        <v>2087</v>
      </c>
      <c r="AV204" s="1537" t="s">
        <v>2088</v>
      </c>
      <c r="AW204" s="1012" t="s">
        <v>2089</v>
      </c>
      <c r="AX204" s="1538" t="s">
        <v>2090</v>
      </c>
      <c r="AY204" s="1009"/>
      <c r="AZ204" s="1009"/>
      <c r="BA204" s="1009"/>
      <c r="BB204" s="127" t="s">
        <v>1741</v>
      </c>
      <c r="BC204" s="164"/>
      <c r="BD204" s="1402"/>
    </row>
    <row r="205" s="873" customFormat="1" ht="14.1" customHeight="1" spans="2:56">
      <c r="B205" s="1532" t="s">
        <v>2091</v>
      </c>
      <c r="C205" s="164" t="s">
        <v>2092</v>
      </c>
      <c r="D205" s="164" t="s">
        <v>2093</v>
      </c>
      <c r="E205" s="975" t="s">
        <v>2094</v>
      </c>
      <c r="F205" s="978" t="s">
        <v>43</v>
      </c>
      <c r="G205" s="978" t="s">
        <v>44</v>
      </c>
      <c r="H205" s="925" t="s">
        <v>2033</v>
      </c>
      <c r="I205" s="925" t="s">
        <v>428</v>
      </c>
      <c r="J205" s="925" t="s">
        <v>185</v>
      </c>
      <c r="K205" s="980">
        <v>43178</v>
      </c>
      <c r="L205" s="980">
        <v>43250</v>
      </c>
      <c r="M205" s="1455">
        <v>43343</v>
      </c>
      <c r="N205" s="981"/>
      <c r="O205" s="981"/>
      <c r="P205" s="981"/>
      <c r="Q205" s="981"/>
      <c r="R205" s="980"/>
      <c r="S205" s="980"/>
      <c r="T205" s="980"/>
      <c r="U205" s="980"/>
      <c r="V205" s="981"/>
      <c r="W205" s="981"/>
      <c r="X205" s="981"/>
      <c r="Y205" s="988"/>
      <c r="Z205" s="980"/>
      <c r="AA205" s="980"/>
      <c r="AB205" s="988"/>
      <c r="AC205" s="988"/>
      <c r="AD205" s="988"/>
      <c r="AE205" s="988"/>
      <c r="AF205" s="640">
        <f ca="1" t="shared" ref="AF205:AF249" si="27">SUM(L205-NOW())</f>
        <v>-22.38453703704</v>
      </c>
      <c r="AG205" s="121" t="str">
        <f ca="1" t="shared" si="25"/>
        <v>WARNING</v>
      </c>
      <c r="AH205" s="1002">
        <v>2765000</v>
      </c>
      <c r="AI205" s="1002">
        <v>150000</v>
      </c>
      <c r="AJ205" s="1002">
        <v>17000</v>
      </c>
      <c r="AK205" s="1459">
        <v>30000</v>
      </c>
      <c r="AL205" s="1459" t="s">
        <v>583</v>
      </c>
      <c r="AM205" s="1459"/>
      <c r="AN205" s="1001" t="s">
        <v>583</v>
      </c>
      <c r="AO205" s="1459" t="s">
        <v>583</v>
      </c>
      <c r="AP205" s="1001" t="s">
        <v>583</v>
      </c>
      <c r="AQ205" s="1001" t="s">
        <v>0</v>
      </c>
      <c r="AR205" s="1001" t="s">
        <v>48</v>
      </c>
      <c r="AS205" s="1001" t="s">
        <v>49</v>
      </c>
      <c r="AT205" s="925"/>
      <c r="AU205" s="285" t="s">
        <v>2095</v>
      </c>
      <c r="AV205" s="1537" t="s">
        <v>2096</v>
      </c>
      <c r="AW205" s="1012" t="s">
        <v>2097</v>
      </c>
      <c r="AX205" s="1538" t="s">
        <v>2098</v>
      </c>
      <c r="AY205" s="1009"/>
      <c r="AZ205" s="1009"/>
      <c r="BA205" s="1009"/>
      <c r="BB205" s="127" t="s">
        <v>2099</v>
      </c>
      <c r="BC205" s="164"/>
      <c r="BD205" s="1402"/>
    </row>
    <row r="206" s="873" customFormat="1" ht="14.1" customHeight="1" spans="2:56">
      <c r="B206" s="1532" t="s">
        <v>2100</v>
      </c>
      <c r="C206" s="164" t="s">
        <v>2101</v>
      </c>
      <c r="D206" s="164" t="s">
        <v>2102</v>
      </c>
      <c r="E206" s="975" t="s">
        <v>2103</v>
      </c>
      <c r="F206" s="978" t="s">
        <v>43</v>
      </c>
      <c r="G206" s="978" t="s">
        <v>44</v>
      </c>
      <c r="H206" s="925" t="s">
        <v>2033</v>
      </c>
      <c r="I206" s="925" t="s">
        <v>428</v>
      </c>
      <c r="J206" s="925" t="s">
        <v>185</v>
      </c>
      <c r="K206" s="980">
        <v>43185</v>
      </c>
      <c r="L206" s="980">
        <v>43250</v>
      </c>
      <c r="M206" s="1455">
        <v>43343</v>
      </c>
      <c r="N206" s="981"/>
      <c r="O206" s="981"/>
      <c r="P206" s="981"/>
      <c r="Q206" s="981"/>
      <c r="R206" s="980"/>
      <c r="S206" s="980"/>
      <c r="T206" s="980"/>
      <c r="U206" s="980"/>
      <c r="V206" s="981"/>
      <c r="W206" s="981"/>
      <c r="X206" s="981"/>
      <c r="Y206" s="988"/>
      <c r="Z206" s="980"/>
      <c r="AA206" s="980"/>
      <c r="AB206" s="988"/>
      <c r="AC206" s="988"/>
      <c r="AD206" s="988"/>
      <c r="AE206" s="988"/>
      <c r="AF206" s="640">
        <f ca="1" t="shared" si="27"/>
        <v>-22.38453703704</v>
      </c>
      <c r="AG206" s="121" t="str">
        <f ca="1" t="shared" si="25"/>
        <v>WARNING</v>
      </c>
      <c r="AH206" s="1002">
        <v>2765000</v>
      </c>
      <c r="AI206" s="1002">
        <v>150000</v>
      </c>
      <c r="AJ206" s="1002">
        <v>17000</v>
      </c>
      <c r="AK206" s="1459"/>
      <c r="AL206" s="1459" t="s">
        <v>583</v>
      </c>
      <c r="AM206" s="1459" t="s">
        <v>583</v>
      </c>
      <c r="AN206" s="1001" t="s">
        <v>583</v>
      </c>
      <c r="AO206" s="1459" t="s">
        <v>583</v>
      </c>
      <c r="AP206" s="1001" t="s">
        <v>583</v>
      </c>
      <c r="AQ206" s="1001" t="s">
        <v>0</v>
      </c>
      <c r="AR206" s="1001" t="s">
        <v>48</v>
      </c>
      <c r="AS206" s="1001" t="s">
        <v>49</v>
      </c>
      <c r="AT206" s="925"/>
      <c r="AU206" s="285" t="s">
        <v>2104</v>
      </c>
      <c r="AV206" s="1537" t="s">
        <v>2105</v>
      </c>
      <c r="AW206" s="1012"/>
      <c r="AX206" s="1538" t="s">
        <v>2106</v>
      </c>
      <c r="AY206" s="1009"/>
      <c r="AZ206" s="1009"/>
      <c r="BA206" s="1009"/>
      <c r="BB206" s="127"/>
      <c r="BC206" s="164"/>
      <c r="BD206" s="1402"/>
    </row>
    <row r="207" s="1022" customFormat="1" ht="14.1" customHeight="1" spans="2:56">
      <c r="B207" s="1540" t="s">
        <v>2107</v>
      </c>
      <c r="C207" s="168" t="s">
        <v>2108</v>
      </c>
      <c r="D207" s="168" t="s">
        <v>2109</v>
      </c>
      <c r="E207" s="979" t="s">
        <v>2110</v>
      </c>
      <c r="F207" s="922" t="s">
        <v>43</v>
      </c>
      <c r="G207" s="922"/>
      <c r="H207" s="927" t="s">
        <v>2033</v>
      </c>
      <c r="I207" s="927" t="s">
        <v>428</v>
      </c>
      <c r="J207" s="927" t="s">
        <v>185</v>
      </c>
      <c r="K207" s="1246">
        <v>43185</v>
      </c>
      <c r="L207" s="1246">
        <v>43250</v>
      </c>
      <c r="M207" s="1270"/>
      <c r="N207" s="934"/>
      <c r="O207" s="934"/>
      <c r="P207" s="934"/>
      <c r="Q207" s="934"/>
      <c r="R207" s="1246"/>
      <c r="S207" s="1246"/>
      <c r="T207" s="1246"/>
      <c r="U207" s="1246"/>
      <c r="V207" s="934"/>
      <c r="W207" s="934"/>
      <c r="X207" s="934"/>
      <c r="Y207" s="989"/>
      <c r="Z207" s="1246"/>
      <c r="AA207" s="1246"/>
      <c r="AB207" s="989"/>
      <c r="AC207" s="989"/>
      <c r="AD207" s="989"/>
      <c r="AE207" s="989"/>
      <c r="AF207" s="641">
        <f ca="1" t="shared" si="27"/>
        <v>-22.38453703704</v>
      </c>
      <c r="AG207" s="187" t="str">
        <f ca="1" t="shared" si="25"/>
        <v>WARNING</v>
      </c>
      <c r="AH207" s="1006">
        <v>2765000</v>
      </c>
      <c r="AI207" s="1006">
        <v>150000</v>
      </c>
      <c r="AJ207" s="1006">
        <v>17000</v>
      </c>
      <c r="AK207" s="1468"/>
      <c r="AL207" s="1468" t="s">
        <v>583</v>
      </c>
      <c r="AM207" s="1468" t="s">
        <v>583</v>
      </c>
      <c r="AN207" s="1321" t="s">
        <v>583</v>
      </c>
      <c r="AO207" s="1468" t="s">
        <v>583</v>
      </c>
      <c r="AP207" s="1321" t="s">
        <v>583</v>
      </c>
      <c r="AQ207" s="1321" t="s">
        <v>0</v>
      </c>
      <c r="AR207" s="1321" t="s">
        <v>48</v>
      </c>
      <c r="AS207" s="1321" t="s">
        <v>49</v>
      </c>
      <c r="AT207" s="927"/>
      <c r="AU207" s="290" t="s">
        <v>2111</v>
      </c>
      <c r="AV207" s="1541" t="s">
        <v>2112</v>
      </c>
      <c r="AW207" s="1014"/>
      <c r="AX207" s="1014" t="s">
        <v>2113</v>
      </c>
      <c r="AY207" s="963"/>
      <c r="AZ207" s="963"/>
      <c r="BA207" s="963"/>
      <c r="BB207" s="229"/>
      <c r="BC207" s="168" t="s">
        <v>2114</v>
      </c>
      <c r="BD207" s="1324"/>
    </row>
    <row r="208" s="873" customFormat="1" ht="14.1" customHeight="1" spans="2:56">
      <c r="B208" s="1532" t="s">
        <v>2115</v>
      </c>
      <c r="C208" s="164" t="s">
        <v>2116</v>
      </c>
      <c r="D208" s="164" t="s">
        <v>2117</v>
      </c>
      <c r="E208" s="975" t="s">
        <v>2118</v>
      </c>
      <c r="F208" s="978" t="s">
        <v>43</v>
      </c>
      <c r="G208" s="978" t="s">
        <v>43</v>
      </c>
      <c r="H208" s="925" t="s">
        <v>1068</v>
      </c>
      <c r="I208" s="925" t="s">
        <v>428</v>
      </c>
      <c r="J208" s="925" t="s">
        <v>1533</v>
      </c>
      <c r="K208" s="980">
        <v>43191</v>
      </c>
      <c r="L208" s="980">
        <v>43373</v>
      </c>
      <c r="M208" s="1453"/>
      <c r="N208" s="981"/>
      <c r="O208" s="981"/>
      <c r="P208" s="981"/>
      <c r="Q208" s="981"/>
      <c r="R208" s="980"/>
      <c r="S208" s="980"/>
      <c r="T208" s="980"/>
      <c r="U208" s="980"/>
      <c r="V208" s="981"/>
      <c r="W208" s="981"/>
      <c r="X208" s="981"/>
      <c r="Y208" s="988"/>
      <c r="Z208" s="980"/>
      <c r="AA208" s="980"/>
      <c r="AB208" s="988"/>
      <c r="AC208" s="988"/>
      <c r="AD208" s="988"/>
      <c r="AE208" s="988"/>
      <c r="AF208" s="640">
        <f ca="1" t="shared" si="27"/>
        <v>100.61546296296</v>
      </c>
      <c r="AG208" s="121" t="str">
        <f ca="1" t="shared" si="25"/>
        <v>ACTIVE</v>
      </c>
      <c r="AH208" s="1002">
        <v>2800000</v>
      </c>
      <c r="AI208" s="1002">
        <v>200000</v>
      </c>
      <c r="AJ208" s="1002" t="s">
        <v>583</v>
      </c>
      <c r="AK208" s="1459"/>
      <c r="AL208" s="1459"/>
      <c r="AM208" s="1459" t="s">
        <v>583</v>
      </c>
      <c r="AN208" s="1001" t="s">
        <v>583</v>
      </c>
      <c r="AO208" s="1459" t="s">
        <v>583</v>
      </c>
      <c r="AP208" s="1001" t="s">
        <v>583</v>
      </c>
      <c r="AQ208" s="1001" t="s">
        <v>0</v>
      </c>
      <c r="AR208" s="1001" t="s">
        <v>48</v>
      </c>
      <c r="AS208" s="1001" t="s">
        <v>49</v>
      </c>
      <c r="AT208" s="925"/>
      <c r="AU208" s="285" t="s">
        <v>2119</v>
      </c>
      <c r="AV208" s="961"/>
      <c r="AW208" s="1012" t="s">
        <v>2120</v>
      </c>
      <c r="AX208" s="1538" t="s">
        <v>2121</v>
      </c>
      <c r="AY208" s="1009"/>
      <c r="AZ208" s="1009"/>
      <c r="BA208" s="1009"/>
      <c r="BB208" s="127"/>
      <c r="BC208" s="164"/>
      <c r="BD208" s="1402"/>
    </row>
    <row r="209" s="873" customFormat="1" ht="14.1" customHeight="1" spans="2:56">
      <c r="B209" s="1532" t="s">
        <v>2122</v>
      </c>
      <c r="C209" s="164" t="s">
        <v>2123</v>
      </c>
      <c r="D209" s="164" t="s">
        <v>2124</v>
      </c>
      <c r="E209" s="975" t="s">
        <v>2125</v>
      </c>
      <c r="F209" s="978" t="s">
        <v>43</v>
      </c>
      <c r="G209" s="978" t="s">
        <v>254</v>
      </c>
      <c r="H209" s="925" t="s">
        <v>1068</v>
      </c>
      <c r="I209" s="925" t="s">
        <v>428</v>
      </c>
      <c r="J209" s="925" t="s">
        <v>953</v>
      </c>
      <c r="K209" s="980">
        <v>43193</v>
      </c>
      <c r="L209" s="980">
        <v>43281</v>
      </c>
      <c r="M209" s="1453"/>
      <c r="N209" s="981"/>
      <c r="O209" s="981"/>
      <c r="P209" s="981"/>
      <c r="Q209" s="981"/>
      <c r="R209" s="980"/>
      <c r="S209" s="980"/>
      <c r="T209" s="980"/>
      <c r="U209" s="980"/>
      <c r="V209" s="981"/>
      <c r="W209" s="981"/>
      <c r="X209" s="981"/>
      <c r="Y209" s="988"/>
      <c r="Z209" s="980"/>
      <c r="AA209" s="980"/>
      <c r="AB209" s="988"/>
      <c r="AC209" s="988"/>
      <c r="AD209" s="988"/>
      <c r="AE209" s="988"/>
      <c r="AF209" s="640">
        <f ca="1" t="shared" si="27"/>
        <v>8.61546296296001</v>
      </c>
      <c r="AG209" s="121" t="str">
        <f ca="1" t="shared" si="25"/>
        <v>WARNING</v>
      </c>
      <c r="AH209" s="1002">
        <v>2800000</v>
      </c>
      <c r="AI209" s="1002">
        <v>250000</v>
      </c>
      <c r="AJ209" s="1002" t="s">
        <v>583</v>
      </c>
      <c r="AK209" s="1459"/>
      <c r="AL209" s="1459"/>
      <c r="AM209" s="1459">
        <v>500000</v>
      </c>
      <c r="AN209" s="1001" t="s">
        <v>583</v>
      </c>
      <c r="AO209" s="1459">
        <v>715000</v>
      </c>
      <c r="AP209" s="1001" t="s">
        <v>583</v>
      </c>
      <c r="AQ209" s="1001" t="s">
        <v>0</v>
      </c>
      <c r="AR209" s="1001" t="s">
        <v>48</v>
      </c>
      <c r="AS209" s="1001" t="s">
        <v>49</v>
      </c>
      <c r="AT209" s="925"/>
      <c r="AU209" s="285" t="s">
        <v>2126</v>
      </c>
      <c r="AV209" s="1537" t="s">
        <v>2127</v>
      </c>
      <c r="AW209" s="1012" t="s">
        <v>2128</v>
      </c>
      <c r="AX209" s="1538" t="s">
        <v>2129</v>
      </c>
      <c r="AY209" s="1538" t="s">
        <v>2130</v>
      </c>
      <c r="AZ209" s="1009"/>
      <c r="BA209" s="1009"/>
      <c r="BB209" s="127" t="s">
        <v>2131</v>
      </c>
      <c r="BC209" s="164"/>
      <c r="BD209" s="1402"/>
    </row>
    <row r="210" s="873" customFormat="1" ht="14.1" customHeight="1" spans="2:56">
      <c r="B210" s="1532" t="s">
        <v>2132</v>
      </c>
      <c r="C210" s="164" t="s">
        <v>2133</v>
      </c>
      <c r="D210" s="164" t="s">
        <v>2134</v>
      </c>
      <c r="E210" s="975" t="s">
        <v>2135</v>
      </c>
      <c r="F210" s="978"/>
      <c r="G210" s="978"/>
      <c r="H210" s="925" t="s">
        <v>2033</v>
      </c>
      <c r="I210" s="925" t="s">
        <v>428</v>
      </c>
      <c r="J210" s="925" t="s">
        <v>61</v>
      </c>
      <c r="K210" s="980">
        <v>43185</v>
      </c>
      <c r="L210" s="980">
        <v>43250</v>
      </c>
      <c r="M210" s="1455">
        <v>43343</v>
      </c>
      <c r="N210" s="981"/>
      <c r="O210" s="981"/>
      <c r="P210" s="981"/>
      <c r="Q210" s="981"/>
      <c r="R210" s="980"/>
      <c r="S210" s="980"/>
      <c r="T210" s="980"/>
      <c r="U210" s="980"/>
      <c r="V210" s="981"/>
      <c r="W210" s="981"/>
      <c r="X210" s="981"/>
      <c r="Y210" s="988"/>
      <c r="Z210" s="980"/>
      <c r="AA210" s="980"/>
      <c r="AB210" s="988"/>
      <c r="AC210" s="988"/>
      <c r="AD210" s="988"/>
      <c r="AE210" s="988"/>
      <c r="AF210" s="640">
        <f ca="1" t="shared" si="27"/>
        <v>-22.38453703704</v>
      </c>
      <c r="AG210" s="121" t="str">
        <f ca="1" t="shared" si="25"/>
        <v>WARNING</v>
      </c>
      <c r="AH210" s="1002">
        <v>3000000</v>
      </c>
      <c r="AI210" s="1002">
        <v>200000</v>
      </c>
      <c r="AJ210" s="1002">
        <v>17000</v>
      </c>
      <c r="AK210" s="1459"/>
      <c r="AL210" s="1459"/>
      <c r="AM210" s="1459" t="s">
        <v>583</v>
      </c>
      <c r="AN210" s="1001" t="s">
        <v>583</v>
      </c>
      <c r="AO210" s="1459" t="s">
        <v>583</v>
      </c>
      <c r="AP210" s="1001" t="s">
        <v>583</v>
      </c>
      <c r="AQ210" s="1001" t="s">
        <v>0</v>
      </c>
      <c r="AR210" s="1001" t="s">
        <v>48</v>
      </c>
      <c r="AS210" s="1001" t="s">
        <v>49</v>
      </c>
      <c r="AT210" s="925"/>
      <c r="AU210" s="285" t="s">
        <v>2136</v>
      </c>
      <c r="AV210" s="961"/>
      <c r="AW210" s="1012"/>
      <c r="AX210" s="1009"/>
      <c r="AY210" s="1009"/>
      <c r="AZ210" s="1009"/>
      <c r="BA210" s="1009"/>
      <c r="BB210" s="127"/>
      <c r="BC210" s="164"/>
      <c r="BD210" s="1402"/>
    </row>
    <row r="211" s="873" customFormat="1" ht="14.1" customHeight="1" spans="2:56">
      <c r="B211" s="1532" t="s">
        <v>2137</v>
      </c>
      <c r="C211" s="164" t="s">
        <v>2138</v>
      </c>
      <c r="D211" s="164" t="s">
        <v>2139</v>
      </c>
      <c r="E211" s="975" t="s">
        <v>2140</v>
      </c>
      <c r="F211" s="978" t="s">
        <v>43</v>
      </c>
      <c r="G211" s="978" t="s">
        <v>44</v>
      </c>
      <c r="H211" s="925" t="s">
        <v>2044</v>
      </c>
      <c r="I211" s="925" t="s">
        <v>428</v>
      </c>
      <c r="J211" s="925" t="s">
        <v>185</v>
      </c>
      <c r="K211" s="980">
        <v>43178</v>
      </c>
      <c r="L211" s="980">
        <v>43281</v>
      </c>
      <c r="M211" s="1453"/>
      <c r="N211" s="981"/>
      <c r="O211" s="981"/>
      <c r="P211" s="981"/>
      <c r="Q211" s="981"/>
      <c r="R211" s="980"/>
      <c r="S211" s="980"/>
      <c r="T211" s="980"/>
      <c r="U211" s="980"/>
      <c r="V211" s="981"/>
      <c r="W211" s="981"/>
      <c r="X211" s="981"/>
      <c r="Y211" s="988"/>
      <c r="Z211" s="980"/>
      <c r="AA211" s="980"/>
      <c r="AB211" s="988"/>
      <c r="AC211" s="988"/>
      <c r="AD211" s="988"/>
      <c r="AE211" s="988"/>
      <c r="AF211" s="640">
        <f ca="1" t="shared" si="27"/>
        <v>8.61546296296001</v>
      </c>
      <c r="AG211" s="121" t="str">
        <f ca="1" t="shared" si="25"/>
        <v>WARNING</v>
      </c>
      <c r="AH211" s="1002">
        <v>2750000</v>
      </c>
      <c r="AI211" s="1002">
        <v>150000</v>
      </c>
      <c r="AJ211" s="1002">
        <v>17000</v>
      </c>
      <c r="AK211" s="1459"/>
      <c r="AL211" s="1459"/>
      <c r="AM211" s="1459" t="s">
        <v>583</v>
      </c>
      <c r="AN211" s="1001" t="s">
        <v>583</v>
      </c>
      <c r="AO211" s="1459" t="s">
        <v>583</v>
      </c>
      <c r="AP211" s="1001" t="s">
        <v>583</v>
      </c>
      <c r="AQ211" s="1001" t="s">
        <v>0</v>
      </c>
      <c r="AR211" s="1001" t="s">
        <v>48</v>
      </c>
      <c r="AS211" s="1001" t="s">
        <v>49</v>
      </c>
      <c r="AT211" s="925"/>
      <c r="AU211" s="285" t="s">
        <v>2141</v>
      </c>
      <c r="AV211" s="961"/>
      <c r="AW211" s="1012" t="s">
        <v>2142</v>
      </c>
      <c r="AX211" s="1538" t="s">
        <v>2143</v>
      </c>
      <c r="AY211" s="1009"/>
      <c r="AZ211" s="1009"/>
      <c r="BA211" s="1009"/>
      <c r="BB211" s="127"/>
      <c r="BC211" s="164"/>
      <c r="BD211" s="1402"/>
    </row>
    <row r="212" s="873" customFormat="1" ht="14.1" customHeight="1" spans="2:56">
      <c r="B212" s="1532" t="s">
        <v>2144</v>
      </c>
      <c r="C212" s="164" t="s">
        <v>2145</v>
      </c>
      <c r="D212" s="164" t="s">
        <v>2146</v>
      </c>
      <c r="E212" s="975" t="s">
        <v>2147</v>
      </c>
      <c r="F212" s="978" t="s">
        <v>43</v>
      </c>
      <c r="G212" s="978" t="s">
        <v>43</v>
      </c>
      <c r="H212" s="925" t="s">
        <v>1300</v>
      </c>
      <c r="I212" s="925" t="s">
        <v>428</v>
      </c>
      <c r="J212" s="925" t="s">
        <v>61</v>
      </c>
      <c r="K212" s="980">
        <v>43180</v>
      </c>
      <c r="L212" s="980">
        <v>43281</v>
      </c>
      <c r="M212" s="1453"/>
      <c r="N212" s="981"/>
      <c r="O212" s="981"/>
      <c r="P212" s="981"/>
      <c r="Q212" s="981"/>
      <c r="R212" s="980"/>
      <c r="S212" s="980"/>
      <c r="T212" s="980"/>
      <c r="U212" s="980"/>
      <c r="V212" s="981"/>
      <c r="W212" s="981"/>
      <c r="X212" s="981"/>
      <c r="Y212" s="988"/>
      <c r="Z212" s="980"/>
      <c r="AA212" s="980"/>
      <c r="AB212" s="988"/>
      <c r="AC212" s="988"/>
      <c r="AD212" s="988"/>
      <c r="AE212" s="988"/>
      <c r="AF212" s="640">
        <f ca="1" t="shared" si="27"/>
        <v>8.61546296296001</v>
      </c>
      <c r="AG212" s="121" t="str">
        <f ca="1" t="shared" si="25"/>
        <v>WARNING</v>
      </c>
      <c r="AH212" s="1002">
        <v>3350000</v>
      </c>
      <c r="AI212" s="1002">
        <v>250000</v>
      </c>
      <c r="AJ212" s="1002" t="s">
        <v>583</v>
      </c>
      <c r="AK212" s="1459"/>
      <c r="AL212" s="1459"/>
      <c r="AM212" s="1459" t="s">
        <v>583</v>
      </c>
      <c r="AN212" s="1001" t="s">
        <v>583</v>
      </c>
      <c r="AO212" s="1459" t="s">
        <v>583</v>
      </c>
      <c r="AP212" s="1001" t="s">
        <v>583</v>
      </c>
      <c r="AQ212" s="1001" t="s">
        <v>0</v>
      </c>
      <c r="AR212" s="1001" t="s">
        <v>48</v>
      </c>
      <c r="AS212" s="1001" t="s">
        <v>49</v>
      </c>
      <c r="AT212" s="925"/>
      <c r="AU212" s="285" t="s">
        <v>2148</v>
      </c>
      <c r="AV212" s="961"/>
      <c r="AW212" s="1012" t="s">
        <v>2149</v>
      </c>
      <c r="AX212" s="1538" t="s">
        <v>2150</v>
      </c>
      <c r="AY212" s="1009"/>
      <c r="AZ212" s="1009"/>
      <c r="BA212" s="1009"/>
      <c r="BB212" s="127"/>
      <c r="BC212" s="164"/>
      <c r="BD212" s="1402"/>
    </row>
    <row r="213" s="873" customFormat="1" ht="14.1" customHeight="1" spans="2:56">
      <c r="B213" s="1532" t="s">
        <v>2151</v>
      </c>
      <c r="C213" s="164" t="s">
        <v>2152</v>
      </c>
      <c r="D213" s="164" t="s">
        <v>2153</v>
      </c>
      <c r="E213" s="975" t="s">
        <v>2154</v>
      </c>
      <c r="F213" s="978" t="s">
        <v>43</v>
      </c>
      <c r="G213" s="978" t="s">
        <v>44</v>
      </c>
      <c r="H213" s="925" t="s">
        <v>1343</v>
      </c>
      <c r="I213" s="925" t="s">
        <v>428</v>
      </c>
      <c r="J213" s="925" t="s">
        <v>208</v>
      </c>
      <c r="K213" s="980">
        <v>43195</v>
      </c>
      <c r="L213" s="980">
        <v>43281</v>
      </c>
      <c r="M213" s="1453"/>
      <c r="N213" s="981"/>
      <c r="O213" s="981"/>
      <c r="P213" s="981"/>
      <c r="Q213" s="981"/>
      <c r="R213" s="980"/>
      <c r="S213" s="980"/>
      <c r="T213" s="980"/>
      <c r="U213" s="980"/>
      <c r="V213" s="981"/>
      <c r="W213" s="981"/>
      <c r="X213" s="981"/>
      <c r="Y213" s="988"/>
      <c r="Z213" s="980"/>
      <c r="AA213" s="980"/>
      <c r="AB213" s="988"/>
      <c r="AC213" s="988"/>
      <c r="AD213" s="988"/>
      <c r="AE213" s="988"/>
      <c r="AF213" s="640">
        <f ca="1" t="shared" si="27"/>
        <v>8.61546296296001</v>
      </c>
      <c r="AG213" s="121" t="str">
        <f ca="1" t="shared" si="25"/>
        <v>WARNING</v>
      </c>
      <c r="AH213" s="1002">
        <v>4000000</v>
      </c>
      <c r="AI213" s="1002">
        <v>400000</v>
      </c>
      <c r="AJ213" s="1002" t="s">
        <v>583</v>
      </c>
      <c r="AK213" s="1459"/>
      <c r="AL213" s="1459"/>
      <c r="AM213" s="1459">
        <v>500000</v>
      </c>
      <c r="AN213" s="1001" t="s">
        <v>583</v>
      </c>
      <c r="AO213" s="1459">
        <v>780000</v>
      </c>
      <c r="AP213" s="1001" t="s">
        <v>583</v>
      </c>
      <c r="AQ213" s="1001" t="s">
        <v>0</v>
      </c>
      <c r="AR213" s="1001" t="s">
        <v>48</v>
      </c>
      <c r="AS213" s="1001" t="s">
        <v>49</v>
      </c>
      <c r="AT213" s="925"/>
      <c r="AU213" s="285" t="s">
        <v>2155</v>
      </c>
      <c r="AV213" s="1537" t="s">
        <v>2156</v>
      </c>
      <c r="AW213" s="1539" t="s">
        <v>2157</v>
      </c>
      <c r="AX213" s="1538" t="s">
        <v>2158</v>
      </c>
      <c r="AY213" s="1009"/>
      <c r="AZ213" s="1538" t="s">
        <v>2159</v>
      </c>
      <c r="BA213" s="1538" t="s">
        <v>2160</v>
      </c>
      <c r="BB213" s="127" t="s">
        <v>2161</v>
      </c>
      <c r="BC213" s="164"/>
      <c r="BD213" s="1402"/>
    </row>
    <row r="214" s="873" customFormat="1" ht="14.1" customHeight="1" spans="2:56">
      <c r="B214" s="1532" t="s">
        <v>2162</v>
      </c>
      <c r="C214" s="164" t="s">
        <v>2163</v>
      </c>
      <c r="D214" s="164" t="s">
        <v>2164</v>
      </c>
      <c r="E214" s="975" t="s">
        <v>2165</v>
      </c>
      <c r="F214" s="978" t="s">
        <v>43</v>
      </c>
      <c r="G214" s="978" t="s">
        <v>44</v>
      </c>
      <c r="H214" s="925" t="s">
        <v>1343</v>
      </c>
      <c r="I214" s="925" t="s">
        <v>428</v>
      </c>
      <c r="J214" s="925" t="s">
        <v>185</v>
      </c>
      <c r="K214" s="980">
        <v>43195</v>
      </c>
      <c r="L214" s="980">
        <v>43281</v>
      </c>
      <c r="M214" s="1453"/>
      <c r="N214" s="981"/>
      <c r="O214" s="981"/>
      <c r="P214" s="981"/>
      <c r="Q214" s="981"/>
      <c r="R214" s="980"/>
      <c r="S214" s="980"/>
      <c r="T214" s="980"/>
      <c r="U214" s="980"/>
      <c r="V214" s="981"/>
      <c r="W214" s="981"/>
      <c r="X214" s="981"/>
      <c r="Y214" s="988"/>
      <c r="Z214" s="980"/>
      <c r="AA214" s="980"/>
      <c r="AB214" s="988"/>
      <c r="AC214" s="988"/>
      <c r="AD214" s="988"/>
      <c r="AE214" s="988"/>
      <c r="AF214" s="640">
        <f ca="1" t="shared" si="27"/>
        <v>8.61546296296001</v>
      </c>
      <c r="AG214" s="121" t="str">
        <f ca="1" t="shared" si="25"/>
        <v>WARNING</v>
      </c>
      <c r="AH214" s="1002">
        <v>2800000</v>
      </c>
      <c r="AI214" s="1002">
        <v>250000</v>
      </c>
      <c r="AJ214" s="1002" t="s">
        <v>583</v>
      </c>
      <c r="AK214" s="1459"/>
      <c r="AL214" s="1459"/>
      <c r="AM214" s="1459" t="s">
        <v>583</v>
      </c>
      <c r="AN214" s="1001" t="s">
        <v>583</v>
      </c>
      <c r="AO214" s="1459">
        <v>520000</v>
      </c>
      <c r="AP214" s="1001" t="s">
        <v>583</v>
      </c>
      <c r="AQ214" s="1001" t="s">
        <v>0</v>
      </c>
      <c r="AR214" s="1001" t="s">
        <v>48</v>
      </c>
      <c r="AS214" s="1001" t="s">
        <v>49</v>
      </c>
      <c r="AT214" s="925"/>
      <c r="AU214" s="285" t="s">
        <v>2166</v>
      </c>
      <c r="AV214" s="961"/>
      <c r="AW214" s="1012" t="s">
        <v>2167</v>
      </c>
      <c r="AX214" s="1538" t="s">
        <v>2168</v>
      </c>
      <c r="AY214" s="1009"/>
      <c r="AZ214" s="1009"/>
      <c r="BA214" s="1009"/>
      <c r="BB214" s="127"/>
      <c r="BC214" s="164"/>
      <c r="BD214" s="1402"/>
    </row>
    <row r="215" s="873" customFormat="1" ht="14.1" customHeight="1" spans="2:56">
      <c r="B215" s="1532" t="s">
        <v>2169</v>
      </c>
      <c r="C215" s="164" t="s">
        <v>2170</v>
      </c>
      <c r="D215" s="164" t="s">
        <v>2171</v>
      </c>
      <c r="E215" s="975" t="s">
        <v>2172</v>
      </c>
      <c r="F215" s="978" t="s">
        <v>43</v>
      </c>
      <c r="G215" s="978" t="s">
        <v>44</v>
      </c>
      <c r="H215" s="925" t="s">
        <v>1343</v>
      </c>
      <c r="I215" s="925" t="s">
        <v>428</v>
      </c>
      <c r="J215" s="925" t="s">
        <v>185</v>
      </c>
      <c r="K215" s="980">
        <v>43195</v>
      </c>
      <c r="L215" s="980">
        <v>43281</v>
      </c>
      <c r="M215" s="1453"/>
      <c r="N215" s="981"/>
      <c r="O215" s="981"/>
      <c r="P215" s="981"/>
      <c r="Q215" s="981"/>
      <c r="R215" s="980"/>
      <c r="S215" s="980"/>
      <c r="T215" s="980"/>
      <c r="U215" s="980"/>
      <c r="V215" s="981"/>
      <c r="W215" s="981"/>
      <c r="X215" s="981"/>
      <c r="Y215" s="988"/>
      <c r="Z215" s="980"/>
      <c r="AA215" s="980"/>
      <c r="AB215" s="988"/>
      <c r="AC215" s="988"/>
      <c r="AD215" s="988"/>
      <c r="AE215" s="988"/>
      <c r="AF215" s="640">
        <f ca="1" t="shared" si="27"/>
        <v>8.61546296296001</v>
      </c>
      <c r="AG215" s="121" t="str">
        <f ca="1" t="shared" si="25"/>
        <v>WARNING</v>
      </c>
      <c r="AH215" s="1002">
        <v>2800000</v>
      </c>
      <c r="AI215" s="1002">
        <v>250000</v>
      </c>
      <c r="AJ215" s="1002" t="s">
        <v>583</v>
      </c>
      <c r="AK215" s="1459"/>
      <c r="AL215" s="1459"/>
      <c r="AM215" s="1459" t="s">
        <v>583</v>
      </c>
      <c r="AN215" s="1001" t="s">
        <v>583</v>
      </c>
      <c r="AO215" s="1459">
        <v>520000</v>
      </c>
      <c r="AP215" s="1001" t="s">
        <v>583</v>
      </c>
      <c r="AQ215" s="1001" t="s">
        <v>0</v>
      </c>
      <c r="AR215" s="1001" t="s">
        <v>48</v>
      </c>
      <c r="AS215" s="1001" t="s">
        <v>49</v>
      </c>
      <c r="AT215" s="925"/>
      <c r="AU215" s="285" t="s">
        <v>2173</v>
      </c>
      <c r="AV215" s="961"/>
      <c r="AW215" s="1012"/>
      <c r="AX215" s="1538" t="s">
        <v>2174</v>
      </c>
      <c r="AY215" s="1009"/>
      <c r="AZ215" s="1009"/>
      <c r="BA215" s="1009"/>
      <c r="BB215" s="127"/>
      <c r="BC215" s="164"/>
      <c r="BD215" s="1402"/>
    </row>
    <row r="216" s="873" customFormat="1" ht="14.1" customHeight="1" spans="2:56">
      <c r="B216" s="1532" t="s">
        <v>2175</v>
      </c>
      <c r="C216" s="164" t="s">
        <v>2176</v>
      </c>
      <c r="D216" s="164" t="s">
        <v>2177</v>
      </c>
      <c r="E216" s="975" t="s">
        <v>2178</v>
      </c>
      <c r="F216" s="978" t="s">
        <v>43</v>
      </c>
      <c r="G216" s="978" t="s">
        <v>254</v>
      </c>
      <c r="H216" s="925" t="s">
        <v>1343</v>
      </c>
      <c r="I216" s="925" t="s">
        <v>428</v>
      </c>
      <c r="J216" s="925" t="s">
        <v>208</v>
      </c>
      <c r="K216" s="980">
        <v>43196</v>
      </c>
      <c r="L216" s="980">
        <v>43378</v>
      </c>
      <c r="M216" s="1453"/>
      <c r="N216" s="981"/>
      <c r="O216" s="981"/>
      <c r="P216" s="981"/>
      <c r="Q216" s="981"/>
      <c r="R216" s="980"/>
      <c r="S216" s="980"/>
      <c r="T216" s="980"/>
      <c r="U216" s="980"/>
      <c r="V216" s="981"/>
      <c r="W216" s="981"/>
      <c r="X216" s="981"/>
      <c r="Y216" s="988"/>
      <c r="Z216" s="980"/>
      <c r="AA216" s="980"/>
      <c r="AB216" s="988"/>
      <c r="AC216" s="988"/>
      <c r="AD216" s="988"/>
      <c r="AE216" s="988"/>
      <c r="AF216" s="640">
        <f ca="1" t="shared" si="27"/>
        <v>105.61546296296</v>
      </c>
      <c r="AG216" s="121" t="str">
        <f ca="1" t="shared" si="25"/>
        <v>ACTIVE</v>
      </c>
      <c r="AH216" s="1002">
        <v>4000000</v>
      </c>
      <c r="AI216" s="1002">
        <v>400000</v>
      </c>
      <c r="AJ216" s="1002" t="s">
        <v>583</v>
      </c>
      <c r="AK216" s="1459"/>
      <c r="AL216" s="1459"/>
      <c r="AM216" s="1459">
        <v>500000</v>
      </c>
      <c r="AN216" s="1001" t="s">
        <v>583</v>
      </c>
      <c r="AO216" s="1459">
        <v>780000</v>
      </c>
      <c r="AP216" s="1001" t="s">
        <v>583</v>
      </c>
      <c r="AQ216" s="1001" t="s">
        <v>0</v>
      </c>
      <c r="AR216" s="1001" t="s">
        <v>48</v>
      </c>
      <c r="AS216" s="1001" t="s">
        <v>49</v>
      </c>
      <c r="AT216" s="925"/>
      <c r="AU216" s="285" t="s">
        <v>2179</v>
      </c>
      <c r="AV216" s="1537" t="s">
        <v>2180</v>
      </c>
      <c r="AW216" s="1012" t="s">
        <v>2181</v>
      </c>
      <c r="AX216" s="1538" t="s">
        <v>2182</v>
      </c>
      <c r="AY216" s="1538" t="s">
        <v>2183</v>
      </c>
      <c r="AZ216" s="1009"/>
      <c r="BA216" s="1009"/>
      <c r="BB216" s="127" t="s">
        <v>2184</v>
      </c>
      <c r="BC216" s="164"/>
      <c r="BD216" s="1402"/>
    </row>
    <row r="217" s="873" customFormat="1" ht="14.1" customHeight="1" spans="2:56">
      <c r="B217" s="1532" t="s">
        <v>2185</v>
      </c>
      <c r="C217" s="164" t="s">
        <v>2186</v>
      </c>
      <c r="D217" s="164" t="s">
        <v>2187</v>
      </c>
      <c r="E217" s="975" t="s">
        <v>2188</v>
      </c>
      <c r="F217" s="978" t="s">
        <v>43</v>
      </c>
      <c r="G217" s="978" t="s">
        <v>44</v>
      </c>
      <c r="H217" s="925" t="s">
        <v>1300</v>
      </c>
      <c r="I217" s="925" t="s">
        <v>428</v>
      </c>
      <c r="J217" s="925" t="s">
        <v>185</v>
      </c>
      <c r="K217" s="980">
        <v>43195</v>
      </c>
      <c r="L217" s="980">
        <v>43281</v>
      </c>
      <c r="M217" s="1453"/>
      <c r="N217" s="981"/>
      <c r="O217" s="981"/>
      <c r="P217" s="981"/>
      <c r="Q217" s="981"/>
      <c r="R217" s="980"/>
      <c r="S217" s="980"/>
      <c r="T217" s="980"/>
      <c r="U217" s="980"/>
      <c r="V217" s="981"/>
      <c r="W217" s="981"/>
      <c r="X217" s="981"/>
      <c r="Y217" s="988"/>
      <c r="Z217" s="980"/>
      <c r="AA217" s="980"/>
      <c r="AB217" s="988"/>
      <c r="AC217" s="988"/>
      <c r="AD217" s="988"/>
      <c r="AE217" s="988"/>
      <c r="AF217" s="640">
        <f ca="1" t="shared" si="27"/>
        <v>8.61546296296001</v>
      </c>
      <c r="AG217" s="121" t="str">
        <f ca="1" t="shared" si="25"/>
        <v>WARNING</v>
      </c>
      <c r="AH217" s="1002">
        <v>2900000</v>
      </c>
      <c r="AI217" s="1002">
        <v>250000</v>
      </c>
      <c r="AJ217" s="1002"/>
      <c r="AK217" s="1459" t="s">
        <v>583</v>
      </c>
      <c r="AL217" s="1459" t="s">
        <v>583</v>
      </c>
      <c r="AM217" s="1459" t="s">
        <v>583</v>
      </c>
      <c r="AN217" s="1001" t="s">
        <v>583</v>
      </c>
      <c r="AO217" s="1459" t="s">
        <v>583</v>
      </c>
      <c r="AP217" s="1001" t="s">
        <v>583</v>
      </c>
      <c r="AQ217" s="1001" t="s">
        <v>0</v>
      </c>
      <c r="AR217" s="1001" t="s">
        <v>48</v>
      </c>
      <c r="AS217" s="1001" t="s">
        <v>49</v>
      </c>
      <c r="AT217" s="925"/>
      <c r="AU217" s="285" t="s">
        <v>2189</v>
      </c>
      <c r="AV217" s="961"/>
      <c r="AW217" s="1012" t="s">
        <v>2190</v>
      </c>
      <c r="AX217" s="1538" t="s">
        <v>2191</v>
      </c>
      <c r="AY217" s="1009"/>
      <c r="AZ217" s="1538" t="s">
        <v>2192</v>
      </c>
      <c r="BA217" s="1538" t="s">
        <v>2193</v>
      </c>
      <c r="BB217" s="127" t="s">
        <v>2194</v>
      </c>
      <c r="BC217" s="164"/>
      <c r="BD217" s="1402"/>
    </row>
    <row r="218" s="873" customFormat="1" ht="14.1" customHeight="1" spans="2:56">
      <c r="B218" s="1532" t="s">
        <v>2195</v>
      </c>
      <c r="C218" s="164" t="s">
        <v>2196</v>
      </c>
      <c r="D218" s="164" t="s">
        <v>2197</v>
      </c>
      <c r="E218" s="975" t="s">
        <v>2198</v>
      </c>
      <c r="F218" s="978" t="s">
        <v>43</v>
      </c>
      <c r="G218" s="978" t="s">
        <v>60</v>
      </c>
      <c r="H218" s="925" t="s">
        <v>1343</v>
      </c>
      <c r="I218" s="925" t="s">
        <v>428</v>
      </c>
      <c r="J218" s="925" t="s">
        <v>61</v>
      </c>
      <c r="K218" s="980">
        <v>43190</v>
      </c>
      <c r="L218" s="980">
        <v>43281</v>
      </c>
      <c r="M218" s="1453"/>
      <c r="N218" s="981"/>
      <c r="O218" s="981"/>
      <c r="P218" s="981"/>
      <c r="Q218" s="981"/>
      <c r="R218" s="980"/>
      <c r="S218" s="980"/>
      <c r="T218" s="980"/>
      <c r="U218" s="980"/>
      <c r="V218" s="981"/>
      <c r="W218" s="981"/>
      <c r="X218" s="981"/>
      <c r="Y218" s="988"/>
      <c r="Z218" s="980"/>
      <c r="AA218" s="980"/>
      <c r="AB218" s="988"/>
      <c r="AC218" s="988"/>
      <c r="AD218" s="988"/>
      <c r="AE218" s="988"/>
      <c r="AF218" s="640">
        <f ca="1" t="shared" si="27"/>
        <v>8.61546296296001</v>
      </c>
      <c r="AG218" s="121" t="str">
        <f ca="1" t="shared" si="25"/>
        <v>WARNING</v>
      </c>
      <c r="AH218" s="1002">
        <v>3100000</v>
      </c>
      <c r="AI218" s="1002">
        <v>250000</v>
      </c>
      <c r="AJ218" s="1002" t="s">
        <v>583</v>
      </c>
      <c r="AK218" s="1459" t="s">
        <v>583</v>
      </c>
      <c r="AL218" s="1459" t="s">
        <v>583</v>
      </c>
      <c r="AM218" s="1459"/>
      <c r="AN218" s="1001" t="s">
        <v>583</v>
      </c>
      <c r="AO218" s="1459">
        <v>780000</v>
      </c>
      <c r="AP218" s="1001" t="s">
        <v>583</v>
      </c>
      <c r="AQ218" s="1001" t="s">
        <v>0</v>
      </c>
      <c r="AR218" s="1001" t="s">
        <v>48</v>
      </c>
      <c r="AS218" s="1001" t="s">
        <v>49</v>
      </c>
      <c r="AT218" s="925"/>
      <c r="AU218" s="285" t="s">
        <v>2199</v>
      </c>
      <c r="AV218" s="1537" t="s">
        <v>2200</v>
      </c>
      <c r="AW218" s="1012" t="s">
        <v>2201</v>
      </c>
      <c r="AX218" s="1538" t="s">
        <v>2202</v>
      </c>
      <c r="AY218" s="1009"/>
      <c r="AZ218" s="1009"/>
      <c r="BA218" s="1009"/>
      <c r="BB218" s="127" t="s">
        <v>2203</v>
      </c>
      <c r="BC218" s="164"/>
      <c r="BD218" s="1402"/>
    </row>
    <row r="219" s="873" customFormat="1" ht="14.1" customHeight="1" spans="2:56">
      <c r="B219" s="1532" t="s">
        <v>2204</v>
      </c>
      <c r="C219" s="164" t="s">
        <v>2205</v>
      </c>
      <c r="D219" s="164" t="s">
        <v>2206</v>
      </c>
      <c r="E219" s="975" t="s">
        <v>2207</v>
      </c>
      <c r="F219" s="978"/>
      <c r="G219" s="978"/>
      <c r="H219" s="925" t="s">
        <v>1300</v>
      </c>
      <c r="I219" s="925" t="s">
        <v>428</v>
      </c>
      <c r="J219" s="925" t="s">
        <v>185</v>
      </c>
      <c r="K219" s="980">
        <v>43186</v>
      </c>
      <c r="L219" s="980">
        <v>43281</v>
      </c>
      <c r="M219" s="1453"/>
      <c r="N219" s="981"/>
      <c r="O219" s="981"/>
      <c r="P219" s="981"/>
      <c r="Q219" s="981"/>
      <c r="R219" s="980"/>
      <c r="S219" s="980"/>
      <c r="T219" s="980"/>
      <c r="U219" s="980"/>
      <c r="V219" s="981"/>
      <c r="W219" s="981"/>
      <c r="X219" s="981"/>
      <c r="Y219" s="988"/>
      <c r="Z219" s="980"/>
      <c r="AA219" s="980"/>
      <c r="AB219" s="988"/>
      <c r="AC219" s="988"/>
      <c r="AD219" s="988"/>
      <c r="AE219" s="988"/>
      <c r="AF219" s="640">
        <f ca="1" t="shared" si="27"/>
        <v>8.61546296296001</v>
      </c>
      <c r="AG219" s="121" t="str">
        <f ca="1" t="shared" si="25"/>
        <v>WARNING</v>
      </c>
      <c r="AH219" s="1002">
        <v>2750000</v>
      </c>
      <c r="AI219" s="1002">
        <v>250000</v>
      </c>
      <c r="AJ219" s="1002" t="s">
        <v>583</v>
      </c>
      <c r="AK219" s="1459" t="s">
        <v>583</v>
      </c>
      <c r="AL219" s="1459" t="s">
        <v>583</v>
      </c>
      <c r="AM219" s="1459"/>
      <c r="AN219" s="1001" t="s">
        <v>583</v>
      </c>
      <c r="AO219" s="1459" t="s">
        <v>583</v>
      </c>
      <c r="AP219" s="1001" t="s">
        <v>583</v>
      </c>
      <c r="AQ219" s="1001" t="s">
        <v>0</v>
      </c>
      <c r="AR219" s="1001" t="s">
        <v>48</v>
      </c>
      <c r="AS219" s="1001" t="s">
        <v>49</v>
      </c>
      <c r="AT219" s="925"/>
      <c r="AU219" s="285" t="s">
        <v>2208</v>
      </c>
      <c r="AV219" s="961"/>
      <c r="AW219" s="1012" t="s">
        <v>2209</v>
      </c>
      <c r="AX219" s="1538" t="s">
        <v>2210</v>
      </c>
      <c r="AY219" s="1009"/>
      <c r="AZ219" s="1009"/>
      <c r="BA219" s="1009"/>
      <c r="BB219" s="127"/>
      <c r="BC219" s="164"/>
      <c r="BD219" s="1402"/>
    </row>
    <row r="220" s="873" customFormat="1" ht="14.1" customHeight="1" spans="2:56">
      <c r="B220" s="1532" t="s">
        <v>2211</v>
      </c>
      <c r="C220" s="164" t="s">
        <v>2212</v>
      </c>
      <c r="D220" s="164" t="s">
        <v>2213</v>
      </c>
      <c r="E220" s="975" t="s">
        <v>2214</v>
      </c>
      <c r="F220" s="978" t="s">
        <v>43</v>
      </c>
      <c r="G220" s="978" t="s">
        <v>44</v>
      </c>
      <c r="H220" s="925" t="s">
        <v>1300</v>
      </c>
      <c r="I220" s="925" t="s">
        <v>428</v>
      </c>
      <c r="J220" s="925" t="s">
        <v>185</v>
      </c>
      <c r="K220" s="980">
        <v>43195</v>
      </c>
      <c r="L220" s="980">
        <v>43281</v>
      </c>
      <c r="M220" s="1453"/>
      <c r="N220" s="981"/>
      <c r="O220" s="981"/>
      <c r="P220" s="981"/>
      <c r="Q220" s="981"/>
      <c r="R220" s="980"/>
      <c r="S220" s="980"/>
      <c r="T220" s="980"/>
      <c r="U220" s="980"/>
      <c r="V220" s="981"/>
      <c r="W220" s="981"/>
      <c r="X220" s="981"/>
      <c r="Y220" s="988"/>
      <c r="Z220" s="980"/>
      <c r="AA220" s="980"/>
      <c r="AB220" s="988"/>
      <c r="AC220" s="988"/>
      <c r="AD220" s="988"/>
      <c r="AE220" s="988"/>
      <c r="AF220" s="640">
        <f ca="1" t="shared" si="27"/>
        <v>8.61546296296001</v>
      </c>
      <c r="AG220" s="121" t="str">
        <f ca="1" t="shared" si="25"/>
        <v>WARNING</v>
      </c>
      <c r="AH220" s="1002">
        <v>2900000</v>
      </c>
      <c r="AI220" s="1002">
        <v>250000</v>
      </c>
      <c r="AJ220" s="1002" t="s">
        <v>583</v>
      </c>
      <c r="AK220" s="1459" t="s">
        <v>583</v>
      </c>
      <c r="AL220" s="1459" t="s">
        <v>583</v>
      </c>
      <c r="AM220" s="1459"/>
      <c r="AN220" s="1001" t="s">
        <v>583</v>
      </c>
      <c r="AO220" s="1459" t="s">
        <v>583</v>
      </c>
      <c r="AP220" s="1001" t="s">
        <v>583</v>
      </c>
      <c r="AQ220" s="1001" t="s">
        <v>0</v>
      </c>
      <c r="AR220" s="1001" t="s">
        <v>48</v>
      </c>
      <c r="AS220" s="1001" t="s">
        <v>49</v>
      </c>
      <c r="AT220" s="925"/>
      <c r="AU220" s="285" t="s">
        <v>2215</v>
      </c>
      <c r="AV220" s="1537" t="s">
        <v>2216</v>
      </c>
      <c r="AW220" s="1012" t="s">
        <v>2217</v>
      </c>
      <c r="AX220" s="1538" t="s">
        <v>2218</v>
      </c>
      <c r="AY220" s="1009"/>
      <c r="AZ220" s="1009"/>
      <c r="BA220" s="1538" t="s">
        <v>2219</v>
      </c>
      <c r="BB220" s="127" t="s">
        <v>2220</v>
      </c>
      <c r="BC220" s="164"/>
      <c r="BD220" s="1402"/>
    </row>
    <row r="221" s="873" customFormat="1" ht="14.1" customHeight="1" spans="2:56">
      <c r="B221" s="1532" t="s">
        <v>2221</v>
      </c>
      <c r="C221" s="164" t="s">
        <v>2222</v>
      </c>
      <c r="D221" s="164" t="s">
        <v>2223</v>
      </c>
      <c r="E221" s="975" t="s">
        <v>2224</v>
      </c>
      <c r="F221" s="978"/>
      <c r="G221" s="978"/>
      <c r="H221" s="925" t="s">
        <v>1300</v>
      </c>
      <c r="I221" s="925" t="s">
        <v>428</v>
      </c>
      <c r="J221" s="925" t="s">
        <v>185</v>
      </c>
      <c r="K221" s="980">
        <v>43202</v>
      </c>
      <c r="L221" s="980">
        <v>43281</v>
      </c>
      <c r="M221" s="1453"/>
      <c r="N221" s="981"/>
      <c r="O221" s="981"/>
      <c r="P221" s="981"/>
      <c r="Q221" s="981"/>
      <c r="R221" s="980"/>
      <c r="S221" s="980"/>
      <c r="T221" s="980"/>
      <c r="U221" s="980"/>
      <c r="V221" s="981"/>
      <c r="W221" s="981"/>
      <c r="X221" s="981"/>
      <c r="Y221" s="988"/>
      <c r="Z221" s="980"/>
      <c r="AA221" s="980"/>
      <c r="AB221" s="988"/>
      <c r="AC221" s="988"/>
      <c r="AD221" s="988"/>
      <c r="AE221" s="988"/>
      <c r="AF221" s="640">
        <f ca="1" t="shared" si="27"/>
        <v>8.61546296296001</v>
      </c>
      <c r="AG221" s="121" t="str">
        <f ca="1" t="shared" si="25"/>
        <v>WARNING</v>
      </c>
      <c r="AH221" s="1002">
        <v>2750000</v>
      </c>
      <c r="AI221" s="1002">
        <v>250000</v>
      </c>
      <c r="AJ221" s="1002" t="s">
        <v>583</v>
      </c>
      <c r="AK221" s="1459" t="s">
        <v>583</v>
      </c>
      <c r="AL221" s="1459" t="s">
        <v>583</v>
      </c>
      <c r="AM221" s="1459"/>
      <c r="AN221" s="1001" t="s">
        <v>583</v>
      </c>
      <c r="AO221" s="1459" t="s">
        <v>583</v>
      </c>
      <c r="AP221" s="1001" t="s">
        <v>583</v>
      </c>
      <c r="AQ221" s="1001" t="s">
        <v>0</v>
      </c>
      <c r="AR221" s="1001" t="s">
        <v>48</v>
      </c>
      <c r="AS221" s="1001" t="s">
        <v>49</v>
      </c>
      <c r="AT221" s="925"/>
      <c r="AU221" s="285" t="s">
        <v>2225</v>
      </c>
      <c r="AV221" s="961"/>
      <c r="AW221" s="1012" t="s">
        <v>2226</v>
      </c>
      <c r="AX221" s="1538" t="s">
        <v>2227</v>
      </c>
      <c r="AY221" s="1009"/>
      <c r="AZ221" s="1009"/>
      <c r="BA221" s="1009"/>
      <c r="BB221" s="127"/>
      <c r="BC221" s="164"/>
      <c r="BD221" s="1402"/>
    </row>
    <row r="222" s="873" customFormat="1" ht="14.1" customHeight="1" spans="2:56">
      <c r="B222" s="1532" t="s">
        <v>2228</v>
      </c>
      <c r="C222" s="164" t="s">
        <v>2229</v>
      </c>
      <c r="D222" s="164" t="s">
        <v>2230</v>
      </c>
      <c r="E222" s="975" t="s">
        <v>2231</v>
      </c>
      <c r="F222" s="978"/>
      <c r="G222" s="978"/>
      <c r="H222" s="925" t="s">
        <v>1068</v>
      </c>
      <c r="I222" s="925" t="s">
        <v>428</v>
      </c>
      <c r="J222" s="925" t="s">
        <v>185</v>
      </c>
      <c r="K222" s="980">
        <v>43201</v>
      </c>
      <c r="L222" s="980">
        <v>43293</v>
      </c>
      <c r="M222" s="1453"/>
      <c r="N222" s="981"/>
      <c r="O222" s="981"/>
      <c r="P222" s="981"/>
      <c r="Q222" s="981"/>
      <c r="R222" s="980"/>
      <c r="S222" s="980"/>
      <c r="T222" s="980"/>
      <c r="U222" s="980"/>
      <c r="V222" s="981"/>
      <c r="W222" s="981"/>
      <c r="X222" s="981"/>
      <c r="Y222" s="988"/>
      <c r="Z222" s="980"/>
      <c r="AA222" s="980"/>
      <c r="AB222" s="988"/>
      <c r="AC222" s="988"/>
      <c r="AD222" s="988"/>
      <c r="AE222" s="988"/>
      <c r="AF222" s="640">
        <f ca="1" t="shared" si="27"/>
        <v>20.61546296296</v>
      </c>
      <c r="AG222" s="121" t="str">
        <f ca="1" t="shared" si="25"/>
        <v>WARNING</v>
      </c>
      <c r="AH222" s="1002">
        <v>2500000</v>
      </c>
      <c r="AI222" s="1002">
        <v>250000</v>
      </c>
      <c r="AJ222" s="1002" t="s">
        <v>583</v>
      </c>
      <c r="AK222" s="1459" t="s">
        <v>583</v>
      </c>
      <c r="AL222" s="1459" t="s">
        <v>583</v>
      </c>
      <c r="AM222" s="1459"/>
      <c r="AN222" s="1001" t="s">
        <v>583</v>
      </c>
      <c r="AO222" s="1459">
        <v>715000</v>
      </c>
      <c r="AP222" s="1001" t="s">
        <v>583</v>
      </c>
      <c r="AQ222" s="1001" t="s">
        <v>0</v>
      </c>
      <c r="AR222" s="1001" t="s">
        <v>48</v>
      </c>
      <c r="AS222" s="1001" t="s">
        <v>49</v>
      </c>
      <c r="AT222" s="925"/>
      <c r="AU222" s="285" t="s">
        <v>2232</v>
      </c>
      <c r="AV222" s="961"/>
      <c r="AW222" s="1012" t="s">
        <v>2233</v>
      </c>
      <c r="AX222" s="1009"/>
      <c r="AY222" s="1009"/>
      <c r="AZ222" s="1009"/>
      <c r="BA222" s="1009"/>
      <c r="BB222" s="127"/>
      <c r="BC222" s="164"/>
      <c r="BD222" s="1402"/>
    </row>
    <row r="223" s="873" customFormat="1" ht="14.1" customHeight="1" spans="2:56">
      <c r="B223" s="1532" t="s">
        <v>2234</v>
      </c>
      <c r="C223" s="164" t="s">
        <v>2235</v>
      </c>
      <c r="D223" s="164" t="s">
        <v>2236</v>
      </c>
      <c r="E223" s="975" t="s">
        <v>2237</v>
      </c>
      <c r="F223" s="978" t="s">
        <v>43</v>
      </c>
      <c r="G223" s="978" t="s">
        <v>254</v>
      </c>
      <c r="H223" s="925" t="s">
        <v>1343</v>
      </c>
      <c r="I223" s="925" t="s">
        <v>428</v>
      </c>
      <c r="J223" s="925" t="s">
        <v>208</v>
      </c>
      <c r="K223" s="980">
        <v>43203</v>
      </c>
      <c r="L223" s="980">
        <v>43281</v>
      </c>
      <c r="M223" s="1453"/>
      <c r="N223" s="981"/>
      <c r="O223" s="981"/>
      <c r="P223" s="981"/>
      <c r="Q223" s="981"/>
      <c r="R223" s="980"/>
      <c r="S223" s="980"/>
      <c r="T223" s="980"/>
      <c r="U223" s="980"/>
      <c r="V223" s="981"/>
      <c r="W223" s="981"/>
      <c r="X223" s="981"/>
      <c r="Y223" s="988"/>
      <c r="Z223" s="980"/>
      <c r="AA223" s="980"/>
      <c r="AB223" s="988"/>
      <c r="AC223" s="988"/>
      <c r="AD223" s="988"/>
      <c r="AE223" s="988"/>
      <c r="AF223" s="640">
        <f ca="1" t="shared" si="27"/>
        <v>8.61546296296001</v>
      </c>
      <c r="AG223" s="121" t="str">
        <f ca="1" t="shared" si="25"/>
        <v>WARNING</v>
      </c>
      <c r="AH223" s="1002">
        <v>4000000</v>
      </c>
      <c r="AI223" s="1002">
        <v>400000</v>
      </c>
      <c r="AJ223" s="1002" t="s">
        <v>583</v>
      </c>
      <c r="AK223" s="1459" t="s">
        <v>583</v>
      </c>
      <c r="AL223" s="1459" t="s">
        <v>583</v>
      </c>
      <c r="AM223" s="1459"/>
      <c r="AN223" s="1001" t="s">
        <v>583</v>
      </c>
      <c r="AO223" s="1459">
        <v>780000</v>
      </c>
      <c r="AP223" s="1001" t="s">
        <v>583</v>
      </c>
      <c r="AQ223" s="1001" t="s">
        <v>0</v>
      </c>
      <c r="AR223" s="1001" t="s">
        <v>48</v>
      </c>
      <c r="AS223" s="1001" t="s">
        <v>49</v>
      </c>
      <c r="AT223" s="925"/>
      <c r="AU223" s="285" t="s">
        <v>2238</v>
      </c>
      <c r="AV223" s="1537" t="s">
        <v>2239</v>
      </c>
      <c r="AW223" s="1539" t="s">
        <v>2240</v>
      </c>
      <c r="AX223" s="1537" t="s">
        <v>2241</v>
      </c>
      <c r="AY223" s="1009"/>
      <c r="AZ223" s="1538" t="s">
        <v>2242</v>
      </c>
      <c r="BA223" s="1538" t="s">
        <v>2243</v>
      </c>
      <c r="BB223" s="127" t="s">
        <v>2244</v>
      </c>
      <c r="BC223" s="164"/>
      <c r="BD223" s="1402"/>
    </row>
    <row r="224" s="1022" customFormat="1" ht="14.1" customHeight="1" spans="2:56">
      <c r="B224" s="1540" t="s">
        <v>2245</v>
      </c>
      <c r="C224" s="168" t="s">
        <v>2246</v>
      </c>
      <c r="D224" s="168" t="s">
        <v>2247</v>
      </c>
      <c r="E224" s="979" t="s">
        <v>2248</v>
      </c>
      <c r="F224" s="922" t="s">
        <v>43</v>
      </c>
      <c r="G224" s="922" t="s">
        <v>60</v>
      </c>
      <c r="H224" s="927" t="s">
        <v>2033</v>
      </c>
      <c r="I224" s="927" t="s">
        <v>428</v>
      </c>
      <c r="J224" s="927" t="s">
        <v>185</v>
      </c>
      <c r="K224" s="1246">
        <v>43185</v>
      </c>
      <c r="L224" s="1246">
        <v>43250</v>
      </c>
      <c r="M224" s="1270"/>
      <c r="N224" s="934"/>
      <c r="O224" s="934"/>
      <c r="P224" s="934"/>
      <c r="Q224" s="934"/>
      <c r="R224" s="1246"/>
      <c r="S224" s="1246"/>
      <c r="T224" s="1246"/>
      <c r="U224" s="1246"/>
      <c r="V224" s="934"/>
      <c r="W224" s="934"/>
      <c r="X224" s="934"/>
      <c r="Y224" s="989"/>
      <c r="Z224" s="1246"/>
      <c r="AA224" s="1246"/>
      <c r="AB224" s="989"/>
      <c r="AC224" s="989"/>
      <c r="AD224" s="989"/>
      <c r="AE224" s="989"/>
      <c r="AF224" s="641">
        <f ca="1" t="shared" si="27"/>
        <v>-22.38453703704</v>
      </c>
      <c r="AG224" s="187" t="str">
        <f ca="1" t="shared" ref="AG224:AG249" si="28">IF(AF224&lt;=40,"WARNING","ACTIVE")</f>
        <v>WARNING</v>
      </c>
      <c r="AH224" s="1006">
        <v>2765000</v>
      </c>
      <c r="AI224" s="1006">
        <v>150000</v>
      </c>
      <c r="AJ224" s="1006">
        <v>17000</v>
      </c>
      <c r="AK224" s="1468">
        <v>30000</v>
      </c>
      <c r="AL224" s="1468" t="s">
        <v>583</v>
      </c>
      <c r="AM224" s="1468"/>
      <c r="AN224" s="1321" t="s">
        <v>583</v>
      </c>
      <c r="AO224" s="1468" t="s">
        <v>583</v>
      </c>
      <c r="AP224" s="1321" t="s">
        <v>583</v>
      </c>
      <c r="AQ224" s="1321" t="s">
        <v>0</v>
      </c>
      <c r="AR224" s="1321" t="s">
        <v>48</v>
      </c>
      <c r="AS224" s="1321" t="s">
        <v>49</v>
      </c>
      <c r="AT224" s="927"/>
      <c r="AU224" s="290" t="s">
        <v>2249</v>
      </c>
      <c r="AV224" s="962"/>
      <c r="AW224" s="1014" t="s">
        <v>2250</v>
      </c>
      <c r="AX224" s="1542" t="s">
        <v>2251</v>
      </c>
      <c r="AY224" s="1542" t="s">
        <v>2252</v>
      </c>
      <c r="AZ224" s="963"/>
      <c r="BA224" s="963"/>
      <c r="BB224" s="229"/>
      <c r="BC224" s="168" t="s">
        <v>2253</v>
      </c>
      <c r="BD224" s="1324"/>
    </row>
    <row r="225" s="873" customFormat="1" ht="14.1" customHeight="1" spans="2:56">
      <c r="B225" s="1532" t="s">
        <v>2254</v>
      </c>
      <c r="C225" s="164" t="s">
        <v>2255</v>
      </c>
      <c r="D225" s="164" t="s">
        <v>2256</v>
      </c>
      <c r="E225" s="975" t="s">
        <v>2257</v>
      </c>
      <c r="F225" s="978" t="s">
        <v>43</v>
      </c>
      <c r="G225" s="978" t="s">
        <v>44</v>
      </c>
      <c r="H225" s="925" t="s">
        <v>1343</v>
      </c>
      <c r="I225" s="925" t="s">
        <v>428</v>
      </c>
      <c r="J225" s="925" t="s">
        <v>1503</v>
      </c>
      <c r="K225" s="980">
        <v>43209</v>
      </c>
      <c r="L225" s="980">
        <v>43391</v>
      </c>
      <c r="M225" s="1453"/>
      <c r="N225" s="981"/>
      <c r="O225" s="981"/>
      <c r="P225" s="981"/>
      <c r="Q225" s="981"/>
      <c r="R225" s="980"/>
      <c r="S225" s="980"/>
      <c r="T225" s="980"/>
      <c r="U225" s="980"/>
      <c r="V225" s="981"/>
      <c r="W225" s="981"/>
      <c r="X225" s="981"/>
      <c r="Y225" s="988"/>
      <c r="Z225" s="980"/>
      <c r="AA225" s="980"/>
      <c r="AB225" s="988"/>
      <c r="AC225" s="988"/>
      <c r="AD225" s="988"/>
      <c r="AE225" s="988"/>
      <c r="AF225" s="640">
        <f ca="1" t="shared" si="27"/>
        <v>118.61546296296</v>
      </c>
      <c r="AG225" s="121" t="str">
        <f ca="1" t="shared" si="28"/>
        <v>ACTIVE</v>
      </c>
      <c r="AH225" s="1002">
        <v>3000000</v>
      </c>
      <c r="AI225" s="1002">
        <v>250000</v>
      </c>
      <c r="AJ225" s="1002" t="s">
        <v>583</v>
      </c>
      <c r="AK225" s="1459"/>
      <c r="AL225" s="1459" t="s">
        <v>583</v>
      </c>
      <c r="AM225" s="1459">
        <v>500000</v>
      </c>
      <c r="AN225" s="1001"/>
      <c r="AO225" s="1459">
        <v>325000</v>
      </c>
      <c r="AP225" s="1001" t="s">
        <v>583</v>
      </c>
      <c r="AQ225" s="1001" t="s">
        <v>0</v>
      </c>
      <c r="AR225" s="1001" t="s">
        <v>48</v>
      </c>
      <c r="AS225" s="1001" t="s">
        <v>49</v>
      </c>
      <c r="AT225" s="925"/>
      <c r="AU225" s="285" t="s">
        <v>2258</v>
      </c>
      <c r="AV225" s="961"/>
      <c r="AW225" s="1012" t="s">
        <v>2259</v>
      </c>
      <c r="AX225" s="1538" t="s">
        <v>2260</v>
      </c>
      <c r="AY225" s="1009"/>
      <c r="AZ225" s="1009"/>
      <c r="BA225" s="1009"/>
      <c r="BB225" s="127"/>
      <c r="BC225" s="164"/>
      <c r="BD225" s="1402"/>
    </row>
    <row r="226" s="873" customFormat="1" ht="14.1" customHeight="1" spans="2:56">
      <c r="B226" s="1532" t="s">
        <v>2261</v>
      </c>
      <c r="C226" s="164" t="s">
        <v>2262</v>
      </c>
      <c r="D226" s="164" t="s">
        <v>2263</v>
      </c>
      <c r="E226" s="975" t="s">
        <v>2264</v>
      </c>
      <c r="F226" s="978" t="s">
        <v>43</v>
      </c>
      <c r="G226" s="978" t="s">
        <v>254</v>
      </c>
      <c r="H226" s="925" t="s">
        <v>2265</v>
      </c>
      <c r="I226" s="925" t="s">
        <v>428</v>
      </c>
      <c r="J226" s="925" t="s">
        <v>1241</v>
      </c>
      <c r="K226" s="980">
        <v>43213</v>
      </c>
      <c r="L226" s="980">
        <v>43404</v>
      </c>
      <c r="M226" s="1453"/>
      <c r="N226" s="981"/>
      <c r="O226" s="981"/>
      <c r="P226" s="981"/>
      <c r="Q226" s="981"/>
      <c r="R226" s="980"/>
      <c r="S226" s="980"/>
      <c r="T226" s="980"/>
      <c r="U226" s="980"/>
      <c r="V226" s="981"/>
      <c r="W226" s="981"/>
      <c r="X226" s="981"/>
      <c r="Y226" s="988"/>
      <c r="Z226" s="980"/>
      <c r="AA226" s="980"/>
      <c r="AB226" s="988"/>
      <c r="AC226" s="988"/>
      <c r="AD226" s="988"/>
      <c r="AE226" s="988"/>
      <c r="AF226" s="640">
        <f ca="1" t="shared" si="27"/>
        <v>131.61546296296</v>
      </c>
      <c r="AG226" s="121" t="str">
        <f ca="1" t="shared" si="28"/>
        <v>ACTIVE</v>
      </c>
      <c r="AH226" s="1002">
        <v>4500000</v>
      </c>
      <c r="AI226" s="1002">
        <v>400000</v>
      </c>
      <c r="AJ226" s="1002">
        <v>20000</v>
      </c>
      <c r="AK226" s="1459"/>
      <c r="AL226" s="1459">
        <v>500000</v>
      </c>
      <c r="AM226" s="1459">
        <v>500000</v>
      </c>
      <c r="AN226" s="1001"/>
      <c r="AO226" s="1459" t="s">
        <v>583</v>
      </c>
      <c r="AP226" s="1001">
        <v>2100000</v>
      </c>
      <c r="AQ226" s="1001" t="s">
        <v>0</v>
      </c>
      <c r="AR226" s="1001" t="s">
        <v>48</v>
      </c>
      <c r="AS226" s="1001" t="s">
        <v>49</v>
      </c>
      <c r="AT226" s="925"/>
      <c r="AU226" s="285" t="s">
        <v>2266</v>
      </c>
      <c r="AV226" s="1537" t="s">
        <v>2267</v>
      </c>
      <c r="AW226" s="1012" t="s">
        <v>2268</v>
      </c>
      <c r="AX226" s="1538" t="s">
        <v>2269</v>
      </c>
      <c r="AY226" s="1538" t="s">
        <v>2270</v>
      </c>
      <c r="AZ226" s="1009"/>
      <c r="BA226" s="1009"/>
      <c r="BB226" s="127" t="s">
        <v>2271</v>
      </c>
      <c r="BC226" s="164"/>
      <c r="BD226" s="1402"/>
    </row>
    <row r="227" s="873" customFormat="1" ht="14.1" customHeight="1" spans="2:56">
      <c r="B227" s="1532" t="s">
        <v>2272</v>
      </c>
      <c r="C227" s="164" t="s">
        <v>2273</v>
      </c>
      <c r="D227" s="164" t="s">
        <v>2274</v>
      </c>
      <c r="E227" s="975" t="s">
        <v>2275</v>
      </c>
      <c r="F227" s="978"/>
      <c r="G227" s="978"/>
      <c r="H227" s="925" t="s">
        <v>1852</v>
      </c>
      <c r="I227" s="925" t="s">
        <v>428</v>
      </c>
      <c r="J227" s="925" t="s">
        <v>2276</v>
      </c>
      <c r="K227" s="980">
        <v>43195</v>
      </c>
      <c r="L227" s="980">
        <v>43377</v>
      </c>
      <c r="M227" s="1453"/>
      <c r="N227" s="981"/>
      <c r="O227" s="981"/>
      <c r="P227" s="981"/>
      <c r="Q227" s="981"/>
      <c r="R227" s="980"/>
      <c r="S227" s="980"/>
      <c r="T227" s="980"/>
      <c r="U227" s="980"/>
      <c r="V227" s="981"/>
      <c r="W227" s="981"/>
      <c r="X227" s="981"/>
      <c r="Y227" s="988"/>
      <c r="Z227" s="980"/>
      <c r="AA227" s="980"/>
      <c r="AB227" s="988"/>
      <c r="AC227" s="988"/>
      <c r="AD227" s="988"/>
      <c r="AE227" s="988"/>
      <c r="AF227" s="640">
        <f ca="1" t="shared" si="27"/>
        <v>104.61546296296</v>
      </c>
      <c r="AG227" s="121" t="str">
        <f ca="1" t="shared" si="28"/>
        <v>ACTIVE</v>
      </c>
      <c r="AH227" s="1002">
        <v>2500000</v>
      </c>
      <c r="AI227" s="1002" t="s">
        <v>583</v>
      </c>
      <c r="AJ227" s="1002" t="s">
        <v>583</v>
      </c>
      <c r="AK227" s="1459"/>
      <c r="AL227" s="1459"/>
      <c r="AM227" s="1459" t="s">
        <v>583</v>
      </c>
      <c r="AN227" s="1001" t="s">
        <v>583</v>
      </c>
      <c r="AO227" s="1459" t="s">
        <v>583</v>
      </c>
      <c r="AP227" s="1001" t="s">
        <v>583</v>
      </c>
      <c r="AQ227" s="1001" t="s">
        <v>0</v>
      </c>
      <c r="AR227" s="1001" t="s">
        <v>48</v>
      </c>
      <c r="AS227" s="1001" t="s">
        <v>49</v>
      </c>
      <c r="AT227" s="925"/>
      <c r="AU227" s="285" t="s">
        <v>2277</v>
      </c>
      <c r="AV227" s="961"/>
      <c r="AW227" s="1012" t="s">
        <v>2278</v>
      </c>
      <c r="AX227" s="1009"/>
      <c r="AY227" s="1009"/>
      <c r="AZ227" s="1009"/>
      <c r="BA227" s="1009"/>
      <c r="BB227" s="127"/>
      <c r="BC227" s="164"/>
      <c r="BD227" s="1402"/>
    </row>
    <row r="228" s="873" customFormat="1" ht="14.1" customHeight="1" spans="2:56">
      <c r="B228" s="1532" t="s">
        <v>2279</v>
      </c>
      <c r="C228" s="164" t="s">
        <v>2280</v>
      </c>
      <c r="D228" s="164" t="s">
        <v>2281</v>
      </c>
      <c r="E228" s="975" t="s">
        <v>2282</v>
      </c>
      <c r="F228" s="978" t="s">
        <v>43</v>
      </c>
      <c r="G228" s="978" t="s">
        <v>44</v>
      </c>
      <c r="H228" s="925" t="s">
        <v>1793</v>
      </c>
      <c r="I228" s="925" t="s">
        <v>428</v>
      </c>
      <c r="J228" s="925" t="s">
        <v>185</v>
      </c>
      <c r="K228" s="980">
        <v>43198</v>
      </c>
      <c r="L228" s="980">
        <v>43281</v>
      </c>
      <c r="M228" s="1453"/>
      <c r="N228" s="981"/>
      <c r="O228" s="981"/>
      <c r="P228" s="981"/>
      <c r="Q228" s="981"/>
      <c r="R228" s="980"/>
      <c r="S228" s="980"/>
      <c r="T228" s="980"/>
      <c r="U228" s="980"/>
      <c r="V228" s="981"/>
      <c r="W228" s="981"/>
      <c r="X228" s="981"/>
      <c r="Y228" s="988"/>
      <c r="Z228" s="980"/>
      <c r="AA228" s="980"/>
      <c r="AB228" s="988"/>
      <c r="AC228" s="988"/>
      <c r="AD228" s="988"/>
      <c r="AE228" s="988"/>
      <c r="AF228" s="640">
        <f ca="1" t="shared" si="27"/>
        <v>8.61546296296001</v>
      </c>
      <c r="AG228" s="121" t="str">
        <f ca="1" t="shared" si="28"/>
        <v>WARNING</v>
      </c>
      <c r="AH228" s="1002">
        <v>2700000</v>
      </c>
      <c r="AI228" s="1002">
        <v>250000</v>
      </c>
      <c r="AJ228" s="1002" t="s">
        <v>583</v>
      </c>
      <c r="AK228" s="1459"/>
      <c r="AL228" s="1459"/>
      <c r="AM228" s="1459" t="s">
        <v>583</v>
      </c>
      <c r="AN228" s="1001" t="s">
        <v>583</v>
      </c>
      <c r="AO228" s="1459" t="s">
        <v>583</v>
      </c>
      <c r="AP228" s="1001" t="s">
        <v>583</v>
      </c>
      <c r="AQ228" s="1001" t="s">
        <v>0</v>
      </c>
      <c r="AR228" s="1001" t="s">
        <v>48</v>
      </c>
      <c r="AS228" s="1001" t="s">
        <v>49</v>
      </c>
      <c r="AT228" s="925"/>
      <c r="AU228" s="285" t="s">
        <v>2283</v>
      </c>
      <c r="AV228" s="1537" t="s">
        <v>2284</v>
      </c>
      <c r="AW228" s="1012" t="s">
        <v>2285</v>
      </c>
      <c r="AX228" s="1009"/>
      <c r="AY228" s="1009"/>
      <c r="AZ228" s="1009"/>
      <c r="BA228" s="1009"/>
      <c r="BB228" s="127" t="s">
        <v>2286</v>
      </c>
      <c r="BC228" s="164"/>
      <c r="BD228" s="1402"/>
    </row>
    <row r="229" s="873" customFormat="1" ht="14.1" customHeight="1" spans="2:56">
      <c r="B229" s="1532" t="s">
        <v>2287</v>
      </c>
      <c r="C229" s="164" t="s">
        <v>2288</v>
      </c>
      <c r="D229" s="164" t="s">
        <v>2289</v>
      </c>
      <c r="E229" s="975" t="s">
        <v>2290</v>
      </c>
      <c r="F229" s="978" t="s">
        <v>43</v>
      </c>
      <c r="G229" s="978" t="s">
        <v>60</v>
      </c>
      <c r="H229" s="925" t="s">
        <v>2044</v>
      </c>
      <c r="I229" s="925" t="s">
        <v>428</v>
      </c>
      <c r="J229" s="925" t="s">
        <v>2291</v>
      </c>
      <c r="K229" s="980">
        <v>43208</v>
      </c>
      <c r="L229" s="980">
        <v>43281</v>
      </c>
      <c r="M229" s="1453"/>
      <c r="N229" s="981"/>
      <c r="O229" s="981"/>
      <c r="P229" s="981"/>
      <c r="Q229" s="981"/>
      <c r="R229" s="980"/>
      <c r="S229" s="980"/>
      <c r="T229" s="980"/>
      <c r="U229" s="980"/>
      <c r="V229" s="981"/>
      <c r="W229" s="981"/>
      <c r="X229" s="981"/>
      <c r="Y229" s="988"/>
      <c r="Z229" s="980"/>
      <c r="AA229" s="980"/>
      <c r="AB229" s="988"/>
      <c r="AC229" s="988"/>
      <c r="AD229" s="988"/>
      <c r="AE229" s="988"/>
      <c r="AF229" s="640">
        <f ca="1" t="shared" si="27"/>
        <v>8.61546296296001</v>
      </c>
      <c r="AG229" s="121" t="str">
        <f ca="1" t="shared" si="28"/>
        <v>WARNING</v>
      </c>
      <c r="AH229" s="1002">
        <v>2700000</v>
      </c>
      <c r="AI229" s="1002">
        <v>150000</v>
      </c>
      <c r="AJ229" s="1002">
        <v>17000</v>
      </c>
      <c r="AK229" s="1459">
        <v>30000</v>
      </c>
      <c r="AL229" s="1459"/>
      <c r="AM229" s="1459" t="s">
        <v>583</v>
      </c>
      <c r="AN229" s="1001" t="s">
        <v>583</v>
      </c>
      <c r="AO229" s="1459" t="s">
        <v>583</v>
      </c>
      <c r="AP229" s="1001" t="s">
        <v>583</v>
      </c>
      <c r="AQ229" s="1001" t="s">
        <v>0</v>
      </c>
      <c r="AR229" s="1001" t="s">
        <v>48</v>
      </c>
      <c r="AS229" s="1001" t="s">
        <v>49</v>
      </c>
      <c r="AT229" s="925"/>
      <c r="AU229" s="285" t="s">
        <v>2292</v>
      </c>
      <c r="AV229" s="1537" t="s">
        <v>2293</v>
      </c>
      <c r="AW229" s="1539" t="s">
        <v>2294</v>
      </c>
      <c r="AX229" s="1538" t="s">
        <v>2295</v>
      </c>
      <c r="AY229" s="1009"/>
      <c r="AZ229" s="1009"/>
      <c r="BA229" s="1009"/>
      <c r="BB229" s="127" t="s">
        <v>2296</v>
      </c>
      <c r="BC229" s="164"/>
      <c r="BD229" s="1402"/>
    </row>
    <row r="230" s="873" customFormat="1" ht="14.1" customHeight="1" spans="2:56">
      <c r="B230" s="1532" t="s">
        <v>2297</v>
      </c>
      <c r="C230" s="164" t="s">
        <v>2298</v>
      </c>
      <c r="D230" s="164" t="s">
        <v>2299</v>
      </c>
      <c r="E230" s="975" t="s">
        <v>2300</v>
      </c>
      <c r="F230" s="978" t="s">
        <v>125</v>
      </c>
      <c r="G230" s="978"/>
      <c r="H230" s="925" t="s">
        <v>1300</v>
      </c>
      <c r="I230" s="925" t="s">
        <v>428</v>
      </c>
      <c r="J230" s="925" t="s">
        <v>1746</v>
      </c>
      <c r="K230" s="980">
        <v>43202</v>
      </c>
      <c r="L230" s="980">
        <v>43281</v>
      </c>
      <c r="M230" s="1453"/>
      <c r="N230" s="981"/>
      <c r="O230" s="981"/>
      <c r="P230" s="981"/>
      <c r="Q230" s="981"/>
      <c r="R230" s="980"/>
      <c r="S230" s="980"/>
      <c r="T230" s="980"/>
      <c r="U230" s="980"/>
      <c r="V230" s="981"/>
      <c r="W230" s="981"/>
      <c r="X230" s="981"/>
      <c r="Y230" s="988"/>
      <c r="Z230" s="980"/>
      <c r="AA230" s="980"/>
      <c r="AB230" s="988"/>
      <c r="AC230" s="988"/>
      <c r="AD230" s="988"/>
      <c r="AE230" s="988"/>
      <c r="AF230" s="640">
        <f ca="1" t="shared" si="27"/>
        <v>8.61546296296001</v>
      </c>
      <c r="AG230" s="121" t="str">
        <f ca="1" t="shared" si="28"/>
        <v>WARNING</v>
      </c>
      <c r="AH230" s="1002">
        <v>3750000</v>
      </c>
      <c r="AI230" s="1002">
        <v>250000</v>
      </c>
      <c r="AJ230" s="1002"/>
      <c r="AK230" s="1459"/>
      <c r="AL230" s="1459"/>
      <c r="AM230" s="1459">
        <v>500000</v>
      </c>
      <c r="AN230" s="1001" t="s">
        <v>583</v>
      </c>
      <c r="AO230" s="1459" t="s">
        <v>583</v>
      </c>
      <c r="AP230" s="1001" t="s">
        <v>583</v>
      </c>
      <c r="AQ230" s="1001" t="s">
        <v>0</v>
      </c>
      <c r="AR230" s="1001" t="s">
        <v>48</v>
      </c>
      <c r="AS230" s="1001" t="s">
        <v>49</v>
      </c>
      <c r="AT230" s="925"/>
      <c r="AU230" s="285" t="s">
        <v>2301</v>
      </c>
      <c r="AV230" s="961"/>
      <c r="AW230" s="1012"/>
      <c r="AX230" s="1538" t="s">
        <v>2302</v>
      </c>
      <c r="AY230" s="1009"/>
      <c r="AZ230" s="1009"/>
      <c r="BA230" s="1009"/>
      <c r="BB230" s="127"/>
      <c r="BC230" s="164"/>
      <c r="BD230" s="1402"/>
    </row>
    <row r="231" s="873" customFormat="1" ht="14.1" customHeight="1" spans="2:56">
      <c r="B231" s="1532" t="s">
        <v>2303</v>
      </c>
      <c r="C231" s="164" t="s">
        <v>2304</v>
      </c>
      <c r="D231" s="164" t="s">
        <v>2305</v>
      </c>
      <c r="E231" s="975" t="s">
        <v>2306</v>
      </c>
      <c r="F231" s="978" t="s">
        <v>43</v>
      </c>
      <c r="G231" s="978" t="s">
        <v>404</v>
      </c>
      <c r="H231" s="925" t="s">
        <v>1852</v>
      </c>
      <c r="I231" s="925" t="s">
        <v>428</v>
      </c>
      <c r="J231" s="925" t="s">
        <v>208</v>
      </c>
      <c r="K231" s="980">
        <v>43187</v>
      </c>
      <c r="L231" s="980">
        <v>43370</v>
      </c>
      <c r="M231" s="1453"/>
      <c r="N231" s="981"/>
      <c r="O231" s="981"/>
      <c r="P231" s="981"/>
      <c r="Q231" s="981"/>
      <c r="R231" s="980"/>
      <c r="S231" s="980"/>
      <c r="T231" s="980"/>
      <c r="U231" s="980"/>
      <c r="V231" s="981"/>
      <c r="W231" s="981"/>
      <c r="X231" s="981"/>
      <c r="Y231" s="988"/>
      <c r="Z231" s="980"/>
      <c r="AA231" s="980"/>
      <c r="AB231" s="988"/>
      <c r="AC231" s="988"/>
      <c r="AD231" s="988"/>
      <c r="AE231" s="988"/>
      <c r="AF231" s="640">
        <f ca="1" t="shared" si="27"/>
        <v>97.61546296296</v>
      </c>
      <c r="AG231" s="121" t="str">
        <f ca="1" t="shared" si="28"/>
        <v>ACTIVE</v>
      </c>
      <c r="AH231" s="1002">
        <v>4000000</v>
      </c>
      <c r="AI231" s="1002">
        <v>250000</v>
      </c>
      <c r="AJ231" s="1002">
        <v>20000</v>
      </c>
      <c r="AK231" s="1459"/>
      <c r="AL231" s="1459"/>
      <c r="AM231" s="1459">
        <v>500000</v>
      </c>
      <c r="AN231" s="1001" t="s">
        <v>583</v>
      </c>
      <c r="AO231" s="1459">
        <v>300000</v>
      </c>
      <c r="AP231" s="1001" t="s">
        <v>583</v>
      </c>
      <c r="AQ231" s="1001" t="s">
        <v>0</v>
      </c>
      <c r="AR231" s="1001" t="s">
        <v>48</v>
      </c>
      <c r="AS231" s="1001" t="s">
        <v>49</v>
      </c>
      <c r="AT231" s="925"/>
      <c r="AU231" s="285" t="s">
        <v>2307</v>
      </c>
      <c r="AV231" s="1537" t="s">
        <v>2308</v>
      </c>
      <c r="AW231" s="1012" t="s">
        <v>2309</v>
      </c>
      <c r="AX231" s="1538" t="s">
        <v>2310</v>
      </c>
      <c r="AY231" s="1538" t="s">
        <v>2311</v>
      </c>
      <c r="AZ231" s="1009"/>
      <c r="BA231" s="1009"/>
      <c r="BB231" s="127" t="s">
        <v>2312</v>
      </c>
      <c r="BC231" s="164"/>
      <c r="BD231" s="1402"/>
    </row>
    <row r="232" s="873" customFormat="1" ht="14.1" customHeight="1" spans="2:56">
      <c r="B232" s="1532" t="s">
        <v>2313</v>
      </c>
      <c r="C232" s="164" t="s">
        <v>2314</v>
      </c>
      <c r="D232" s="164" t="s">
        <v>2315</v>
      </c>
      <c r="E232" s="975" t="s">
        <v>2316</v>
      </c>
      <c r="F232" s="978" t="s">
        <v>43</v>
      </c>
      <c r="G232" s="978" t="s">
        <v>44</v>
      </c>
      <c r="H232" s="925" t="s">
        <v>1852</v>
      </c>
      <c r="I232" s="925" t="s">
        <v>428</v>
      </c>
      <c r="J232" s="925" t="s">
        <v>208</v>
      </c>
      <c r="K232" s="980">
        <v>43195</v>
      </c>
      <c r="L232" s="980">
        <v>43377</v>
      </c>
      <c r="M232" s="1453"/>
      <c r="N232" s="981"/>
      <c r="O232" s="981"/>
      <c r="P232" s="981"/>
      <c r="Q232" s="981"/>
      <c r="R232" s="980"/>
      <c r="S232" s="980"/>
      <c r="T232" s="980"/>
      <c r="U232" s="980"/>
      <c r="V232" s="981"/>
      <c r="W232" s="981"/>
      <c r="X232" s="981"/>
      <c r="Y232" s="988"/>
      <c r="Z232" s="980"/>
      <c r="AA232" s="980"/>
      <c r="AB232" s="988"/>
      <c r="AC232" s="988"/>
      <c r="AD232" s="988"/>
      <c r="AE232" s="988"/>
      <c r="AF232" s="640">
        <f ca="1" t="shared" si="27"/>
        <v>104.61546296296</v>
      </c>
      <c r="AG232" s="121" t="str">
        <f ca="1" t="shared" si="28"/>
        <v>ACTIVE</v>
      </c>
      <c r="AH232" s="1002">
        <v>4000000</v>
      </c>
      <c r="AI232" s="1002">
        <v>250000</v>
      </c>
      <c r="AJ232" s="1002">
        <v>20000</v>
      </c>
      <c r="AK232" s="1459"/>
      <c r="AL232" s="1459"/>
      <c r="AM232" s="1459">
        <v>500000</v>
      </c>
      <c r="AN232" s="1001" t="s">
        <v>583</v>
      </c>
      <c r="AO232" s="1459">
        <v>300000</v>
      </c>
      <c r="AP232" s="1001" t="s">
        <v>583</v>
      </c>
      <c r="AQ232" s="1001" t="s">
        <v>0</v>
      </c>
      <c r="AR232" s="1001" t="s">
        <v>48</v>
      </c>
      <c r="AS232" s="1001" t="s">
        <v>49</v>
      </c>
      <c r="AT232" s="925"/>
      <c r="AU232" s="285" t="s">
        <v>2317</v>
      </c>
      <c r="AV232" s="1537" t="s">
        <v>2318</v>
      </c>
      <c r="AW232" s="1012" t="s">
        <v>2319</v>
      </c>
      <c r="AX232" s="1538" t="s">
        <v>2320</v>
      </c>
      <c r="AY232" s="1009"/>
      <c r="AZ232" s="1009"/>
      <c r="BA232" s="1009"/>
      <c r="BB232" s="127" t="s">
        <v>2321</v>
      </c>
      <c r="BC232" s="164"/>
      <c r="BD232" s="1402"/>
    </row>
    <row r="233" s="873" customFormat="1" ht="14.1" customHeight="1" spans="2:56">
      <c r="B233" s="1532" t="s">
        <v>2322</v>
      </c>
      <c r="C233" s="164" t="s">
        <v>2323</v>
      </c>
      <c r="D233" s="164" t="s">
        <v>2324</v>
      </c>
      <c r="E233" s="975" t="s">
        <v>2325</v>
      </c>
      <c r="F233" s="978" t="s">
        <v>43</v>
      </c>
      <c r="G233" s="978" t="s">
        <v>44</v>
      </c>
      <c r="H233" s="925" t="s">
        <v>1852</v>
      </c>
      <c r="I233" s="925" t="s">
        <v>428</v>
      </c>
      <c r="J233" s="925" t="s">
        <v>185</v>
      </c>
      <c r="K233" s="980">
        <v>43195</v>
      </c>
      <c r="L233" s="980">
        <v>43377</v>
      </c>
      <c r="M233" s="1453"/>
      <c r="N233" s="981"/>
      <c r="O233" s="981"/>
      <c r="P233" s="981"/>
      <c r="Q233" s="981"/>
      <c r="R233" s="980"/>
      <c r="S233" s="980"/>
      <c r="T233" s="980"/>
      <c r="U233" s="980"/>
      <c r="V233" s="981"/>
      <c r="W233" s="981"/>
      <c r="X233" s="981"/>
      <c r="Y233" s="988"/>
      <c r="Z233" s="980"/>
      <c r="AA233" s="980"/>
      <c r="AB233" s="988"/>
      <c r="AC233" s="988"/>
      <c r="AD233" s="988"/>
      <c r="AE233" s="988"/>
      <c r="AF233" s="640">
        <f ca="1" t="shared" si="27"/>
        <v>104.61546296296</v>
      </c>
      <c r="AG233" s="121" t="str">
        <f ca="1" t="shared" si="28"/>
        <v>ACTIVE</v>
      </c>
      <c r="AH233" s="1002">
        <v>2765000</v>
      </c>
      <c r="AI233" s="1002">
        <v>150000</v>
      </c>
      <c r="AJ233" s="1002">
        <v>17000</v>
      </c>
      <c r="AK233" s="1459"/>
      <c r="AL233" s="1459"/>
      <c r="AM233" s="1459" t="s">
        <v>583</v>
      </c>
      <c r="AN233" s="1001" t="s">
        <v>583</v>
      </c>
      <c r="AO233" s="1459" t="s">
        <v>583</v>
      </c>
      <c r="AP233" s="1001" t="s">
        <v>583</v>
      </c>
      <c r="AQ233" s="1001" t="s">
        <v>0</v>
      </c>
      <c r="AR233" s="1001" t="s">
        <v>48</v>
      </c>
      <c r="AS233" s="1001" t="s">
        <v>49</v>
      </c>
      <c r="AT233" s="925"/>
      <c r="AU233" s="285" t="s">
        <v>2326</v>
      </c>
      <c r="AV233" s="1537" t="s">
        <v>2327</v>
      </c>
      <c r="AW233" s="1012" t="s">
        <v>2328</v>
      </c>
      <c r="AX233" s="1538" t="s">
        <v>2329</v>
      </c>
      <c r="AY233" s="1009"/>
      <c r="AZ233" s="1538" t="s">
        <v>2330</v>
      </c>
      <c r="BA233" s="1538" t="s">
        <v>2331</v>
      </c>
      <c r="BB233" s="127" t="s">
        <v>2332</v>
      </c>
      <c r="BC233" s="164"/>
      <c r="BD233" s="1402"/>
    </row>
    <row r="234" s="873" customFormat="1" ht="14.1" customHeight="1" spans="2:56">
      <c r="B234" s="1532" t="s">
        <v>2333</v>
      </c>
      <c r="C234" s="164" t="s">
        <v>2334</v>
      </c>
      <c r="D234" s="164" t="s">
        <v>2335</v>
      </c>
      <c r="E234" s="975" t="s">
        <v>2336</v>
      </c>
      <c r="F234" s="978" t="s">
        <v>125</v>
      </c>
      <c r="G234" s="978" t="s">
        <v>44</v>
      </c>
      <c r="H234" s="925" t="s">
        <v>1852</v>
      </c>
      <c r="I234" s="925" t="s">
        <v>428</v>
      </c>
      <c r="J234" s="925" t="s">
        <v>2337</v>
      </c>
      <c r="K234" s="980">
        <v>43208</v>
      </c>
      <c r="L234" s="980">
        <v>43390</v>
      </c>
      <c r="M234" s="1453"/>
      <c r="N234" s="981"/>
      <c r="O234" s="981"/>
      <c r="P234" s="981"/>
      <c r="Q234" s="981"/>
      <c r="R234" s="980"/>
      <c r="S234" s="980"/>
      <c r="T234" s="980"/>
      <c r="U234" s="980"/>
      <c r="V234" s="981"/>
      <c r="W234" s="981"/>
      <c r="X234" s="981"/>
      <c r="Y234" s="988"/>
      <c r="Z234" s="980"/>
      <c r="AA234" s="980"/>
      <c r="AB234" s="988"/>
      <c r="AC234" s="988"/>
      <c r="AD234" s="988"/>
      <c r="AE234" s="988"/>
      <c r="AF234" s="640">
        <f ca="1" t="shared" si="27"/>
        <v>117.61546296296</v>
      </c>
      <c r="AG234" s="121" t="str">
        <f ca="1" t="shared" si="28"/>
        <v>ACTIVE</v>
      </c>
      <c r="AH234" s="1002">
        <v>2800000</v>
      </c>
      <c r="AI234" s="1002">
        <v>100000</v>
      </c>
      <c r="AJ234" s="1002">
        <v>17000</v>
      </c>
      <c r="AK234" s="1459"/>
      <c r="AL234" s="1459"/>
      <c r="AM234" s="1459">
        <v>500000</v>
      </c>
      <c r="AN234" s="1001" t="s">
        <v>583</v>
      </c>
      <c r="AO234" s="1459" t="s">
        <v>583</v>
      </c>
      <c r="AP234" s="1001" t="s">
        <v>583</v>
      </c>
      <c r="AQ234" s="1001" t="s">
        <v>0</v>
      </c>
      <c r="AR234" s="1001" t="s">
        <v>48</v>
      </c>
      <c r="AS234" s="1001" t="s">
        <v>49</v>
      </c>
      <c r="AT234" s="925"/>
      <c r="AU234" s="285" t="s">
        <v>2338</v>
      </c>
      <c r="AV234" s="961"/>
      <c r="AW234" s="1012" t="s">
        <v>2339</v>
      </c>
      <c r="AX234" s="1538" t="s">
        <v>2340</v>
      </c>
      <c r="AY234" s="1009"/>
      <c r="AZ234" s="1009"/>
      <c r="BA234" s="1009"/>
      <c r="BB234" s="127"/>
      <c r="BC234" s="164"/>
      <c r="BD234" s="1402"/>
    </row>
    <row r="235" s="873" customFormat="1" ht="14.1" customHeight="1" spans="2:56">
      <c r="B235" s="1532" t="s">
        <v>2341</v>
      </c>
      <c r="C235" s="164" t="s">
        <v>2342</v>
      </c>
      <c r="D235" s="164" t="s">
        <v>2343</v>
      </c>
      <c r="E235" s="975" t="s">
        <v>2344</v>
      </c>
      <c r="F235" s="978" t="s">
        <v>43</v>
      </c>
      <c r="G235" s="978" t="s">
        <v>44</v>
      </c>
      <c r="H235" s="925" t="s">
        <v>1793</v>
      </c>
      <c r="I235" s="925" t="s">
        <v>428</v>
      </c>
      <c r="J235" s="925" t="s">
        <v>185</v>
      </c>
      <c r="K235" s="980">
        <v>43209</v>
      </c>
      <c r="L235" s="980">
        <v>43281</v>
      </c>
      <c r="M235" s="1453"/>
      <c r="N235" s="981" t="s">
        <v>583</v>
      </c>
      <c r="O235" s="981" t="s">
        <v>583</v>
      </c>
      <c r="P235" s="981" t="s">
        <v>583</v>
      </c>
      <c r="Q235" s="981" t="s">
        <v>583</v>
      </c>
      <c r="R235" s="980" t="s">
        <v>583</v>
      </c>
      <c r="S235" s="980" t="s">
        <v>583</v>
      </c>
      <c r="T235" s="980"/>
      <c r="U235" s="980"/>
      <c r="V235" s="981"/>
      <c r="W235" s="981"/>
      <c r="X235" s="981"/>
      <c r="Y235" s="988"/>
      <c r="Z235" s="980"/>
      <c r="AA235" s="980"/>
      <c r="AB235" s="988"/>
      <c r="AC235" s="988"/>
      <c r="AD235" s="988"/>
      <c r="AE235" s="988"/>
      <c r="AF235" s="640">
        <f ca="1" t="shared" si="27"/>
        <v>8.61546296296001</v>
      </c>
      <c r="AG235" s="121" t="str">
        <f ca="1" t="shared" si="28"/>
        <v>WARNING</v>
      </c>
      <c r="AH235" s="1002">
        <v>2700000</v>
      </c>
      <c r="AI235" s="1002">
        <v>250000</v>
      </c>
      <c r="AJ235" s="1002"/>
      <c r="AK235" s="1459"/>
      <c r="AL235" s="1459"/>
      <c r="AM235" s="1459"/>
      <c r="AN235" s="1001"/>
      <c r="AO235" s="1459"/>
      <c r="AP235" s="1001"/>
      <c r="AQ235" s="1001" t="s">
        <v>0</v>
      </c>
      <c r="AR235" s="1001" t="s">
        <v>48</v>
      </c>
      <c r="AS235" s="1001" t="s">
        <v>49</v>
      </c>
      <c r="AT235" s="925"/>
      <c r="AU235" s="285" t="s">
        <v>2345</v>
      </c>
      <c r="AV235" s="1537" t="s">
        <v>2346</v>
      </c>
      <c r="AW235" s="1012" t="s">
        <v>2347</v>
      </c>
      <c r="AX235" s="1538" t="s">
        <v>2348</v>
      </c>
      <c r="AY235" s="1009"/>
      <c r="AZ235" s="1009"/>
      <c r="BA235" s="1538" t="s">
        <v>2349</v>
      </c>
      <c r="BB235" s="127" t="s">
        <v>2350</v>
      </c>
      <c r="BC235" s="164"/>
      <c r="BD235" s="1402"/>
    </row>
    <row r="236" s="873" customFormat="1" ht="14.1" customHeight="1" spans="2:56">
      <c r="B236" s="1532" t="s">
        <v>2351</v>
      </c>
      <c r="C236" s="164" t="s">
        <v>2352</v>
      </c>
      <c r="D236" s="164" t="s">
        <v>2353</v>
      </c>
      <c r="E236" s="975" t="s">
        <v>2354</v>
      </c>
      <c r="F236" s="978" t="s">
        <v>43</v>
      </c>
      <c r="G236" s="978" t="s">
        <v>44</v>
      </c>
      <c r="H236" s="925" t="s">
        <v>1852</v>
      </c>
      <c r="I236" s="925" t="s">
        <v>428</v>
      </c>
      <c r="J236" s="925" t="s">
        <v>1746</v>
      </c>
      <c r="K236" s="980">
        <v>43216</v>
      </c>
      <c r="L236" s="980">
        <v>43398</v>
      </c>
      <c r="M236" s="1453"/>
      <c r="N236" s="981"/>
      <c r="O236" s="981"/>
      <c r="P236" s="981"/>
      <c r="Q236" s="981"/>
      <c r="R236" s="980"/>
      <c r="S236" s="980"/>
      <c r="T236" s="980"/>
      <c r="U236" s="980"/>
      <c r="V236" s="981"/>
      <c r="W236" s="981"/>
      <c r="X236" s="981"/>
      <c r="Y236" s="988"/>
      <c r="Z236" s="980"/>
      <c r="AA236" s="980"/>
      <c r="AB236" s="988"/>
      <c r="AC236" s="988"/>
      <c r="AD236" s="988"/>
      <c r="AE236" s="988"/>
      <c r="AF236" s="640">
        <f ca="1" t="shared" si="27"/>
        <v>125.61546296296</v>
      </c>
      <c r="AG236" s="121" t="str">
        <f ca="1" t="shared" si="28"/>
        <v>ACTIVE</v>
      </c>
      <c r="AH236" s="1002">
        <v>2800000</v>
      </c>
      <c r="AI236" s="1002">
        <v>100000</v>
      </c>
      <c r="AJ236" s="1002">
        <v>17000</v>
      </c>
      <c r="AK236" s="1459"/>
      <c r="AL236" s="1459"/>
      <c r="AM236" s="1459">
        <v>500000</v>
      </c>
      <c r="AN236" s="1001" t="s">
        <v>583</v>
      </c>
      <c r="AO236" s="1459" t="s">
        <v>583</v>
      </c>
      <c r="AP236" s="1001" t="s">
        <v>583</v>
      </c>
      <c r="AQ236" s="1001" t="s">
        <v>0</v>
      </c>
      <c r="AR236" s="1001" t="s">
        <v>48</v>
      </c>
      <c r="AS236" s="1001" t="s">
        <v>49</v>
      </c>
      <c r="AT236" s="925"/>
      <c r="AU236" s="285" t="s">
        <v>2355</v>
      </c>
      <c r="AV236" s="1537" t="s">
        <v>2356</v>
      </c>
      <c r="AW236" s="1012" t="s">
        <v>2357</v>
      </c>
      <c r="AX236" s="1538" t="s">
        <v>2358</v>
      </c>
      <c r="AY236" s="1009"/>
      <c r="AZ236" s="1009"/>
      <c r="BA236" s="1009"/>
      <c r="BB236" s="127" t="s">
        <v>2359</v>
      </c>
      <c r="BC236" s="164"/>
      <c r="BD236" s="1402"/>
    </row>
    <row r="237" s="873" customFormat="1" ht="14.1" customHeight="1" spans="2:56">
      <c r="B237" s="1532" t="s">
        <v>2360</v>
      </c>
      <c r="C237" s="164" t="s">
        <v>2361</v>
      </c>
      <c r="D237" s="164" t="s">
        <v>2362</v>
      </c>
      <c r="E237" s="975" t="s">
        <v>2363</v>
      </c>
      <c r="F237" s="978"/>
      <c r="G237" s="978"/>
      <c r="H237" s="925" t="s">
        <v>1300</v>
      </c>
      <c r="I237" s="925" t="s">
        <v>428</v>
      </c>
      <c r="J237" s="925" t="s">
        <v>185</v>
      </c>
      <c r="K237" s="980">
        <v>43200</v>
      </c>
      <c r="L237" s="980">
        <v>43281</v>
      </c>
      <c r="M237" s="1453"/>
      <c r="N237" s="981"/>
      <c r="O237" s="981"/>
      <c r="P237" s="981"/>
      <c r="Q237" s="981"/>
      <c r="R237" s="980"/>
      <c r="S237" s="980"/>
      <c r="T237" s="980"/>
      <c r="U237" s="980"/>
      <c r="V237" s="981"/>
      <c r="W237" s="981"/>
      <c r="X237" s="981"/>
      <c r="Y237" s="988"/>
      <c r="Z237" s="980"/>
      <c r="AA237" s="980"/>
      <c r="AB237" s="988"/>
      <c r="AC237" s="988"/>
      <c r="AD237" s="988"/>
      <c r="AE237" s="988"/>
      <c r="AF237" s="640">
        <f ca="1" t="shared" si="27"/>
        <v>8.61546296296001</v>
      </c>
      <c r="AG237" s="121" t="str">
        <f ca="1" t="shared" si="28"/>
        <v>WARNING</v>
      </c>
      <c r="AH237" s="1002">
        <v>2750000</v>
      </c>
      <c r="AI237" s="1002">
        <v>250000</v>
      </c>
      <c r="AJ237" s="1002"/>
      <c r="AK237" s="1459" t="s">
        <v>583</v>
      </c>
      <c r="AL237" s="1459" t="s">
        <v>583</v>
      </c>
      <c r="AM237" s="1459" t="s">
        <v>583</v>
      </c>
      <c r="AN237" s="1001" t="s">
        <v>583</v>
      </c>
      <c r="AO237" s="1459" t="s">
        <v>583</v>
      </c>
      <c r="AP237" s="1001" t="s">
        <v>583</v>
      </c>
      <c r="AQ237" s="1001" t="s">
        <v>0</v>
      </c>
      <c r="AR237" s="1001" t="s">
        <v>48</v>
      </c>
      <c r="AS237" s="1001" t="s">
        <v>49</v>
      </c>
      <c r="AT237" s="925"/>
      <c r="AU237" s="285" t="s">
        <v>2364</v>
      </c>
      <c r="AV237" s="961"/>
      <c r="AW237" s="1012" t="s">
        <v>2365</v>
      </c>
      <c r="AX237" s="1009"/>
      <c r="AY237" s="1009"/>
      <c r="AZ237" s="1009"/>
      <c r="BA237" s="1009"/>
      <c r="BB237" s="127"/>
      <c r="BC237" s="164"/>
      <c r="BD237" s="1402"/>
    </row>
    <row r="238" s="873" customFormat="1" ht="14.1" customHeight="1" spans="2:56">
      <c r="B238" s="1532" t="s">
        <v>2366</v>
      </c>
      <c r="C238" s="164" t="s">
        <v>2367</v>
      </c>
      <c r="D238" s="164" t="s">
        <v>2368</v>
      </c>
      <c r="E238" s="975" t="s">
        <v>2369</v>
      </c>
      <c r="F238" s="978" t="s">
        <v>43</v>
      </c>
      <c r="G238" s="978" t="s">
        <v>404</v>
      </c>
      <c r="H238" s="925" t="s">
        <v>2265</v>
      </c>
      <c r="I238" s="925" t="s">
        <v>428</v>
      </c>
      <c r="J238" s="925" t="s">
        <v>1241</v>
      </c>
      <c r="K238" s="980">
        <v>43220</v>
      </c>
      <c r="L238" s="980">
        <v>43310</v>
      </c>
      <c r="M238" s="1453"/>
      <c r="N238" s="981"/>
      <c r="O238" s="981"/>
      <c r="P238" s="981"/>
      <c r="Q238" s="981"/>
      <c r="R238" s="980"/>
      <c r="S238" s="980"/>
      <c r="T238" s="980"/>
      <c r="U238" s="980"/>
      <c r="V238" s="981"/>
      <c r="W238" s="981"/>
      <c r="X238" s="981"/>
      <c r="Y238" s="988"/>
      <c r="Z238" s="980"/>
      <c r="AA238" s="980"/>
      <c r="AB238" s="988"/>
      <c r="AC238" s="988"/>
      <c r="AD238" s="988"/>
      <c r="AE238" s="988"/>
      <c r="AF238" s="640">
        <f ca="1" t="shared" si="27"/>
        <v>37.61546296296</v>
      </c>
      <c r="AG238" s="121" t="str">
        <f ca="1" t="shared" si="28"/>
        <v>WARNING</v>
      </c>
      <c r="AH238" s="1002">
        <v>4500000</v>
      </c>
      <c r="AI238" s="1002">
        <v>400000</v>
      </c>
      <c r="AJ238" s="1002">
        <v>20000</v>
      </c>
      <c r="AK238" s="1459"/>
      <c r="AL238" s="1459">
        <v>500000</v>
      </c>
      <c r="AM238" s="1459">
        <v>500000</v>
      </c>
      <c r="AN238" s="1001" t="s">
        <v>583</v>
      </c>
      <c r="AO238" s="1459" t="s">
        <v>583</v>
      </c>
      <c r="AP238" s="1001" t="s">
        <v>583</v>
      </c>
      <c r="AQ238" s="1001" t="s">
        <v>0</v>
      </c>
      <c r="AR238" s="1001" t="s">
        <v>48</v>
      </c>
      <c r="AS238" s="1001" t="s">
        <v>49</v>
      </c>
      <c r="AT238" s="925"/>
      <c r="AU238" s="285" t="s">
        <v>2370</v>
      </c>
      <c r="AV238" s="1537" t="s">
        <v>2371</v>
      </c>
      <c r="AW238" s="1012" t="s">
        <v>2372</v>
      </c>
      <c r="AX238" s="1538" t="s">
        <v>2373</v>
      </c>
      <c r="AY238" s="1009"/>
      <c r="AZ238" s="1009"/>
      <c r="BA238" s="1538" t="s">
        <v>2374</v>
      </c>
      <c r="BB238" s="127" t="s">
        <v>2375</v>
      </c>
      <c r="BC238" s="164"/>
      <c r="BD238" s="1402"/>
    </row>
    <row r="239" s="1022" customFormat="1" ht="14.1" customHeight="1" spans="2:56">
      <c r="B239" s="1540" t="s">
        <v>2376</v>
      </c>
      <c r="C239" s="168" t="s">
        <v>2377</v>
      </c>
      <c r="D239" s="168" t="s">
        <v>2378</v>
      </c>
      <c r="E239" s="979" t="s">
        <v>2379</v>
      </c>
      <c r="F239" s="922"/>
      <c r="G239" s="922" t="s">
        <v>583</v>
      </c>
      <c r="H239" s="927" t="s">
        <v>2033</v>
      </c>
      <c r="I239" s="927" t="s">
        <v>428</v>
      </c>
      <c r="J239" s="927" t="s">
        <v>185</v>
      </c>
      <c r="K239" s="1246">
        <v>43185</v>
      </c>
      <c r="L239" s="1246">
        <v>43250</v>
      </c>
      <c r="M239" s="1270" t="s">
        <v>583</v>
      </c>
      <c r="N239" s="934" t="s">
        <v>583</v>
      </c>
      <c r="O239" s="934" t="s">
        <v>583</v>
      </c>
      <c r="P239" s="934" t="s">
        <v>583</v>
      </c>
      <c r="Q239" s="934" t="s">
        <v>583</v>
      </c>
      <c r="R239" s="1246" t="s">
        <v>583</v>
      </c>
      <c r="S239" s="1246" t="s">
        <v>583</v>
      </c>
      <c r="T239" s="1246"/>
      <c r="U239" s="1246"/>
      <c r="V239" s="934"/>
      <c r="W239" s="934"/>
      <c r="X239" s="934"/>
      <c r="Y239" s="989"/>
      <c r="Z239" s="1246"/>
      <c r="AA239" s="1246"/>
      <c r="AB239" s="989"/>
      <c r="AC239" s="989"/>
      <c r="AD239" s="989"/>
      <c r="AE239" s="989"/>
      <c r="AF239" s="641">
        <f ca="1" t="shared" si="27"/>
        <v>-22.38453703704</v>
      </c>
      <c r="AG239" s="187" t="str">
        <f ca="1" t="shared" si="28"/>
        <v>WARNING</v>
      </c>
      <c r="AH239" s="1006">
        <v>2765000</v>
      </c>
      <c r="AI239" s="1006">
        <v>150000</v>
      </c>
      <c r="AJ239" s="1006">
        <v>17000</v>
      </c>
      <c r="AK239" s="1468"/>
      <c r="AL239" s="1468"/>
      <c r="AM239" s="1468"/>
      <c r="AN239" s="1321"/>
      <c r="AO239" s="1468"/>
      <c r="AP239" s="1321"/>
      <c r="AQ239" s="1321" t="s">
        <v>0</v>
      </c>
      <c r="AR239" s="1321" t="s">
        <v>48</v>
      </c>
      <c r="AS239" s="1321" t="s">
        <v>49</v>
      </c>
      <c r="AT239" s="927"/>
      <c r="AU239" s="290" t="s">
        <v>2111</v>
      </c>
      <c r="AV239" s="1541" t="s">
        <v>2380</v>
      </c>
      <c r="AW239" s="1014"/>
      <c r="AX239" s="1542" t="s">
        <v>2381</v>
      </c>
      <c r="AY239" s="963"/>
      <c r="AZ239" s="963"/>
      <c r="BA239" s="963"/>
      <c r="BB239" s="229"/>
      <c r="BC239" s="168" t="s">
        <v>2114</v>
      </c>
      <c r="BD239" s="1324"/>
    </row>
    <row r="240" s="873" customFormat="1" ht="14.1" customHeight="1" spans="2:56">
      <c r="B240" s="1532" t="s">
        <v>2382</v>
      </c>
      <c r="C240" s="164" t="s">
        <v>2383</v>
      </c>
      <c r="D240" s="164" t="s">
        <v>2384</v>
      </c>
      <c r="E240" s="975" t="s">
        <v>2385</v>
      </c>
      <c r="F240" s="978"/>
      <c r="G240" s="978" t="s">
        <v>583</v>
      </c>
      <c r="H240" s="925" t="s">
        <v>2033</v>
      </c>
      <c r="I240" s="925" t="s">
        <v>428</v>
      </c>
      <c r="J240" s="925" t="s">
        <v>185</v>
      </c>
      <c r="K240" s="980">
        <v>43185</v>
      </c>
      <c r="L240" s="980">
        <v>43250</v>
      </c>
      <c r="M240" s="1455">
        <v>43343</v>
      </c>
      <c r="N240" s="981" t="s">
        <v>583</v>
      </c>
      <c r="O240" s="981" t="s">
        <v>583</v>
      </c>
      <c r="P240" s="981" t="s">
        <v>583</v>
      </c>
      <c r="Q240" s="981" t="s">
        <v>583</v>
      </c>
      <c r="R240" s="980" t="s">
        <v>583</v>
      </c>
      <c r="S240" s="980" t="s">
        <v>583</v>
      </c>
      <c r="T240" s="980"/>
      <c r="U240" s="980"/>
      <c r="V240" s="981"/>
      <c r="W240" s="981"/>
      <c r="X240" s="981"/>
      <c r="Y240" s="988"/>
      <c r="Z240" s="980"/>
      <c r="AA240" s="980"/>
      <c r="AB240" s="988"/>
      <c r="AC240" s="988"/>
      <c r="AD240" s="988"/>
      <c r="AE240" s="988"/>
      <c r="AF240" s="640">
        <f ca="1" t="shared" si="27"/>
        <v>-22.38453703704</v>
      </c>
      <c r="AG240" s="121" t="str">
        <f ca="1" t="shared" si="28"/>
        <v>WARNING</v>
      </c>
      <c r="AH240" s="1002">
        <v>2765000</v>
      </c>
      <c r="AI240" s="1002">
        <v>150000</v>
      </c>
      <c r="AJ240" s="1002">
        <v>17000</v>
      </c>
      <c r="AK240" s="1459"/>
      <c r="AL240" s="1459"/>
      <c r="AM240" s="1459"/>
      <c r="AN240" s="1001"/>
      <c r="AO240" s="1459"/>
      <c r="AP240" s="1001"/>
      <c r="AQ240" s="1001" t="s">
        <v>0</v>
      </c>
      <c r="AR240" s="1001" t="s">
        <v>48</v>
      </c>
      <c r="AS240" s="1001" t="s">
        <v>49</v>
      </c>
      <c r="AT240" s="925"/>
      <c r="AU240" s="285" t="s">
        <v>2386</v>
      </c>
      <c r="AV240" s="1537" t="s">
        <v>2387</v>
      </c>
      <c r="AW240" s="1012"/>
      <c r="AX240" s="1538" t="s">
        <v>2388</v>
      </c>
      <c r="AY240" s="1009"/>
      <c r="AZ240" s="1009"/>
      <c r="BA240" s="1009"/>
      <c r="BB240" s="127"/>
      <c r="BC240" s="164"/>
      <c r="BD240" s="1402"/>
    </row>
    <row r="241" s="1022" customFormat="1" ht="14.1" customHeight="1" spans="2:56">
      <c r="B241" s="1540" t="s">
        <v>2389</v>
      </c>
      <c r="C241" s="168" t="s">
        <v>2390</v>
      </c>
      <c r="D241" s="168" t="s">
        <v>2391</v>
      </c>
      <c r="E241" s="979" t="s">
        <v>2392</v>
      </c>
      <c r="F241" s="922" t="s">
        <v>125</v>
      </c>
      <c r="G241" s="922" t="s">
        <v>44</v>
      </c>
      <c r="H241" s="927" t="s">
        <v>1343</v>
      </c>
      <c r="I241" s="927" t="s">
        <v>428</v>
      </c>
      <c r="J241" s="927" t="s">
        <v>2393</v>
      </c>
      <c r="K241" s="1246">
        <v>43231</v>
      </c>
      <c r="L241" s="1246">
        <v>43434</v>
      </c>
      <c r="M241" s="1270"/>
      <c r="N241" s="934"/>
      <c r="O241" s="934"/>
      <c r="P241" s="934"/>
      <c r="Q241" s="934"/>
      <c r="R241" s="1246"/>
      <c r="S241" s="1246"/>
      <c r="T241" s="1246"/>
      <c r="U241" s="1246"/>
      <c r="V241" s="934"/>
      <c r="W241" s="934"/>
      <c r="X241" s="934"/>
      <c r="Y241" s="989"/>
      <c r="Z241" s="1246"/>
      <c r="AA241" s="1246"/>
      <c r="AB241" s="989"/>
      <c r="AC241" s="989"/>
      <c r="AD241" s="989"/>
      <c r="AE241" s="989"/>
      <c r="AF241" s="641">
        <f ca="1" t="shared" si="27"/>
        <v>161.61546296296</v>
      </c>
      <c r="AG241" s="187" t="str">
        <f ca="1" t="shared" si="28"/>
        <v>ACTIVE</v>
      </c>
      <c r="AH241" s="1006">
        <v>3200000</v>
      </c>
      <c r="AI241" s="1006">
        <v>250000</v>
      </c>
      <c r="AJ241" s="1006" t="s">
        <v>583</v>
      </c>
      <c r="AK241" s="1468"/>
      <c r="AL241" s="1468"/>
      <c r="AM241" s="1468">
        <v>500000</v>
      </c>
      <c r="AN241" s="1321" t="s">
        <v>583</v>
      </c>
      <c r="AO241" s="1468">
        <v>325000</v>
      </c>
      <c r="AP241" s="1321" t="s">
        <v>583</v>
      </c>
      <c r="AQ241" s="1321" t="s">
        <v>0</v>
      </c>
      <c r="AR241" s="1321" t="s">
        <v>48</v>
      </c>
      <c r="AS241" s="1321" t="s">
        <v>49</v>
      </c>
      <c r="AT241" s="927"/>
      <c r="AU241" s="290" t="s">
        <v>2394</v>
      </c>
      <c r="AV241" s="962"/>
      <c r="AW241" s="1014" t="s">
        <v>2395</v>
      </c>
      <c r="AX241" s="1542" t="s">
        <v>2396</v>
      </c>
      <c r="AY241" s="963"/>
      <c r="AZ241" s="963"/>
      <c r="BA241" s="963"/>
      <c r="BB241" s="229" t="s">
        <v>2397</v>
      </c>
      <c r="BC241" s="168" t="s">
        <v>2398</v>
      </c>
      <c r="BD241" s="1324"/>
    </row>
    <row r="242" s="873" customFormat="1" ht="14.1" customHeight="1" spans="2:56">
      <c r="B242" s="1532" t="s">
        <v>2399</v>
      </c>
      <c r="C242" s="164" t="s">
        <v>2400</v>
      </c>
      <c r="D242" s="164" t="s">
        <v>2401</v>
      </c>
      <c r="E242" s="975" t="s">
        <v>2402</v>
      </c>
      <c r="F242" s="978" t="s">
        <v>43</v>
      </c>
      <c r="G242" s="978" t="s">
        <v>44</v>
      </c>
      <c r="H242" s="925" t="s">
        <v>1343</v>
      </c>
      <c r="I242" s="925" t="s">
        <v>428</v>
      </c>
      <c r="J242" s="925" t="s">
        <v>185</v>
      </c>
      <c r="K242" s="980">
        <v>43229</v>
      </c>
      <c r="L242" s="980">
        <v>43343</v>
      </c>
      <c r="M242" s="1453"/>
      <c r="N242" s="981"/>
      <c r="O242" s="981"/>
      <c r="P242" s="981"/>
      <c r="Q242" s="981"/>
      <c r="R242" s="980"/>
      <c r="S242" s="980"/>
      <c r="T242" s="980"/>
      <c r="U242" s="980"/>
      <c r="V242" s="981"/>
      <c r="W242" s="981"/>
      <c r="X242" s="981"/>
      <c r="Y242" s="988"/>
      <c r="Z242" s="980"/>
      <c r="AA242" s="980"/>
      <c r="AB242" s="988"/>
      <c r="AC242" s="988"/>
      <c r="AD242" s="988"/>
      <c r="AE242" s="988"/>
      <c r="AF242" s="640">
        <f ca="1" t="shared" si="27"/>
        <v>70.61546296296</v>
      </c>
      <c r="AG242" s="121" t="str">
        <f ca="1" t="shared" si="28"/>
        <v>ACTIVE</v>
      </c>
      <c r="AH242" s="1002">
        <v>2800000</v>
      </c>
      <c r="AI242" s="1002">
        <v>250000</v>
      </c>
      <c r="AJ242" s="1002" t="s">
        <v>583</v>
      </c>
      <c r="AK242" s="1459"/>
      <c r="AL242" s="1459"/>
      <c r="AM242" s="1459" t="s">
        <v>583</v>
      </c>
      <c r="AN242" s="1001" t="s">
        <v>583</v>
      </c>
      <c r="AO242" s="1459">
        <v>520000</v>
      </c>
      <c r="AP242" s="1001" t="s">
        <v>583</v>
      </c>
      <c r="AQ242" s="1001" t="s">
        <v>0</v>
      </c>
      <c r="AR242" s="1001" t="s">
        <v>48</v>
      </c>
      <c r="AS242" s="1001" t="s">
        <v>49</v>
      </c>
      <c r="AT242" s="925"/>
      <c r="AU242" s="285" t="s">
        <v>2403</v>
      </c>
      <c r="AV242" s="1537" t="s">
        <v>2404</v>
      </c>
      <c r="AW242" s="1012" t="s">
        <v>2405</v>
      </c>
      <c r="AX242" s="1538" t="s">
        <v>2406</v>
      </c>
      <c r="AY242" s="1009"/>
      <c r="AZ242" s="1009"/>
      <c r="BA242" s="1009"/>
      <c r="BB242" s="127" t="s">
        <v>2407</v>
      </c>
      <c r="BC242" s="164"/>
      <c r="BD242" s="1402"/>
    </row>
    <row r="243" s="873" customFormat="1" ht="14.1" customHeight="1" spans="2:56">
      <c r="B243" s="1532" t="s">
        <v>2408</v>
      </c>
      <c r="C243" s="164" t="s">
        <v>2409</v>
      </c>
      <c r="D243" s="164" t="s">
        <v>2410</v>
      </c>
      <c r="E243" s="975" t="s">
        <v>2411</v>
      </c>
      <c r="F243" s="978" t="s">
        <v>43</v>
      </c>
      <c r="G243" s="978" t="s">
        <v>44</v>
      </c>
      <c r="H243" s="925" t="s">
        <v>1343</v>
      </c>
      <c r="I243" s="925" t="s">
        <v>428</v>
      </c>
      <c r="J243" s="925" t="s">
        <v>185</v>
      </c>
      <c r="K243" s="980">
        <v>43229</v>
      </c>
      <c r="L243" s="980">
        <v>43343</v>
      </c>
      <c r="M243" s="1453"/>
      <c r="N243" s="981"/>
      <c r="O243" s="981"/>
      <c r="P243" s="981"/>
      <c r="Q243" s="981"/>
      <c r="R243" s="980"/>
      <c r="S243" s="980"/>
      <c r="T243" s="980"/>
      <c r="U243" s="980"/>
      <c r="V243" s="981"/>
      <c r="W243" s="981"/>
      <c r="X243" s="981"/>
      <c r="Y243" s="988"/>
      <c r="Z243" s="980"/>
      <c r="AA243" s="980"/>
      <c r="AB243" s="988"/>
      <c r="AC243" s="988"/>
      <c r="AD243" s="988"/>
      <c r="AE243" s="988"/>
      <c r="AF243" s="640">
        <f ca="1" t="shared" si="27"/>
        <v>70.61546296296</v>
      </c>
      <c r="AG243" s="121" t="str">
        <f ca="1" t="shared" si="28"/>
        <v>ACTIVE</v>
      </c>
      <c r="AH243" s="1002">
        <v>2800000</v>
      </c>
      <c r="AI243" s="1002">
        <v>250000</v>
      </c>
      <c r="AJ243" s="1002" t="s">
        <v>583</v>
      </c>
      <c r="AK243" s="1459"/>
      <c r="AL243" s="1459"/>
      <c r="AM243" s="1459" t="s">
        <v>583</v>
      </c>
      <c r="AN243" s="1001" t="s">
        <v>583</v>
      </c>
      <c r="AO243" s="1459">
        <v>520000</v>
      </c>
      <c r="AP243" s="1001" t="s">
        <v>583</v>
      </c>
      <c r="AQ243" s="1001" t="s">
        <v>0</v>
      </c>
      <c r="AR243" s="1001" t="s">
        <v>48</v>
      </c>
      <c r="AS243" s="1001" t="s">
        <v>49</v>
      </c>
      <c r="AT243" s="925"/>
      <c r="AU243" s="285" t="s">
        <v>2412</v>
      </c>
      <c r="AV243" s="1537" t="s">
        <v>2413</v>
      </c>
      <c r="AW243" s="1012" t="s">
        <v>2414</v>
      </c>
      <c r="AX243" s="1538" t="s">
        <v>2415</v>
      </c>
      <c r="AY243" s="1538" t="s">
        <v>2416</v>
      </c>
      <c r="AZ243" s="1009"/>
      <c r="BA243" s="1009"/>
      <c r="BB243" s="127"/>
      <c r="BC243" s="164"/>
      <c r="BD243" s="1402"/>
    </row>
    <row r="244" s="873" customFormat="1" ht="14.1" customHeight="1" spans="2:56">
      <c r="B244" s="1532" t="s">
        <v>2417</v>
      </c>
      <c r="C244" s="164" t="s">
        <v>2418</v>
      </c>
      <c r="D244" s="164" t="s">
        <v>2419</v>
      </c>
      <c r="E244" s="975" t="s">
        <v>2420</v>
      </c>
      <c r="F244" s="978" t="s">
        <v>43</v>
      </c>
      <c r="G244" s="978" t="s">
        <v>44</v>
      </c>
      <c r="H244" s="925" t="s">
        <v>1343</v>
      </c>
      <c r="I244" s="925" t="s">
        <v>428</v>
      </c>
      <c r="J244" s="925" t="s">
        <v>61</v>
      </c>
      <c r="K244" s="980">
        <v>43229</v>
      </c>
      <c r="L244" s="980">
        <v>43343</v>
      </c>
      <c r="M244" s="1453"/>
      <c r="N244" s="981"/>
      <c r="O244" s="981"/>
      <c r="P244" s="981"/>
      <c r="Q244" s="981"/>
      <c r="R244" s="980"/>
      <c r="S244" s="980"/>
      <c r="T244" s="980"/>
      <c r="U244" s="980"/>
      <c r="V244" s="981"/>
      <c r="W244" s="981"/>
      <c r="X244" s="981"/>
      <c r="Y244" s="988"/>
      <c r="Z244" s="980"/>
      <c r="AA244" s="980"/>
      <c r="AB244" s="988"/>
      <c r="AC244" s="988"/>
      <c r="AD244" s="988"/>
      <c r="AE244" s="988"/>
      <c r="AF244" s="640">
        <f ca="1" t="shared" si="27"/>
        <v>70.61546296296</v>
      </c>
      <c r="AG244" s="121" t="str">
        <f ca="1" t="shared" si="28"/>
        <v>ACTIVE</v>
      </c>
      <c r="AH244" s="1002">
        <v>3100000</v>
      </c>
      <c r="AI244" s="1002">
        <v>250000</v>
      </c>
      <c r="AJ244" s="1002" t="s">
        <v>583</v>
      </c>
      <c r="AK244" s="1459"/>
      <c r="AL244" s="1459"/>
      <c r="AM244" s="1459" t="s">
        <v>583</v>
      </c>
      <c r="AN244" s="1001" t="s">
        <v>583</v>
      </c>
      <c r="AO244" s="1459">
        <v>780000</v>
      </c>
      <c r="AP244" s="1001" t="s">
        <v>583</v>
      </c>
      <c r="AQ244" s="1001" t="s">
        <v>0</v>
      </c>
      <c r="AR244" s="1001" t="s">
        <v>48</v>
      </c>
      <c r="AS244" s="1001" t="s">
        <v>49</v>
      </c>
      <c r="AT244" s="925"/>
      <c r="AU244" s="285" t="s">
        <v>2421</v>
      </c>
      <c r="AV244" s="1537" t="s">
        <v>2422</v>
      </c>
      <c r="AW244" s="1012" t="s">
        <v>2423</v>
      </c>
      <c r="AX244" s="1538" t="s">
        <v>2424</v>
      </c>
      <c r="AY244" s="1009"/>
      <c r="AZ244" s="1009"/>
      <c r="BA244" s="1009"/>
      <c r="BB244" s="127" t="s">
        <v>2425</v>
      </c>
      <c r="BC244" s="164"/>
      <c r="BD244" s="1402"/>
    </row>
    <row r="245" s="873" customFormat="1" ht="14.1" customHeight="1" spans="2:56">
      <c r="B245" s="1532" t="s">
        <v>2426</v>
      </c>
      <c r="C245" s="164" t="s">
        <v>2427</v>
      </c>
      <c r="D245" s="164" t="s">
        <v>2428</v>
      </c>
      <c r="E245" s="975" t="s">
        <v>2429</v>
      </c>
      <c r="F245" s="978" t="s">
        <v>43</v>
      </c>
      <c r="G245" s="978" t="s">
        <v>44</v>
      </c>
      <c r="H245" s="925" t="s">
        <v>1343</v>
      </c>
      <c r="I245" s="925" t="s">
        <v>428</v>
      </c>
      <c r="J245" s="925" t="s">
        <v>185</v>
      </c>
      <c r="K245" s="980">
        <v>43229</v>
      </c>
      <c r="L245" s="980">
        <v>43343</v>
      </c>
      <c r="M245" s="1453"/>
      <c r="N245" s="981"/>
      <c r="O245" s="981"/>
      <c r="P245" s="981"/>
      <c r="Q245" s="981"/>
      <c r="R245" s="980"/>
      <c r="S245" s="980"/>
      <c r="T245" s="980"/>
      <c r="U245" s="980"/>
      <c r="V245" s="981"/>
      <c r="W245" s="981"/>
      <c r="X245" s="981"/>
      <c r="Y245" s="988"/>
      <c r="Z245" s="980"/>
      <c r="AA245" s="980"/>
      <c r="AB245" s="988"/>
      <c r="AC245" s="988"/>
      <c r="AD245" s="988"/>
      <c r="AE245" s="988"/>
      <c r="AF245" s="640">
        <f ca="1" t="shared" si="27"/>
        <v>70.61546296296</v>
      </c>
      <c r="AG245" s="121" t="str">
        <f ca="1" t="shared" si="28"/>
        <v>ACTIVE</v>
      </c>
      <c r="AH245" s="1002">
        <v>2800000</v>
      </c>
      <c r="AI245" s="1002">
        <v>250000</v>
      </c>
      <c r="AJ245" s="1002" t="s">
        <v>583</v>
      </c>
      <c r="AK245" s="1459"/>
      <c r="AL245" s="1459"/>
      <c r="AM245" s="1459" t="s">
        <v>583</v>
      </c>
      <c r="AN245" s="1001" t="s">
        <v>583</v>
      </c>
      <c r="AO245" s="1459">
        <v>520000</v>
      </c>
      <c r="AP245" s="1001" t="s">
        <v>583</v>
      </c>
      <c r="AQ245" s="1001" t="s">
        <v>0</v>
      </c>
      <c r="AR245" s="1001" t="s">
        <v>48</v>
      </c>
      <c r="AS245" s="1001" t="s">
        <v>49</v>
      </c>
      <c r="AT245" s="925"/>
      <c r="AU245" s="285" t="s">
        <v>2430</v>
      </c>
      <c r="AV245" s="1537" t="s">
        <v>2431</v>
      </c>
      <c r="AW245" s="1539" t="s">
        <v>2432</v>
      </c>
      <c r="AX245" s="1538" t="s">
        <v>2433</v>
      </c>
      <c r="AY245" s="1009"/>
      <c r="AZ245" s="1009"/>
      <c r="BA245" s="1009"/>
      <c r="BB245" s="127" t="s">
        <v>2434</v>
      </c>
      <c r="BC245" s="164"/>
      <c r="BD245" s="1402"/>
    </row>
    <row r="246" s="873" customFormat="1" ht="14.1" customHeight="1" spans="2:56">
      <c r="B246" s="1532" t="s">
        <v>2435</v>
      </c>
      <c r="C246" s="164" t="s">
        <v>2436</v>
      </c>
      <c r="D246" s="164" t="s">
        <v>2437</v>
      </c>
      <c r="E246" s="975" t="s">
        <v>2438</v>
      </c>
      <c r="F246" s="978" t="s">
        <v>43</v>
      </c>
      <c r="G246" s="978" t="s">
        <v>254</v>
      </c>
      <c r="H246" s="925" t="s">
        <v>1343</v>
      </c>
      <c r="I246" s="925" t="s">
        <v>428</v>
      </c>
      <c r="J246" s="925" t="s">
        <v>1533</v>
      </c>
      <c r="K246" s="980">
        <v>43231</v>
      </c>
      <c r="L246" s="980">
        <v>43343</v>
      </c>
      <c r="M246" s="1453"/>
      <c r="N246" s="981"/>
      <c r="O246" s="981"/>
      <c r="P246" s="981"/>
      <c r="Q246" s="981"/>
      <c r="R246" s="980"/>
      <c r="S246" s="980"/>
      <c r="T246" s="980"/>
      <c r="U246" s="980"/>
      <c r="V246" s="981"/>
      <c r="W246" s="981"/>
      <c r="X246" s="981"/>
      <c r="Y246" s="988"/>
      <c r="Z246" s="980"/>
      <c r="AA246" s="980"/>
      <c r="AB246" s="988"/>
      <c r="AC246" s="988"/>
      <c r="AD246" s="988"/>
      <c r="AE246" s="988"/>
      <c r="AF246" s="640">
        <f ca="1" t="shared" si="27"/>
        <v>70.61546296296</v>
      </c>
      <c r="AG246" s="121" t="str">
        <f ca="1" t="shared" si="28"/>
        <v>ACTIVE</v>
      </c>
      <c r="AH246" s="1002">
        <v>2800000</v>
      </c>
      <c r="AI246" s="1002">
        <v>200000</v>
      </c>
      <c r="AJ246" s="1002" t="s">
        <v>583</v>
      </c>
      <c r="AK246" s="1459"/>
      <c r="AL246" s="1459"/>
      <c r="AM246" s="1459" t="s">
        <v>583</v>
      </c>
      <c r="AN246" s="1001" t="s">
        <v>583</v>
      </c>
      <c r="AO246" s="1459" t="s">
        <v>583</v>
      </c>
      <c r="AP246" s="1001" t="s">
        <v>583</v>
      </c>
      <c r="AQ246" s="1001" t="s">
        <v>0</v>
      </c>
      <c r="AR246" s="1001" t="s">
        <v>48</v>
      </c>
      <c r="AS246" s="1001" t="s">
        <v>49</v>
      </c>
      <c r="AT246" s="925"/>
      <c r="AU246" s="285" t="s">
        <v>2439</v>
      </c>
      <c r="AV246" s="1537" t="s">
        <v>2440</v>
      </c>
      <c r="AW246" s="1012" t="s">
        <v>2441</v>
      </c>
      <c r="AX246" s="1538" t="s">
        <v>2442</v>
      </c>
      <c r="AY246" s="1538" t="s">
        <v>2443</v>
      </c>
      <c r="AZ246" s="1537" t="s">
        <v>2444</v>
      </c>
      <c r="BA246" s="1538" t="s">
        <v>2445</v>
      </c>
      <c r="BB246" s="127" t="s">
        <v>2446</v>
      </c>
      <c r="BC246" s="164"/>
      <c r="BD246" s="1402"/>
    </row>
    <row r="247" s="873" customFormat="1" ht="14.1" customHeight="1" spans="2:56">
      <c r="B247" s="1532" t="s">
        <v>2447</v>
      </c>
      <c r="C247" s="164" t="s">
        <v>2448</v>
      </c>
      <c r="D247" s="164" t="s">
        <v>2449</v>
      </c>
      <c r="E247" s="975" t="s">
        <v>2450</v>
      </c>
      <c r="F247" s="978" t="s">
        <v>43</v>
      </c>
      <c r="G247" s="978"/>
      <c r="H247" s="925" t="s">
        <v>920</v>
      </c>
      <c r="I247" s="925" t="s">
        <v>428</v>
      </c>
      <c r="J247" s="925" t="s">
        <v>208</v>
      </c>
      <c r="K247" s="980">
        <v>43235</v>
      </c>
      <c r="L247" s="980">
        <v>43434</v>
      </c>
      <c r="M247" s="1453"/>
      <c r="N247" s="981"/>
      <c r="O247" s="981"/>
      <c r="P247" s="981"/>
      <c r="Q247" s="981"/>
      <c r="R247" s="980"/>
      <c r="S247" s="980"/>
      <c r="T247" s="980"/>
      <c r="U247" s="980"/>
      <c r="V247" s="981"/>
      <c r="W247" s="981"/>
      <c r="X247" s="981"/>
      <c r="Y247" s="988"/>
      <c r="Z247" s="980"/>
      <c r="AA247" s="980"/>
      <c r="AB247" s="988"/>
      <c r="AC247" s="988"/>
      <c r="AD247" s="988"/>
      <c r="AE247" s="988"/>
      <c r="AF247" s="640">
        <f ca="1" t="shared" si="27"/>
        <v>161.61546296296</v>
      </c>
      <c r="AG247" s="121" t="str">
        <f ca="1" t="shared" si="28"/>
        <v>ACTIVE</v>
      </c>
      <c r="AH247" s="1002">
        <v>4300000</v>
      </c>
      <c r="AI247" s="1002">
        <v>400000</v>
      </c>
      <c r="AJ247" s="1002">
        <v>20000</v>
      </c>
      <c r="AK247" s="1459"/>
      <c r="AL247" s="1459"/>
      <c r="AM247" s="1459">
        <v>500000</v>
      </c>
      <c r="AN247" s="1001" t="s">
        <v>583</v>
      </c>
      <c r="AO247" s="1459" t="s">
        <v>583</v>
      </c>
      <c r="AP247" s="1001" t="s">
        <v>583</v>
      </c>
      <c r="AQ247" s="1001" t="s">
        <v>0</v>
      </c>
      <c r="AR247" s="1001" t="s">
        <v>48</v>
      </c>
      <c r="AS247" s="1001" t="s">
        <v>49</v>
      </c>
      <c r="AT247" s="925"/>
      <c r="AU247" s="285" t="s">
        <v>2451</v>
      </c>
      <c r="AV247" s="961"/>
      <c r="AW247" s="1012"/>
      <c r="AX247" s="1009"/>
      <c r="AY247" s="1009"/>
      <c r="AZ247" s="1009"/>
      <c r="BA247" s="1009"/>
      <c r="BB247" s="127"/>
      <c r="BC247" s="164"/>
      <c r="BD247" s="1402"/>
    </row>
    <row r="248" s="873" customFormat="1" ht="14.1" customHeight="1" spans="2:56">
      <c r="B248" s="1532" t="s">
        <v>2452</v>
      </c>
      <c r="C248" s="164" t="s">
        <v>2453</v>
      </c>
      <c r="D248" s="164" t="s">
        <v>2454</v>
      </c>
      <c r="E248" s="975" t="s">
        <v>2455</v>
      </c>
      <c r="F248" s="978"/>
      <c r="G248" s="978"/>
      <c r="H248" s="925" t="s">
        <v>1343</v>
      </c>
      <c r="I248" s="925" t="s">
        <v>428</v>
      </c>
      <c r="J248" s="925" t="s">
        <v>185</v>
      </c>
      <c r="K248" s="980">
        <v>43235</v>
      </c>
      <c r="L248" s="980">
        <v>43343</v>
      </c>
      <c r="M248" s="1453"/>
      <c r="N248" s="981"/>
      <c r="O248" s="981"/>
      <c r="P248" s="981"/>
      <c r="Q248" s="981"/>
      <c r="R248" s="980"/>
      <c r="S248" s="980"/>
      <c r="T248" s="980"/>
      <c r="U248" s="980"/>
      <c r="V248" s="981"/>
      <c r="W248" s="981"/>
      <c r="X248" s="981"/>
      <c r="Y248" s="988"/>
      <c r="Z248" s="980"/>
      <c r="AA248" s="980"/>
      <c r="AB248" s="988"/>
      <c r="AC248" s="988"/>
      <c r="AD248" s="988"/>
      <c r="AE248" s="988"/>
      <c r="AF248" s="640">
        <f ca="1" t="shared" si="27"/>
        <v>70.61546296296</v>
      </c>
      <c r="AG248" s="121" t="str">
        <f ca="1" t="shared" si="28"/>
        <v>ACTIVE</v>
      </c>
      <c r="AH248" s="1002">
        <v>2800000</v>
      </c>
      <c r="AI248" s="1002">
        <v>250000</v>
      </c>
      <c r="AJ248" s="1002" t="s">
        <v>583</v>
      </c>
      <c r="AK248" s="1459"/>
      <c r="AL248" s="1459"/>
      <c r="AM248" s="1459" t="s">
        <v>583</v>
      </c>
      <c r="AN248" s="1001" t="s">
        <v>583</v>
      </c>
      <c r="AO248" s="1459">
        <v>520000</v>
      </c>
      <c r="AP248" s="1001" t="s">
        <v>583</v>
      </c>
      <c r="AQ248" s="1001" t="s">
        <v>0</v>
      </c>
      <c r="AR248" s="1001" t="s">
        <v>48</v>
      </c>
      <c r="AS248" s="1001" t="s">
        <v>49</v>
      </c>
      <c r="AT248" s="925"/>
      <c r="AU248" s="285" t="s">
        <v>2456</v>
      </c>
      <c r="AV248" s="961"/>
      <c r="AW248" s="1012" t="s">
        <v>2457</v>
      </c>
      <c r="AX248" s="1009"/>
      <c r="AY248" s="1009"/>
      <c r="AZ248" s="1009"/>
      <c r="BA248" s="1009"/>
      <c r="BB248" s="127"/>
      <c r="BC248" s="164"/>
      <c r="BD248" s="1402"/>
    </row>
    <row r="249" s="873" customFormat="1" ht="14.1" customHeight="1" spans="2:56">
      <c r="B249" s="1532" t="s">
        <v>2458</v>
      </c>
      <c r="C249" s="164" t="s">
        <v>2459</v>
      </c>
      <c r="D249" s="164" t="s">
        <v>2460</v>
      </c>
      <c r="E249" s="975" t="s">
        <v>2461</v>
      </c>
      <c r="F249" s="978" t="s">
        <v>43</v>
      </c>
      <c r="G249" s="978" t="s">
        <v>43</v>
      </c>
      <c r="H249" s="925" t="s">
        <v>1343</v>
      </c>
      <c r="I249" s="925" t="s">
        <v>428</v>
      </c>
      <c r="J249" s="925" t="s">
        <v>1533</v>
      </c>
      <c r="K249" s="980">
        <v>43219</v>
      </c>
      <c r="L249" s="980">
        <v>43312</v>
      </c>
      <c r="M249" s="1453"/>
      <c r="N249" s="981"/>
      <c r="O249" s="981"/>
      <c r="P249" s="981"/>
      <c r="Q249" s="981"/>
      <c r="R249" s="980"/>
      <c r="S249" s="980"/>
      <c r="T249" s="980"/>
      <c r="U249" s="980"/>
      <c r="V249" s="981"/>
      <c r="W249" s="981"/>
      <c r="X249" s="981"/>
      <c r="Y249" s="988"/>
      <c r="Z249" s="980"/>
      <c r="AA249" s="980"/>
      <c r="AB249" s="988"/>
      <c r="AC249" s="988"/>
      <c r="AD249" s="988"/>
      <c r="AE249" s="988"/>
      <c r="AF249" s="640">
        <f ca="1" t="shared" si="27"/>
        <v>39.61546296296</v>
      </c>
      <c r="AG249" s="121" t="str">
        <f ca="1" t="shared" si="28"/>
        <v>WARNING</v>
      </c>
      <c r="AH249" s="1002">
        <v>2800000</v>
      </c>
      <c r="AI249" s="1002">
        <v>200000</v>
      </c>
      <c r="AJ249" s="1002" t="s">
        <v>583</v>
      </c>
      <c r="AK249" s="1459"/>
      <c r="AL249" s="1459"/>
      <c r="AM249" s="1459" t="s">
        <v>583</v>
      </c>
      <c r="AN249" s="1001" t="s">
        <v>583</v>
      </c>
      <c r="AO249" s="1459" t="s">
        <v>583</v>
      </c>
      <c r="AP249" s="1001" t="s">
        <v>583</v>
      </c>
      <c r="AQ249" s="1001" t="s">
        <v>0</v>
      </c>
      <c r="AR249" s="1001" t="s">
        <v>48</v>
      </c>
      <c r="AS249" s="1001" t="s">
        <v>49</v>
      </c>
      <c r="AT249" s="925"/>
      <c r="AU249" s="285" t="s">
        <v>2462</v>
      </c>
      <c r="AV249" s="961"/>
      <c r="AW249" s="1012"/>
      <c r="AX249" s="1538" t="s">
        <v>2463</v>
      </c>
      <c r="AY249" s="1009"/>
      <c r="AZ249" s="1009"/>
      <c r="BA249" s="1009"/>
      <c r="BB249" s="127"/>
      <c r="BC249" s="164"/>
      <c r="BD249" s="1402"/>
    </row>
    <row r="250" s="873" customFormat="1" ht="14.1" customHeight="1" spans="2:56">
      <c r="B250" s="1532" t="s">
        <v>2464</v>
      </c>
      <c r="C250" s="164" t="s">
        <v>2465</v>
      </c>
      <c r="D250" s="164" t="s">
        <v>2466</v>
      </c>
      <c r="E250" s="975" t="s">
        <v>2467</v>
      </c>
      <c r="F250" s="978" t="s">
        <v>125</v>
      </c>
      <c r="G250" s="978" t="s">
        <v>44</v>
      </c>
      <c r="H250" s="925" t="s">
        <v>2044</v>
      </c>
      <c r="I250" s="925" t="s">
        <v>428</v>
      </c>
      <c r="J250" s="925" t="s">
        <v>2468</v>
      </c>
      <c r="K250" s="980">
        <v>43237</v>
      </c>
      <c r="L250" s="980">
        <v>43465</v>
      </c>
      <c r="M250" s="1453"/>
      <c r="N250" s="981"/>
      <c r="O250" s="981"/>
      <c r="P250" s="981"/>
      <c r="Q250" s="981"/>
      <c r="R250" s="980"/>
      <c r="S250" s="980"/>
      <c r="T250" s="980"/>
      <c r="U250" s="980"/>
      <c r="V250" s="981"/>
      <c r="W250" s="981"/>
      <c r="X250" s="981"/>
      <c r="Y250" s="988"/>
      <c r="Z250" s="980"/>
      <c r="AA250" s="980"/>
      <c r="AB250" s="988"/>
      <c r="AC250" s="988"/>
      <c r="AD250" s="988"/>
      <c r="AE250" s="988"/>
      <c r="AF250" s="640">
        <f ca="1" t="shared" ref="AF250:AF253" si="29">SUM(L250-NOW())</f>
        <v>192.61546296296</v>
      </c>
      <c r="AG250" s="121" t="str">
        <f ca="1" t="shared" ref="AG250:AG253" si="30">IF(AF250&lt;=40,"WARNING","ACTIVE")</f>
        <v>ACTIVE</v>
      </c>
      <c r="AH250" s="1002">
        <v>3000000</v>
      </c>
      <c r="AI250" s="1002">
        <v>150000</v>
      </c>
      <c r="AJ250" s="1002">
        <v>20000</v>
      </c>
      <c r="AK250" s="1459"/>
      <c r="AL250" s="1459"/>
      <c r="AM250" s="1459">
        <v>500000</v>
      </c>
      <c r="AN250" s="1001" t="s">
        <v>583</v>
      </c>
      <c r="AO250" s="1459" t="s">
        <v>583</v>
      </c>
      <c r="AP250" s="1001" t="s">
        <v>583</v>
      </c>
      <c r="AQ250" s="1001" t="s">
        <v>0</v>
      </c>
      <c r="AR250" s="1001" t="s">
        <v>48</v>
      </c>
      <c r="AS250" s="1001" t="s">
        <v>49</v>
      </c>
      <c r="AT250" s="925"/>
      <c r="AU250" s="285" t="s">
        <v>2469</v>
      </c>
      <c r="AV250" s="961"/>
      <c r="AW250" s="1012" t="s">
        <v>2470</v>
      </c>
      <c r="AX250" s="1009"/>
      <c r="AY250" s="1009"/>
      <c r="AZ250" s="1009"/>
      <c r="BA250" s="1009"/>
      <c r="BB250" s="127"/>
      <c r="BC250" s="164"/>
      <c r="BD250" s="1402"/>
    </row>
    <row r="251" s="873" customFormat="1" ht="14.1" customHeight="1" spans="2:56">
      <c r="B251" s="1532" t="s">
        <v>2471</v>
      </c>
      <c r="C251" s="164" t="s">
        <v>2472</v>
      </c>
      <c r="D251" s="164" t="s">
        <v>2473</v>
      </c>
      <c r="E251" s="975" t="s">
        <v>2474</v>
      </c>
      <c r="F251" s="978" t="s">
        <v>125</v>
      </c>
      <c r="G251" s="978" t="s">
        <v>44</v>
      </c>
      <c r="H251" s="925" t="s">
        <v>2044</v>
      </c>
      <c r="I251" s="925" t="s">
        <v>428</v>
      </c>
      <c r="J251" s="925" t="s">
        <v>2468</v>
      </c>
      <c r="K251" s="980">
        <v>43237</v>
      </c>
      <c r="L251" s="980">
        <v>43465</v>
      </c>
      <c r="M251" s="1453"/>
      <c r="N251" s="981"/>
      <c r="O251" s="981"/>
      <c r="P251" s="981"/>
      <c r="Q251" s="981"/>
      <c r="R251" s="980"/>
      <c r="S251" s="980"/>
      <c r="T251" s="980"/>
      <c r="U251" s="980"/>
      <c r="V251" s="981"/>
      <c r="W251" s="981"/>
      <c r="X251" s="981"/>
      <c r="Y251" s="988"/>
      <c r="Z251" s="980"/>
      <c r="AA251" s="980"/>
      <c r="AB251" s="988"/>
      <c r="AC251" s="988"/>
      <c r="AD251" s="988"/>
      <c r="AE251" s="988"/>
      <c r="AF251" s="640">
        <f ca="1" t="shared" si="29"/>
        <v>192.61546296296</v>
      </c>
      <c r="AG251" s="121" t="str">
        <f ca="1" t="shared" si="30"/>
        <v>ACTIVE</v>
      </c>
      <c r="AH251" s="1002">
        <v>3000000</v>
      </c>
      <c r="AI251" s="1002">
        <v>150000</v>
      </c>
      <c r="AJ251" s="1002">
        <v>20000</v>
      </c>
      <c r="AK251" s="1459"/>
      <c r="AL251" s="1459"/>
      <c r="AM251" s="1459">
        <v>500000</v>
      </c>
      <c r="AN251" s="1001" t="s">
        <v>583</v>
      </c>
      <c r="AO251" s="1459" t="s">
        <v>583</v>
      </c>
      <c r="AP251" s="1001" t="s">
        <v>583</v>
      </c>
      <c r="AQ251" s="1001" t="s">
        <v>0</v>
      </c>
      <c r="AR251" s="1001" t="s">
        <v>48</v>
      </c>
      <c r="AS251" s="1001" t="s">
        <v>49</v>
      </c>
      <c r="AT251" s="925"/>
      <c r="AU251" s="285" t="s">
        <v>2475</v>
      </c>
      <c r="AV251" s="1537" t="s">
        <v>2476</v>
      </c>
      <c r="AW251" s="1012" t="s">
        <v>2477</v>
      </c>
      <c r="AX251" s="1538" t="s">
        <v>2478</v>
      </c>
      <c r="AY251" s="1009"/>
      <c r="AZ251" s="1009"/>
      <c r="BA251" s="1009"/>
      <c r="BB251" s="127" t="s">
        <v>2479</v>
      </c>
      <c r="BC251" s="164"/>
      <c r="BD251" s="1402"/>
    </row>
    <row r="252" s="1022" customFormat="1" ht="14.1" customHeight="1" spans="2:56">
      <c r="B252" s="1540" t="s">
        <v>2480</v>
      </c>
      <c r="C252" s="168"/>
      <c r="D252" s="168" t="s">
        <v>2481</v>
      </c>
      <c r="E252" s="979" t="s">
        <v>2482</v>
      </c>
      <c r="F252" s="922" t="s">
        <v>125</v>
      </c>
      <c r="G252" s="922" t="s">
        <v>44</v>
      </c>
      <c r="H252" s="927" t="s">
        <v>2044</v>
      </c>
      <c r="I252" s="927" t="s">
        <v>428</v>
      </c>
      <c r="J252" s="927" t="s">
        <v>2468</v>
      </c>
      <c r="K252" s="1246">
        <v>43237</v>
      </c>
      <c r="L252" s="1246">
        <v>43465</v>
      </c>
      <c r="M252" s="1270"/>
      <c r="N252" s="934"/>
      <c r="O252" s="934"/>
      <c r="P252" s="934"/>
      <c r="Q252" s="934"/>
      <c r="R252" s="1246"/>
      <c r="S252" s="1246"/>
      <c r="T252" s="1246"/>
      <c r="U252" s="1246"/>
      <c r="V252" s="934"/>
      <c r="W252" s="934"/>
      <c r="X252" s="934"/>
      <c r="Y252" s="989"/>
      <c r="Z252" s="1246"/>
      <c r="AA252" s="1246"/>
      <c r="AB252" s="989"/>
      <c r="AC252" s="989"/>
      <c r="AD252" s="989"/>
      <c r="AE252" s="989"/>
      <c r="AF252" s="641">
        <f ca="1" t="shared" si="29"/>
        <v>192.61546296296</v>
      </c>
      <c r="AG252" s="187" t="str">
        <f ca="1" t="shared" si="30"/>
        <v>ACTIVE</v>
      </c>
      <c r="AH252" s="1006">
        <v>3000000</v>
      </c>
      <c r="AI252" s="1006">
        <v>150000</v>
      </c>
      <c r="AJ252" s="1006">
        <v>20000</v>
      </c>
      <c r="AK252" s="1468"/>
      <c r="AL252" s="1468"/>
      <c r="AM252" s="1468">
        <v>500000</v>
      </c>
      <c r="AN252" s="1321" t="s">
        <v>583</v>
      </c>
      <c r="AO252" s="1468" t="s">
        <v>583</v>
      </c>
      <c r="AP252" s="1321" t="s">
        <v>583</v>
      </c>
      <c r="AQ252" s="1321" t="s">
        <v>0</v>
      </c>
      <c r="AR252" s="1321" t="s">
        <v>48</v>
      </c>
      <c r="AS252" s="1321" t="s">
        <v>49</v>
      </c>
      <c r="AT252" s="927"/>
      <c r="AU252" s="290" t="s">
        <v>2483</v>
      </c>
      <c r="AV252" s="962"/>
      <c r="AW252" s="1014"/>
      <c r="AX252" s="963"/>
      <c r="AY252" s="963"/>
      <c r="AZ252" s="963"/>
      <c r="BA252" s="963"/>
      <c r="BB252" s="229"/>
      <c r="BC252" s="168" t="s">
        <v>2253</v>
      </c>
      <c r="BD252" s="1324"/>
    </row>
    <row r="253" s="873" customFormat="1" ht="14.1" customHeight="1" spans="2:56">
      <c r="B253" s="1532" t="s">
        <v>2484</v>
      </c>
      <c r="C253" s="164" t="s">
        <v>2485</v>
      </c>
      <c r="D253" s="164" t="s">
        <v>2486</v>
      </c>
      <c r="E253" s="975" t="s">
        <v>2487</v>
      </c>
      <c r="F253" s="978" t="s">
        <v>125</v>
      </c>
      <c r="G253" s="978" t="s">
        <v>44</v>
      </c>
      <c r="H253" s="925" t="s">
        <v>2044</v>
      </c>
      <c r="I253" s="925" t="s">
        <v>428</v>
      </c>
      <c r="J253" s="925" t="s">
        <v>2468</v>
      </c>
      <c r="K253" s="980">
        <v>43237</v>
      </c>
      <c r="L253" s="980">
        <v>43465</v>
      </c>
      <c r="M253" s="1453"/>
      <c r="N253" s="981"/>
      <c r="O253" s="981"/>
      <c r="P253" s="981"/>
      <c r="Q253" s="981"/>
      <c r="R253" s="980"/>
      <c r="S253" s="980"/>
      <c r="T253" s="980"/>
      <c r="U253" s="980"/>
      <c r="V253" s="981"/>
      <c r="W253" s="981"/>
      <c r="X253" s="981"/>
      <c r="Y253" s="988"/>
      <c r="Z253" s="980"/>
      <c r="AA253" s="980"/>
      <c r="AB253" s="988"/>
      <c r="AC253" s="988"/>
      <c r="AD253" s="988"/>
      <c r="AE253" s="988"/>
      <c r="AF253" s="640">
        <f ca="1" t="shared" si="29"/>
        <v>192.61546296296</v>
      </c>
      <c r="AG253" s="121" t="str">
        <f ca="1" t="shared" si="30"/>
        <v>ACTIVE</v>
      </c>
      <c r="AH253" s="1002">
        <v>3000000</v>
      </c>
      <c r="AI253" s="1002">
        <v>150000</v>
      </c>
      <c r="AJ253" s="1002">
        <v>20000</v>
      </c>
      <c r="AK253" s="1459"/>
      <c r="AL253" s="1459"/>
      <c r="AM253" s="1459">
        <v>500000</v>
      </c>
      <c r="AN253" s="1001" t="s">
        <v>583</v>
      </c>
      <c r="AO253" s="1459" t="s">
        <v>583</v>
      </c>
      <c r="AP253" s="1001" t="s">
        <v>583</v>
      </c>
      <c r="AQ253" s="1001" t="s">
        <v>0</v>
      </c>
      <c r="AR253" s="1001" t="s">
        <v>48</v>
      </c>
      <c r="AS253" s="1001" t="s">
        <v>49</v>
      </c>
      <c r="AT253" s="925"/>
      <c r="AU253" s="285" t="s">
        <v>2488</v>
      </c>
      <c r="AV253" s="961"/>
      <c r="AW253" s="1012" t="s">
        <v>2489</v>
      </c>
      <c r="AX253" s="1009"/>
      <c r="AY253" s="1009"/>
      <c r="AZ253" s="1009"/>
      <c r="BA253" s="1009"/>
      <c r="BB253" s="127"/>
      <c r="BC253" s="164"/>
      <c r="BD253" s="1402"/>
    </row>
    <row r="254" s="873" customFormat="1" ht="14.1" customHeight="1" spans="2:56">
      <c r="B254" s="1532" t="s">
        <v>2490</v>
      </c>
      <c r="C254" s="164" t="s">
        <v>2491</v>
      </c>
      <c r="D254" s="164" t="s">
        <v>2492</v>
      </c>
      <c r="E254" s="975" t="s">
        <v>2493</v>
      </c>
      <c r="F254" s="978" t="s">
        <v>43</v>
      </c>
      <c r="G254" s="978" t="s">
        <v>44</v>
      </c>
      <c r="H254" s="925" t="s">
        <v>2265</v>
      </c>
      <c r="I254" s="925" t="s">
        <v>428</v>
      </c>
      <c r="J254" s="925" t="s">
        <v>185</v>
      </c>
      <c r="K254" s="980">
        <v>43210</v>
      </c>
      <c r="L254" s="980">
        <v>43312</v>
      </c>
      <c r="M254" s="1453"/>
      <c r="N254" s="981"/>
      <c r="O254" s="981"/>
      <c r="P254" s="981"/>
      <c r="Q254" s="981"/>
      <c r="R254" s="980"/>
      <c r="S254" s="980"/>
      <c r="T254" s="980"/>
      <c r="U254" s="980"/>
      <c r="V254" s="981"/>
      <c r="W254" s="981"/>
      <c r="X254" s="981"/>
      <c r="Y254" s="988"/>
      <c r="Z254" s="980"/>
      <c r="AA254" s="980"/>
      <c r="AB254" s="988"/>
      <c r="AC254" s="988"/>
      <c r="AD254" s="988"/>
      <c r="AE254" s="988"/>
      <c r="AF254" s="640">
        <f ca="1" t="shared" ref="AF254:AF259" si="31">SUM(L254-NOW())</f>
        <v>39.61546296296</v>
      </c>
      <c r="AG254" s="121" t="str">
        <f ca="1" t="shared" ref="AG254:AG259" si="32">IF(AF254&lt;=40,"WARNING","ACTIVE")</f>
        <v>WARNING</v>
      </c>
      <c r="AH254" s="1002">
        <v>2756000</v>
      </c>
      <c r="AI254" s="1002">
        <v>150000</v>
      </c>
      <c r="AJ254" s="1002">
        <v>17000</v>
      </c>
      <c r="AK254" s="1459"/>
      <c r="AL254" s="1459"/>
      <c r="AM254" s="1459" t="s">
        <v>583</v>
      </c>
      <c r="AN254" s="1001" t="s">
        <v>583</v>
      </c>
      <c r="AO254" s="1459" t="s">
        <v>583</v>
      </c>
      <c r="AP254" s="1001" t="s">
        <v>583</v>
      </c>
      <c r="AQ254" s="1001" t="s">
        <v>0</v>
      </c>
      <c r="AR254" s="1001" t="s">
        <v>48</v>
      </c>
      <c r="AS254" s="1001" t="s">
        <v>49</v>
      </c>
      <c r="AT254" s="925"/>
      <c r="AU254" s="285" t="s">
        <v>2494</v>
      </c>
      <c r="AV254" s="1537" t="s">
        <v>2495</v>
      </c>
      <c r="AW254" s="1012" t="s">
        <v>2496</v>
      </c>
      <c r="AX254" s="1538" t="s">
        <v>2497</v>
      </c>
      <c r="AY254" s="1009"/>
      <c r="AZ254" s="1009"/>
      <c r="BA254" s="1009"/>
      <c r="BB254" s="127" t="s">
        <v>2498</v>
      </c>
      <c r="BC254" s="164"/>
      <c r="BD254" s="1402"/>
    </row>
    <row r="255" s="873" customFormat="1" ht="14.1" customHeight="1" spans="2:56">
      <c r="B255" s="1532" t="s">
        <v>2499</v>
      </c>
      <c r="C255" s="164" t="s">
        <v>2500</v>
      </c>
      <c r="D255" s="164" t="s">
        <v>2501</v>
      </c>
      <c r="E255" s="975" t="s">
        <v>2502</v>
      </c>
      <c r="F255" s="978" t="s">
        <v>43</v>
      </c>
      <c r="G255" s="978" t="s">
        <v>43</v>
      </c>
      <c r="H255" s="925" t="s">
        <v>2265</v>
      </c>
      <c r="I255" s="925" t="s">
        <v>428</v>
      </c>
      <c r="J255" s="925" t="s">
        <v>208</v>
      </c>
      <c r="K255" s="980">
        <v>43237</v>
      </c>
      <c r="L255" s="980">
        <v>43343</v>
      </c>
      <c r="M255" s="1453"/>
      <c r="N255" s="981"/>
      <c r="O255" s="981"/>
      <c r="P255" s="981"/>
      <c r="Q255" s="981"/>
      <c r="R255" s="980"/>
      <c r="S255" s="980"/>
      <c r="T255" s="980"/>
      <c r="U255" s="980"/>
      <c r="V255" s="981"/>
      <c r="W255" s="981"/>
      <c r="X255" s="981"/>
      <c r="Y255" s="988"/>
      <c r="Z255" s="980"/>
      <c r="AA255" s="980"/>
      <c r="AB255" s="988"/>
      <c r="AC255" s="988"/>
      <c r="AD255" s="988"/>
      <c r="AE255" s="988"/>
      <c r="AF255" s="640">
        <f ca="1" t="shared" si="31"/>
        <v>70.61546296296</v>
      </c>
      <c r="AG255" s="121" t="str">
        <f ca="1" t="shared" si="32"/>
        <v>ACTIVE</v>
      </c>
      <c r="AH255" s="1002">
        <v>3700000</v>
      </c>
      <c r="AI255" s="1002">
        <v>250000</v>
      </c>
      <c r="AJ255" s="1002">
        <v>17000</v>
      </c>
      <c r="AK255" s="1459"/>
      <c r="AL255" s="1459"/>
      <c r="AM255" s="1459">
        <v>500000</v>
      </c>
      <c r="AN255" s="1001" t="s">
        <v>583</v>
      </c>
      <c r="AO255" s="1459" t="s">
        <v>583</v>
      </c>
      <c r="AP255" s="1001" t="s">
        <v>583</v>
      </c>
      <c r="AQ255" s="1001" t="s">
        <v>0</v>
      </c>
      <c r="AR255" s="1001" t="s">
        <v>48</v>
      </c>
      <c r="AS255" s="1001" t="s">
        <v>49</v>
      </c>
      <c r="AT255" s="925"/>
      <c r="AU255" s="285" t="s">
        <v>2503</v>
      </c>
      <c r="AV255" s="1537" t="s">
        <v>2504</v>
      </c>
      <c r="AW255" s="1012" t="s">
        <v>2505</v>
      </c>
      <c r="AX255" s="1009"/>
      <c r="AY255" s="1009"/>
      <c r="AZ255" s="1009"/>
      <c r="BA255" s="1009"/>
      <c r="BB255" s="127" t="s">
        <v>2506</v>
      </c>
      <c r="BC255" s="164"/>
      <c r="BD255" s="1402"/>
    </row>
    <row r="256" s="873" customFormat="1" ht="14.1" customHeight="1" spans="2:56">
      <c r="B256" s="1532" t="s">
        <v>2507</v>
      </c>
      <c r="C256" s="164" t="s">
        <v>2508</v>
      </c>
      <c r="D256" s="164" t="s">
        <v>2509</v>
      </c>
      <c r="E256" s="975" t="s">
        <v>2510</v>
      </c>
      <c r="F256" s="978"/>
      <c r="G256" s="978"/>
      <c r="H256" s="925" t="s">
        <v>1300</v>
      </c>
      <c r="I256" s="925" t="s">
        <v>428</v>
      </c>
      <c r="J256" s="925" t="s">
        <v>185</v>
      </c>
      <c r="K256" s="980">
        <v>43220</v>
      </c>
      <c r="L256" s="980">
        <v>43281</v>
      </c>
      <c r="M256" s="1453"/>
      <c r="N256" s="981"/>
      <c r="O256" s="981"/>
      <c r="P256" s="981"/>
      <c r="Q256" s="981"/>
      <c r="R256" s="980"/>
      <c r="S256" s="980"/>
      <c r="T256" s="980"/>
      <c r="U256" s="980"/>
      <c r="V256" s="981"/>
      <c r="W256" s="981"/>
      <c r="X256" s="981"/>
      <c r="Y256" s="988"/>
      <c r="Z256" s="980"/>
      <c r="AA256" s="980"/>
      <c r="AB256" s="988"/>
      <c r="AC256" s="988"/>
      <c r="AD256" s="988"/>
      <c r="AE256" s="988"/>
      <c r="AF256" s="640">
        <f ca="1" t="shared" si="31"/>
        <v>8.61546296296001</v>
      </c>
      <c r="AG256" s="121" t="str">
        <f ca="1" t="shared" si="32"/>
        <v>WARNING</v>
      </c>
      <c r="AH256" s="1002">
        <v>2750000</v>
      </c>
      <c r="AI256" s="1002">
        <v>250000</v>
      </c>
      <c r="AJ256" s="1002"/>
      <c r="AK256" s="1459" t="s">
        <v>583</v>
      </c>
      <c r="AL256" s="1459"/>
      <c r="AM256" s="1459" t="s">
        <v>583</v>
      </c>
      <c r="AN256" s="1001" t="s">
        <v>583</v>
      </c>
      <c r="AO256" s="1459" t="s">
        <v>583</v>
      </c>
      <c r="AP256" s="1001" t="s">
        <v>583</v>
      </c>
      <c r="AQ256" s="1001" t="s">
        <v>0</v>
      </c>
      <c r="AR256" s="1001" t="s">
        <v>48</v>
      </c>
      <c r="AS256" s="1001" t="s">
        <v>49</v>
      </c>
      <c r="AT256" s="925"/>
      <c r="AU256" s="285" t="s">
        <v>2511</v>
      </c>
      <c r="AV256" s="961"/>
      <c r="AW256" s="1012" t="s">
        <v>2512</v>
      </c>
      <c r="AX256" s="1009"/>
      <c r="AY256" s="1009"/>
      <c r="AZ256" s="1009"/>
      <c r="BA256" s="1009"/>
      <c r="BB256" s="127"/>
      <c r="BC256" s="164"/>
      <c r="BD256" s="1402"/>
    </row>
    <row r="257" s="873" customFormat="1" ht="14.1" customHeight="1" spans="2:56">
      <c r="B257" s="1532" t="s">
        <v>2513</v>
      </c>
      <c r="C257" s="164" t="s">
        <v>2514</v>
      </c>
      <c r="D257" s="164" t="s">
        <v>2515</v>
      </c>
      <c r="E257" s="975" t="s">
        <v>2516</v>
      </c>
      <c r="F257" s="978"/>
      <c r="G257" s="978"/>
      <c r="H257" s="925" t="s">
        <v>1343</v>
      </c>
      <c r="I257" s="925" t="s">
        <v>428</v>
      </c>
      <c r="J257" s="925" t="s">
        <v>2393</v>
      </c>
      <c r="K257" s="980">
        <v>43245</v>
      </c>
      <c r="L257" s="980">
        <v>43434</v>
      </c>
      <c r="M257" s="1453"/>
      <c r="N257" s="981"/>
      <c r="O257" s="981"/>
      <c r="P257" s="981"/>
      <c r="Q257" s="981"/>
      <c r="R257" s="980"/>
      <c r="S257" s="980"/>
      <c r="T257" s="980"/>
      <c r="U257" s="980"/>
      <c r="V257" s="981"/>
      <c r="W257" s="981"/>
      <c r="X257" s="981"/>
      <c r="Y257" s="988"/>
      <c r="Z257" s="980"/>
      <c r="AA257" s="980"/>
      <c r="AB257" s="988"/>
      <c r="AC257" s="988"/>
      <c r="AD257" s="988"/>
      <c r="AE257" s="988"/>
      <c r="AF257" s="640">
        <f ca="1" t="shared" si="31"/>
        <v>161.61546296296</v>
      </c>
      <c r="AG257" s="121" t="str">
        <f ca="1" t="shared" si="32"/>
        <v>ACTIVE</v>
      </c>
      <c r="AH257" s="1002">
        <v>3200000</v>
      </c>
      <c r="AI257" s="1002">
        <v>250000</v>
      </c>
      <c r="AJ257" s="1002"/>
      <c r="AK257" s="1459" t="s">
        <v>583</v>
      </c>
      <c r="AL257" s="1459"/>
      <c r="AM257" s="1459">
        <v>500000</v>
      </c>
      <c r="AN257" s="1001" t="s">
        <v>583</v>
      </c>
      <c r="AO257" s="1459">
        <v>325000</v>
      </c>
      <c r="AP257" s="1001" t="s">
        <v>583</v>
      </c>
      <c r="AQ257" s="1001" t="s">
        <v>0</v>
      </c>
      <c r="AR257" s="1001" t="s">
        <v>48</v>
      </c>
      <c r="AS257" s="1001" t="s">
        <v>49</v>
      </c>
      <c r="AT257" s="925"/>
      <c r="AU257" s="285" t="s">
        <v>2517</v>
      </c>
      <c r="AV257" s="961"/>
      <c r="AW257" s="1012"/>
      <c r="AX257" s="1009"/>
      <c r="AY257" s="1009"/>
      <c r="AZ257" s="1009"/>
      <c r="BA257" s="1009"/>
      <c r="BB257" s="127"/>
      <c r="BC257" s="164"/>
      <c r="BD257" s="1402"/>
    </row>
    <row r="258" s="873" customFormat="1" ht="14.1" customHeight="1" spans="2:56">
      <c r="B258" s="1532" t="s">
        <v>2518</v>
      </c>
      <c r="C258" s="164" t="s">
        <v>2519</v>
      </c>
      <c r="D258" s="164" t="s">
        <v>2520</v>
      </c>
      <c r="E258" s="975" t="s">
        <v>2521</v>
      </c>
      <c r="F258" s="978" t="s">
        <v>43</v>
      </c>
      <c r="G258" s="978" t="s">
        <v>44</v>
      </c>
      <c r="H258" s="925" t="s">
        <v>1343</v>
      </c>
      <c r="I258" s="925" t="s">
        <v>428</v>
      </c>
      <c r="J258" s="925" t="s">
        <v>61</v>
      </c>
      <c r="K258" s="980">
        <v>43235</v>
      </c>
      <c r="L258" s="980">
        <v>43343</v>
      </c>
      <c r="M258" s="1453"/>
      <c r="N258" s="981"/>
      <c r="O258" s="981"/>
      <c r="P258" s="981"/>
      <c r="Q258" s="981"/>
      <c r="R258" s="980"/>
      <c r="S258" s="980"/>
      <c r="T258" s="980"/>
      <c r="U258" s="980"/>
      <c r="V258" s="981"/>
      <c r="W258" s="981"/>
      <c r="X258" s="981"/>
      <c r="Y258" s="988"/>
      <c r="Z258" s="980"/>
      <c r="AA258" s="980"/>
      <c r="AB258" s="988"/>
      <c r="AC258" s="988"/>
      <c r="AD258" s="988"/>
      <c r="AE258" s="988"/>
      <c r="AF258" s="640">
        <f ca="1" t="shared" si="31"/>
        <v>70.61546296296</v>
      </c>
      <c r="AG258" s="121" t="str">
        <f ca="1" t="shared" si="32"/>
        <v>ACTIVE</v>
      </c>
      <c r="AH258" s="1002">
        <v>3100000</v>
      </c>
      <c r="AI258" s="1002">
        <v>250000</v>
      </c>
      <c r="AJ258" s="1002"/>
      <c r="AK258" s="1459" t="s">
        <v>583</v>
      </c>
      <c r="AL258" s="1459"/>
      <c r="AM258" s="1459" t="s">
        <v>583</v>
      </c>
      <c r="AN258" s="1001" t="s">
        <v>583</v>
      </c>
      <c r="AO258" s="1459">
        <v>780000</v>
      </c>
      <c r="AP258" s="1001" t="s">
        <v>583</v>
      </c>
      <c r="AQ258" s="1001" t="s">
        <v>0</v>
      </c>
      <c r="AR258" s="1001" t="s">
        <v>48</v>
      </c>
      <c r="AS258" s="1001" t="s">
        <v>49</v>
      </c>
      <c r="AT258" s="925"/>
      <c r="AU258" s="285" t="s">
        <v>2522</v>
      </c>
      <c r="AV258" s="1537" t="s">
        <v>2523</v>
      </c>
      <c r="AW258" s="1012" t="s">
        <v>2524</v>
      </c>
      <c r="AX258" s="1538" t="s">
        <v>2525</v>
      </c>
      <c r="AY258" s="1009"/>
      <c r="AZ258" s="1009"/>
      <c r="BA258" s="1009"/>
      <c r="BB258" s="127" t="s">
        <v>2526</v>
      </c>
      <c r="BC258" s="164"/>
      <c r="BD258" s="1402"/>
    </row>
    <row r="259" s="873" customFormat="1" ht="14.1" customHeight="1" spans="2:56">
      <c r="B259" s="1532" t="s">
        <v>2527</v>
      </c>
      <c r="C259" s="164" t="s">
        <v>2528</v>
      </c>
      <c r="D259" s="164" t="s">
        <v>2529</v>
      </c>
      <c r="E259" s="975" t="s">
        <v>2530</v>
      </c>
      <c r="F259" s="978"/>
      <c r="G259" s="978"/>
      <c r="H259" s="925" t="s">
        <v>1300</v>
      </c>
      <c r="I259" s="925" t="s">
        <v>428</v>
      </c>
      <c r="J259" s="925" t="s">
        <v>208</v>
      </c>
      <c r="K259" s="980">
        <v>43220</v>
      </c>
      <c r="L259" s="980">
        <v>43281</v>
      </c>
      <c r="M259" s="1453"/>
      <c r="N259" s="981"/>
      <c r="O259" s="981"/>
      <c r="P259" s="981"/>
      <c r="Q259" s="981"/>
      <c r="R259" s="980"/>
      <c r="S259" s="980"/>
      <c r="T259" s="980"/>
      <c r="U259" s="980"/>
      <c r="V259" s="981"/>
      <c r="W259" s="981"/>
      <c r="X259" s="981"/>
      <c r="Y259" s="988"/>
      <c r="Z259" s="980"/>
      <c r="AA259" s="980"/>
      <c r="AB259" s="988"/>
      <c r="AC259" s="988"/>
      <c r="AD259" s="988"/>
      <c r="AE259" s="988"/>
      <c r="AF259" s="640">
        <f ca="1" t="shared" si="31"/>
        <v>8.61546296296001</v>
      </c>
      <c r="AG259" s="121" t="str">
        <f ca="1" t="shared" si="32"/>
        <v>WARNING</v>
      </c>
      <c r="AH259" s="1002">
        <v>3600000</v>
      </c>
      <c r="AI259" s="1002">
        <v>400000</v>
      </c>
      <c r="AJ259" s="1002"/>
      <c r="AK259" s="1459" t="s">
        <v>583</v>
      </c>
      <c r="AL259" s="1459"/>
      <c r="AM259" s="1459">
        <v>500000</v>
      </c>
      <c r="AN259" s="1001" t="s">
        <v>583</v>
      </c>
      <c r="AO259" s="1459" t="s">
        <v>583</v>
      </c>
      <c r="AP259" s="1001" t="s">
        <v>583</v>
      </c>
      <c r="AQ259" s="1001" t="s">
        <v>0</v>
      </c>
      <c r="AR259" s="1001" t="s">
        <v>48</v>
      </c>
      <c r="AS259" s="1001" t="s">
        <v>49</v>
      </c>
      <c r="AT259" s="925"/>
      <c r="AU259" s="285" t="s">
        <v>2531</v>
      </c>
      <c r="AV259" s="961"/>
      <c r="AW259" s="1012" t="s">
        <v>2532</v>
      </c>
      <c r="AX259" s="1009"/>
      <c r="AY259" s="1009"/>
      <c r="AZ259" s="1009"/>
      <c r="BA259" s="1009"/>
      <c r="BB259" s="127"/>
      <c r="BC259" s="164"/>
      <c r="BD259" s="1402"/>
    </row>
    <row r="260" s="1399" customFormat="1" ht="14.1" customHeight="1" spans="2:56">
      <c r="B260" s="1532" t="s">
        <v>2533</v>
      </c>
      <c r="C260" s="164" t="s">
        <v>2534</v>
      </c>
      <c r="D260" s="164" t="s">
        <v>2535</v>
      </c>
      <c r="E260" s="975" t="s">
        <v>2536</v>
      </c>
      <c r="F260" s="978" t="s">
        <v>43</v>
      </c>
      <c r="G260" s="978" t="s">
        <v>44</v>
      </c>
      <c r="H260" s="925" t="s">
        <v>1068</v>
      </c>
      <c r="I260" s="925" t="s">
        <v>428</v>
      </c>
      <c r="J260" s="925" t="s">
        <v>208</v>
      </c>
      <c r="K260" s="980">
        <v>43126</v>
      </c>
      <c r="L260" s="980">
        <v>43220</v>
      </c>
      <c r="M260" s="1455">
        <v>43373</v>
      </c>
      <c r="N260" s="981"/>
      <c r="O260" s="981"/>
      <c r="P260" s="981"/>
      <c r="Q260" s="981"/>
      <c r="R260" s="980"/>
      <c r="S260" s="980"/>
      <c r="T260" s="980"/>
      <c r="U260" s="980"/>
      <c r="V260" s="981"/>
      <c r="W260" s="981"/>
      <c r="X260" s="981"/>
      <c r="Y260" s="988"/>
      <c r="Z260" s="980"/>
      <c r="AA260" s="980"/>
      <c r="AB260" s="988"/>
      <c r="AC260" s="988"/>
      <c r="AD260" s="988"/>
      <c r="AE260" s="988"/>
      <c r="AF260" s="640">
        <v>138.55551377315</v>
      </c>
      <c r="AG260" s="121" t="s">
        <v>745</v>
      </c>
      <c r="AH260" s="1002">
        <v>3700000</v>
      </c>
      <c r="AI260" s="1002">
        <v>400000</v>
      </c>
      <c r="AJ260" s="1002"/>
      <c r="AK260" s="1459"/>
      <c r="AL260" s="1459"/>
      <c r="AM260" s="1459">
        <v>500000</v>
      </c>
      <c r="AN260" s="1001"/>
      <c r="AO260" s="1459">
        <v>1560000</v>
      </c>
      <c r="AP260" s="1001"/>
      <c r="AQ260" s="1001" t="s">
        <v>0</v>
      </c>
      <c r="AR260" s="1001" t="s">
        <v>48</v>
      </c>
      <c r="AS260" s="1001" t="s">
        <v>49</v>
      </c>
      <c r="AT260" s="925"/>
      <c r="AU260" s="285" t="s">
        <v>2537</v>
      </c>
      <c r="AV260" s="1537" t="s">
        <v>2538</v>
      </c>
      <c r="AW260" s="1012" t="s">
        <v>2539</v>
      </c>
      <c r="AX260" s="1538" t="s">
        <v>2540</v>
      </c>
      <c r="AY260" s="1009"/>
      <c r="AZ260" s="1009" t="s">
        <v>2541</v>
      </c>
      <c r="BA260" s="1009"/>
      <c r="BB260" s="130" t="s">
        <v>1367</v>
      </c>
      <c r="BC260" s="164" t="s">
        <v>2542</v>
      </c>
      <c r="BD260" s="1402" t="s">
        <v>729</v>
      </c>
    </row>
    <row r="261" s="873" customFormat="1" ht="14.1" customHeight="1" spans="2:56">
      <c r="B261" s="1532" t="s">
        <v>2543</v>
      </c>
      <c r="C261" s="164"/>
      <c r="D261" s="164" t="s">
        <v>2544</v>
      </c>
      <c r="E261" s="975" t="s">
        <v>2545</v>
      </c>
      <c r="F261" s="978" t="s">
        <v>43</v>
      </c>
      <c r="G261" s="978" t="s">
        <v>44</v>
      </c>
      <c r="H261" s="925" t="s">
        <v>1343</v>
      </c>
      <c r="I261" s="925" t="s">
        <v>428</v>
      </c>
      <c r="J261" s="925" t="s">
        <v>1533</v>
      </c>
      <c r="K261" s="980">
        <v>43238</v>
      </c>
      <c r="L261" s="980">
        <v>43343</v>
      </c>
      <c r="M261" s="1453"/>
      <c r="N261" s="981" t="s">
        <v>583</v>
      </c>
      <c r="O261" s="981" t="s">
        <v>583</v>
      </c>
      <c r="P261" s="981" t="s">
        <v>583</v>
      </c>
      <c r="Q261" s="981" t="s">
        <v>583</v>
      </c>
      <c r="R261" s="980" t="s">
        <v>583</v>
      </c>
      <c r="S261" s="980" t="s">
        <v>583</v>
      </c>
      <c r="T261" s="980"/>
      <c r="U261" s="980"/>
      <c r="V261" s="981"/>
      <c r="W261" s="981"/>
      <c r="X261" s="981"/>
      <c r="Y261" s="988"/>
      <c r="Z261" s="980"/>
      <c r="AA261" s="980"/>
      <c r="AB261" s="988"/>
      <c r="AC261" s="988"/>
      <c r="AD261" s="988"/>
      <c r="AE261" s="988"/>
      <c r="AF261" s="640">
        <v>139.55551377315</v>
      </c>
      <c r="AG261" s="121" t="s">
        <v>745</v>
      </c>
      <c r="AH261" s="1002">
        <v>2800000</v>
      </c>
      <c r="AI261" s="1002">
        <v>200000</v>
      </c>
      <c r="AJ261" s="1002"/>
      <c r="AK261" s="1459"/>
      <c r="AL261" s="1459"/>
      <c r="AM261" s="1459"/>
      <c r="AN261" s="1001"/>
      <c r="AO261" s="1459"/>
      <c r="AP261" s="1001"/>
      <c r="AQ261" s="1001" t="s">
        <v>0</v>
      </c>
      <c r="AR261" s="1001" t="s">
        <v>48</v>
      </c>
      <c r="AS261" s="1001" t="s">
        <v>49</v>
      </c>
      <c r="AT261" s="925"/>
      <c r="AU261" s="285" t="s">
        <v>2546</v>
      </c>
      <c r="AV261" s="1537" t="s">
        <v>2547</v>
      </c>
      <c r="AW261" s="1012" t="s">
        <v>2548</v>
      </c>
      <c r="AX261" s="1538" t="s">
        <v>2549</v>
      </c>
      <c r="AY261" s="1009"/>
      <c r="AZ261" s="1009"/>
      <c r="BA261" s="1538" t="s">
        <v>2550</v>
      </c>
      <c r="BB261" s="127" t="s">
        <v>2551</v>
      </c>
      <c r="BC261" s="164"/>
      <c r="BD261" s="1402"/>
    </row>
    <row r="262" s="873" customFormat="1" ht="14.1" customHeight="1" spans="3:56">
      <c r="C262" s="1469"/>
      <c r="D262" s="1469"/>
      <c r="E262" s="1469"/>
      <c r="F262" s="1469"/>
      <c r="G262" s="1469"/>
      <c r="H262" s="1469"/>
      <c r="I262" s="1469"/>
      <c r="J262" s="1469"/>
      <c r="K262" s="1469"/>
      <c r="L262" s="1469"/>
      <c r="M262" s="1469"/>
      <c r="N262" s="1469"/>
      <c r="O262" s="1469"/>
      <c r="P262" s="1469"/>
      <c r="Q262" s="1470"/>
      <c r="R262" s="1469"/>
      <c r="S262" s="1469"/>
      <c r="BA262" s="1474"/>
      <c r="BD262" s="1402"/>
    </row>
    <row r="263" s="873" customFormat="1" ht="14.1" customHeight="1" spans="3:56">
      <c r="C263" s="1469"/>
      <c r="D263" s="1469"/>
      <c r="E263" s="1469"/>
      <c r="F263" s="1469"/>
      <c r="G263" s="1469"/>
      <c r="H263" s="1469"/>
      <c r="I263" s="1469"/>
      <c r="J263" s="1469"/>
      <c r="K263" s="1469"/>
      <c r="L263" s="1469"/>
      <c r="M263" s="1469"/>
      <c r="N263" s="1469"/>
      <c r="O263" s="1469"/>
      <c r="P263" s="1469"/>
      <c r="Q263" s="1470"/>
      <c r="R263" s="1469"/>
      <c r="S263" s="1469"/>
      <c r="BA263" s="1474"/>
      <c r="BD263" s="1402"/>
    </row>
    <row r="264" s="873" customFormat="1" ht="14.1" customHeight="1" spans="3:56">
      <c r="C264" s="1469"/>
      <c r="D264" s="1469"/>
      <c r="E264" s="1469"/>
      <c r="F264" s="1469"/>
      <c r="G264" s="1469"/>
      <c r="H264" s="1469"/>
      <c r="I264" s="1469"/>
      <c r="J264" s="1469"/>
      <c r="K264" s="1469"/>
      <c r="L264" s="1469"/>
      <c r="M264" s="1469"/>
      <c r="N264" s="1469"/>
      <c r="O264" s="1469"/>
      <c r="P264" s="1469"/>
      <c r="Q264" s="1470"/>
      <c r="R264" s="1469"/>
      <c r="S264" s="1469"/>
      <c r="BA264" s="1474"/>
      <c r="BD264" s="1402"/>
    </row>
    <row r="265" s="873" customFormat="1" ht="14.1" customHeight="1" spans="3:56">
      <c r="C265" s="1469"/>
      <c r="D265" s="1469"/>
      <c r="E265" s="1469"/>
      <c r="F265" s="1469"/>
      <c r="G265" s="1469"/>
      <c r="H265" s="1469"/>
      <c r="I265" s="1469"/>
      <c r="J265" s="1469"/>
      <c r="K265" s="1469"/>
      <c r="L265" s="1469"/>
      <c r="M265" s="1469"/>
      <c r="N265" s="1469"/>
      <c r="O265" s="1469"/>
      <c r="P265" s="1469"/>
      <c r="Q265" s="1470"/>
      <c r="R265" s="1469"/>
      <c r="S265" s="1469"/>
      <c r="BA265" s="1474"/>
      <c r="BD265" s="1402"/>
    </row>
    <row r="266" s="873" customFormat="1" ht="14.1" customHeight="1" spans="3:56">
      <c r="C266" s="1469"/>
      <c r="D266" s="1469"/>
      <c r="E266" s="1469"/>
      <c r="F266" s="1469"/>
      <c r="G266" s="1469"/>
      <c r="H266" s="1469"/>
      <c r="I266" s="1469"/>
      <c r="J266" s="1469"/>
      <c r="K266" s="1469"/>
      <c r="L266" s="1469"/>
      <c r="M266" s="1469"/>
      <c r="N266" s="1469"/>
      <c r="O266" s="1469"/>
      <c r="P266" s="1469"/>
      <c r="Q266" s="1470"/>
      <c r="R266" s="1469"/>
      <c r="S266" s="1469"/>
      <c r="BA266" s="1474"/>
      <c r="BD266" s="1402"/>
    </row>
    <row r="267" s="873" customFormat="1" ht="14.1" customHeight="1" spans="3:56">
      <c r="C267" s="1469"/>
      <c r="D267" s="1469"/>
      <c r="E267" s="1469"/>
      <c r="F267" s="1469"/>
      <c r="G267" s="1469"/>
      <c r="H267" s="1469"/>
      <c r="I267" s="1469"/>
      <c r="J267" s="1469"/>
      <c r="K267" s="1469"/>
      <c r="L267" s="1469"/>
      <c r="M267" s="1469"/>
      <c r="N267" s="1469"/>
      <c r="O267" s="1469"/>
      <c r="P267" s="1469"/>
      <c r="Q267" s="1470"/>
      <c r="R267" s="1469"/>
      <c r="S267" s="1469"/>
      <c r="BA267" s="1474"/>
      <c r="BD267" s="1402"/>
    </row>
    <row r="268" s="873" customFormat="1" ht="14.1" customHeight="1" spans="3:56">
      <c r="C268" s="1469"/>
      <c r="D268" s="1469"/>
      <c r="E268" s="1469"/>
      <c r="F268" s="1469"/>
      <c r="G268" s="1469"/>
      <c r="H268" s="1469"/>
      <c r="I268" s="1469"/>
      <c r="J268" s="1469"/>
      <c r="K268" s="1469"/>
      <c r="L268" s="1469"/>
      <c r="M268" s="1469"/>
      <c r="N268" s="1469"/>
      <c r="O268" s="1469"/>
      <c r="P268" s="1469"/>
      <c r="Q268" s="1470"/>
      <c r="R268" s="1469"/>
      <c r="S268" s="1469"/>
      <c r="BA268" s="1474"/>
      <c r="BD268" s="1402"/>
    </row>
    <row r="269" s="873" customFormat="1" ht="14.1" customHeight="1" spans="2:56">
      <c r="B269" s="1036" t="s">
        <v>2552</v>
      </c>
      <c r="C269" s="1037"/>
      <c r="BA269" s="1474"/>
      <c r="BD269" s="1402"/>
    </row>
    <row r="270" s="873" customFormat="1" ht="14.1" customHeight="1" spans="2:56">
      <c r="B270" s="1269">
        <v>29</v>
      </c>
      <c r="C270" s="32" t="s">
        <v>2553</v>
      </c>
      <c r="D270" s="1316" t="s">
        <v>2554</v>
      </c>
      <c r="E270" s="979" t="s">
        <v>2555</v>
      </c>
      <c r="F270" s="1269" t="s">
        <v>43</v>
      </c>
      <c r="G270" s="1317" t="s">
        <v>60</v>
      </c>
      <c r="H270" s="1269" t="s">
        <v>45</v>
      </c>
      <c r="I270" s="1269" t="s">
        <v>46</v>
      </c>
      <c r="J270" s="1269" t="s">
        <v>373</v>
      </c>
      <c r="K270" s="1246">
        <v>42282</v>
      </c>
      <c r="L270" s="1246">
        <v>42373</v>
      </c>
      <c r="M270" s="1246">
        <v>42460</v>
      </c>
      <c r="N270" s="1246">
        <v>42551</v>
      </c>
      <c r="O270" s="1246">
        <v>42735</v>
      </c>
      <c r="P270" s="1246">
        <v>42825</v>
      </c>
      <c r="Q270" s="1246">
        <v>42886</v>
      </c>
      <c r="R270" s="1246">
        <v>43012</v>
      </c>
      <c r="S270" s="1246"/>
      <c r="T270" s="1246"/>
      <c r="U270" s="1246"/>
      <c r="V270" s="1246">
        <v>43013</v>
      </c>
      <c r="W270" s="1246">
        <v>43039</v>
      </c>
      <c r="X270" s="1246"/>
      <c r="Y270" s="1246"/>
      <c r="Z270" s="1246"/>
      <c r="AA270" s="1246"/>
      <c r="AB270" s="1246"/>
      <c r="AC270" s="1246"/>
      <c r="AD270" s="1246"/>
      <c r="AE270" s="1246"/>
      <c r="AF270" s="641">
        <f ca="1">SUM(W270-NOW())</f>
        <v>-233.38453703704</v>
      </c>
      <c r="AG270" s="187" t="str">
        <f ca="1">IF(AF270&lt;=40,"WARNING","ACTIVE")</f>
        <v>WARNING</v>
      </c>
      <c r="AH270" s="1320">
        <v>3400000</v>
      </c>
      <c r="AI270" s="1320">
        <v>200000</v>
      </c>
      <c r="AJ270" s="1321">
        <v>17000</v>
      </c>
      <c r="AK270" s="1321"/>
      <c r="AL270" s="1321"/>
      <c r="AM270" s="1321">
        <v>500000</v>
      </c>
      <c r="AN270" s="1321"/>
      <c r="AO270" s="1321"/>
      <c r="AP270" s="1321">
        <v>150000</v>
      </c>
      <c r="AQ270" s="1321" t="s">
        <v>112</v>
      </c>
      <c r="AR270" s="1321" t="s">
        <v>113</v>
      </c>
      <c r="AS270" s="1321" t="s">
        <v>49</v>
      </c>
      <c r="AT270" s="1269" t="s">
        <v>2556</v>
      </c>
      <c r="AU270" s="1269" t="s">
        <v>2557</v>
      </c>
      <c r="AV270" s="1544" t="s">
        <v>2558</v>
      </c>
      <c r="AW270" s="1279" t="s">
        <v>2559</v>
      </c>
      <c r="AX270" s="1279" t="s">
        <v>2560</v>
      </c>
      <c r="AY270" s="1279" t="s">
        <v>2561</v>
      </c>
      <c r="AZ270" s="1279"/>
      <c r="BA270" s="1279" t="s">
        <v>2562</v>
      </c>
      <c r="BB270" s="1279" t="s">
        <v>2563</v>
      </c>
      <c r="BC270" s="1475" t="s">
        <v>2564</v>
      </c>
      <c r="BD270" s="1402" t="s">
        <v>2565</v>
      </c>
    </row>
    <row r="271" s="873" customFormat="1" ht="14.1" customHeight="1" spans="2:56">
      <c r="B271" s="1269">
        <v>108</v>
      </c>
      <c r="C271" s="32" t="s">
        <v>2566</v>
      </c>
      <c r="D271" s="1316" t="s">
        <v>2567</v>
      </c>
      <c r="E271" s="979" t="s">
        <v>2568</v>
      </c>
      <c r="F271" s="1269" t="s">
        <v>43</v>
      </c>
      <c r="G271" s="1317" t="s">
        <v>60</v>
      </c>
      <c r="H271" s="1269" t="s">
        <v>665</v>
      </c>
      <c r="I271" s="1269" t="s">
        <v>428</v>
      </c>
      <c r="J271" s="1269" t="s">
        <v>208</v>
      </c>
      <c r="K271" s="1246">
        <v>42877</v>
      </c>
      <c r="L271" s="1246">
        <v>42947</v>
      </c>
      <c r="M271" s="1246"/>
      <c r="N271" s="1246"/>
      <c r="O271" s="1246"/>
      <c r="P271" s="1246"/>
      <c r="Q271" s="1246"/>
      <c r="R271" s="1246"/>
      <c r="S271" s="1246"/>
      <c r="T271" s="1246"/>
      <c r="U271" s="1246"/>
      <c r="V271" s="1246"/>
      <c r="W271" s="1246"/>
      <c r="X271" s="1246"/>
      <c r="Y271" s="1246"/>
      <c r="Z271" s="1246"/>
      <c r="AA271" s="1246"/>
      <c r="AB271" s="1246"/>
      <c r="AC271" s="1246"/>
      <c r="AD271" s="1246"/>
      <c r="AE271" s="1246"/>
      <c r="AF271" s="641">
        <v>13.3540309027812</v>
      </c>
      <c r="AG271" s="187" t="s">
        <v>2569</v>
      </c>
      <c r="AH271" s="1320">
        <v>3700000</v>
      </c>
      <c r="AI271" s="1320">
        <v>250000</v>
      </c>
      <c r="AJ271" s="1321">
        <v>20000</v>
      </c>
      <c r="AK271" s="1321"/>
      <c r="AL271" s="1321" t="s">
        <v>583</v>
      </c>
      <c r="AM271" s="1321">
        <v>500000</v>
      </c>
      <c r="AN271" s="1321" t="s">
        <v>583</v>
      </c>
      <c r="AO271" s="1321" t="s">
        <v>583</v>
      </c>
      <c r="AP271" s="1321"/>
      <c r="AQ271" s="1321" t="s">
        <v>112</v>
      </c>
      <c r="AR271" s="1321" t="s">
        <v>48</v>
      </c>
      <c r="AS271" s="1321" t="s">
        <v>49</v>
      </c>
      <c r="AT271" s="1269"/>
      <c r="AU271" s="1269" t="s">
        <v>2570</v>
      </c>
      <c r="AV271" s="1279" t="s">
        <v>2571</v>
      </c>
      <c r="AW271" s="1279" t="s">
        <v>2572</v>
      </c>
      <c r="AX271" s="1279" t="s">
        <v>2573</v>
      </c>
      <c r="AY271" s="1279" t="s">
        <v>2574</v>
      </c>
      <c r="AZ271" s="1279" t="s">
        <v>2574</v>
      </c>
      <c r="BA271" s="1279" t="s">
        <v>2575</v>
      </c>
      <c r="BB271" s="1280" t="s">
        <v>2576</v>
      </c>
      <c r="BC271" s="1476" t="s">
        <v>2577</v>
      </c>
      <c r="BD271" s="1402"/>
    </row>
    <row r="272" s="873" customFormat="1" ht="14.1" customHeight="1" spans="2:56">
      <c r="B272" s="1269">
        <v>110</v>
      </c>
      <c r="C272" s="32" t="s">
        <v>2578</v>
      </c>
      <c r="D272" s="1316" t="s">
        <v>2579</v>
      </c>
      <c r="E272" s="979" t="s">
        <v>2580</v>
      </c>
      <c r="F272" s="1269" t="s">
        <v>43</v>
      </c>
      <c r="G272" s="1317" t="s">
        <v>60</v>
      </c>
      <c r="H272" s="1269" t="s">
        <v>841</v>
      </c>
      <c r="I272" s="1269" t="s">
        <v>428</v>
      </c>
      <c r="J272" s="1269" t="s">
        <v>208</v>
      </c>
      <c r="K272" s="1246">
        <v>42885</v>
      </c>
      <c r="L272" s="1246">
        <v>42947</v>
      </c>
      <c r="M272" s="1246"/>
      <c r="N272" s="1246"/>
      <c r="O272" s="1246"/>
      <c r="P272" s="1246"/>
      <c r="Q272" s="1246"/>
      <c r="R272" s="1246"/>
      <c r="S272" s="1246"/>
      <c r="T272" s="1246"/>
      <c r="U272" s="1246"/>
      <c r="V272" s="1246"/>
      <c r="W272" s="1246"/>
      <c r="X272" s="1246"/>
      <c r="Y272" s="1246"/>
      <c r="Z272" s="1246"/>
      <c r="AA272" s="1246"/>
      <c r="AB272" s="1246"/>
      <c r="AC272" s="1246"/>
      <c r="AD272" s="1246"/>
      <c r="AE272" s="1246"/>
      <c r="AF272" s="641">
        <v>13.3540309027812</v>
      </c>
      <c r="AG272" s="187" t="s">
        <v>2569</v>
      </c>
      <c r="AH272" s="1320">
        <v>3700000</v>
      </c>
      <c r="AI272" s="1320">
        <v>250000</v>
      </c>
      <c r="AJ272" s="1321">
        <v>20000</v>
      </c>
      <c r="AK272" s="1321"/>
      <c r="AL272" s="1321" t="s">
        <v>583</v>
      </c>
      <c r="AM272" s="1321">
        <v>500000</v>
      </c>
      <c r="AN272" s="1321" t="s">
        <v>583</v>
      </c>
      <c r="AO272" s="1321" t="s">
        <v>583</v>
      </c>
      <c r="AP272" s="1321"/>
      <c r="AQ272" s="1001" t="s">
        <v>112</v>
      </c>
      <c r="AR272" s="1001" t="s">
        <v>48</v>
      </c>
      <c r="AS272" s="1001" t="s">
        <v>49</v>
      </c>
      <c r="AT272" s="1269"/>
      <c r="AU272" s="1269" t="s">
        <v>2581</v>
      </c>
      <c r="AV272" s="1279" t="s">
        <v>2582</v>
      </c>
      <c r="AW272" s="1279" t="s">
        <v>2583</v>
      </c>
      <c r="AX272" s="1279" t="s">
        <v>2584</v>
      </c>
      <c r="AY272" s="1279"/>
      <c r="AZ272" s="1279"/>
      <c r="BA272" s="1279"/>
      <c r="BB272" s="1280" t="s">
        <v>2585</v>
      </c>
      <c r="BC272" s="1476" t="s">
        <v>2586</v>
      </c>
      <c r="BD272" s="1402"/>
    </row>
    <row r="273" s="873" customFormat="1" ht="14.1" customHeight="1" spans="2:56">
      <c r="B273" s="976">
        <v>115</v>
      </c>
      <c r="C273" s="14" t="s">
        <v>2587</v>
      </c>
      <c r="D273" s="1316" t="s">
        <v>2588</v>
      </c>
      <c r="E273" s="979"/>
      <c r="F273" s="1269"/>
      <c r="G273" s="1317"/>
      <c r="H273" s="1269" t="s">
        <v>1793</v>
      </c>
      <c r="I273" s="1269" t="s">
        <v>428</v>
      </c>
      <c r="J273" s="1269" t="s">
        <v>2589</v>
      </c>
      <c r="K273" s="1246">
        <v>42885</v>
      </c>
      <c r="L273" s="1246">
        <v>42947</v>
      </c>
      <c r="M273" s="1246"/>
      <c r="N273" s="1246"/>
      <c r="O273" s="1246"/>
      <c r="P273" s="1246"/>
      <c r="Q273" s="1246"/>
      <c r="R273" s="1246"/>
      <c r="S273" s="1246"/>
      <c r="T273" s="1246"/>
      <c r="U273" s="1246"/>
      <c r="V273" s="1246"/>
      <c r="W273" s="1246"/>
      <c r="X273" s="1246"/>
      <c r="Y273" s="1246"/>
      <c r="Z273" s="1246"/>
      <c r="AA273" s="1246"/>
      <c r="AB273" s="1246"/>
      <c r="AC273" s="1246"/>
      <c r="AD273" s="1246"/>
      <c r="AE273" s="1246"/>
      <c r="AF273" s="641">
        <v>13.3540309027812</v>
      </c>
      <c r="AG273" s="187" t="s">
        <v>2569</v>
      </c>
      <c r="AH273" s="1320">
        <v>3300000</v>
      </c>
      <c r="AI273" s="1320">
        <v>100000</v>
      </c>
      <c r="AJ273" s="1321">
        <v>17000</v>
      </c>
      <c r="AK273" s="1321"/>
      <c r="AL273" s="1321"/>
      <c r="AM273" s="1321">
        <v>500000</v>
      </c>
      <c r="AN273" s="1321"/>
      <c r="AO273" s="1321"/>
      <c r="AP273" s="1321"/>
      <c r="AQ273" s="1001" t="s">
        <v>112</v>
      </c>
      <c r="AR273" s="1001" t="s">
        <v>48</v>
      </c>
      <c r="AS273" s="1001" t="s">
        <v>49</v>
      </c>
      <c r="AT273" s="1269"/>
      <c r="AU273" s="1269"/>
      <c r="AV273" s="1279"/>
      <c r="AW273" s="1279" t="s">
        <v>2590</v>
      </c>
      <c r="AX273" s="1279"/>
      <c r="AY273" s="1279"/>
      <c r="AZ273" s="1279"/>
      <c r="BA273" s="1279"/>
      <c r="BB273" s="1447" t="s">
        <v>2591</v>
      </c>
      <c r="BC273" s="1476" t="s">
        <v>2592</v>
      </c>
      <c r="BD273" s="1402"/>
    </row>
    <row r="274" s="873" customFormat="1" ht="14.1" customHeight="1" spans="2:56">
      <c r="B274" s="1269">
        <v>1</v>
      </c>
      <c r="C274" s="32" t="s">
        <v>807</v>
      </c>
      <c r="D274" s="1316" t="s">
        <v>808</v>
      </c>
      <c r="E274" s="979" t="s">
        <v>809</v>
      </c>
      <c r="F274" s="1269" t="s">
        <v>43</v>
      </c>
      <c r="G274" s="1317" t="s">
        <v>44</v>
      </c>
      <c r="H274" s="1269" t="s">
        <v>45</v>
      </c>
      <c r="I274" s="1269" t="s">
        <v>46</v>
      </c>
      <c r="J274" s="1269" t="s">
        <v>185</v>
      </c>
      <c r="K274" s="1246">
        <v>42121</v>
      </c>
      <c r="L274" s="1246">
        <v>42490</v>
      </c>
      <c r="M274" s="1246">
        <v>42582</v>
      </c>
      <c r="N274" s="1246">
        <v>42674</v>
      </c>
      <c r="O274" s="1246">
        <v>42735</v>
      </c>
      <c r="P274" s="1246">
        <v>42825</v>
      </c>
      <c r="Q274" s="1246">
        <v>42851</v>
      </c>
      <c r="R274" s="1246"/>
      <c r="S274" s="1246"/>
      <c r="T274" s="1246"/>
      <c r="U274" s="1246"/>
      <c r="V274" s="1246">
        <v>42852</v>
      </c>
      <c r="W274" s="1246">
        <v>42886</v>
      </c>
      <c r="X274" s="1246">
        <v>43100</v>
      </c>
      <c r="Y274" s="1246"/>
      <c r="Z274" s="1246"/>
      <c r="AA274" s="1246"/>
      <c r="AB274" s="1246"/>
      <c r="AC274" s="1246"/>
      <c r="AD274" s="1246"/>
      <c r="AE274" s="1246"/>
      <c r="AF274" s="641">
        <v>148.393812731483</v>
      </c>
      <c r="AG274" s="187" t="s">
        <v>745</v>
      </c>
      <c r="AH274" s="1320">
        <v>2780000</v>
      </c>
      <c r="AI274" s="1320">
        <v>150000</v>
      </c>
      <c r="AJ274" s="1321">
        <v>17000</v>
      </c>
      <c r="AK274" s="1321"/>
      <c r="AL274" s="1321"/>
      <c r="AM274" s="1321"/>
      <c r="AN274" s="1321"/>
      <c r="AO274" s="1321"/>
      <c r="AP274" s="1321"/>
      <c r="AQ274" s="1321" t="s">
        <v>0</v>
      </c>
      <c r="AR274" s="1321" t="s">
        <v>48</v>
      </c>
      <c r="AS274" s="1321" t="s">
        <v>49</v>
      </c>
      <c r="AT274" s="1269" t="s">
        <v>2593</v>
      </c>
      <c r="AU274" s="1269" t="s">
        <v>811</v>
      </c>
      <c r="AV274" s="1544" t="s">
        <v>812</v>
      </c>
      <c r="AW274" s="1279" t="s">
        <v>813</v>
      </c>
      <c r="AX274" s="1279" t="s">
        <v>814</v>
      </c>
      <c r="AY274" s="1279"/>
      <c r="AZ274" s="1279"/>
      <c r="BA274" s="1279" t="s">
        <v>815</v>
      </c>
      <c r="BB274" s="1279"/>
      <c r="BC274" s="1475" t="s">
        <v>2594</v>
      </c>
      <c r="BD274" s="1402" t="s">
        <v>2595</v>
      </c>
    </row>
    <row r="275" s="873" customFormat="1" ht="14.1" customHeight="1" spans="2:56">
      <c r="B275" s="1269">
        <v>19</v>
      </c>
      <c r="C275" s="32" t="s">
        <v>2596</v>
      </c>
      <c r="D275" s="1316" t="s">
        <v>2597</v>
      </c>
      <c r="E275" s="979" t="s">
        <v>2598</v>
      </c>
      <c r="F275" s="1269" t="s">
        <v>43</v>
      </c>
      <c r="G275" s="1317" t="s">
        <v>44</v>
      </c>
      <c r="H275" s="1269" t="s">
        <v>45</v>
      </c>
      <c r="I275" s="1269" t="s">
        <v>46</v>
      </c>
      <c r="J275" s="1269" t="s">
        <v>2599</v>
      </c>
      <c r="K275" s="1246">
        <v>42150</v>
      </c>
      <c r="L275" s="1246">
        <v>42241</v>
      </c>
      <c r="M275" s="1246">
        <v>42333</v>
      </c>
      <c r="N275" s="1246">
        <v>42424</v>
      </c>
      <c r="O275" s="1246">
        <v>42490</v>
      </c>
      <c r="P275" s="1246">
        <v>42674</v>
      </c>
      <c r="Q275" s="1246">
        <v>42704</v>
      </c>
      <c r="R275" s="1246">
        <v>42735</v>
      </c>
      <c r="S275" s="1246">
        <v>42794</v>
      </c>
      <c r="T275" s="1246">
        <v>42855</v>
      </c>
      <c r="U275" s="1246">
        <v>42880</v>
      </c>
      <c r="V275" s="1246">
        <v>42881</v>
      </c>
      <c r="W275" s="1246">
        <v>43039</v>
      </c>
      <c r="X275" s="1246"/>
      <c r="Y275" s="1246"/>
      <c r="Z275" s="1246"/>
      <c r="AA275" s="1246"/>
      <c r="AB275" s="1246"/>
      <c r="AC275" s="1246"/>
      <c r="AD275" s="1246"/>
      <c r="AE275" s="1246"/>
      <c r="AF275" s="641">
        <v>87.3938127314832</v>
      </c>
      <c r="AG275" s="187" t="s">
        <v>745</v>
      </c>
      <c r="AH275" s="1320">
        <v>3100000</v>
      </c>
      <c r="AI275" s="1320">
        <v>100000</v>
      </c>
      <c r="AJ275" s="1321">
        <v>17000</v>
      </c>
      <c r="AK275" s="1321"/>
      <c r="AL275" s="1321"/>
      <c r="AM275" s="1321"/>
      <c r="AN275" s="1321"/>
      <c r="AO275" s="1321"/>
      <c r="AP275" s="1321"/>
      <c r="AQ275" s="1321" t="s">
        <v>112</v>
      </c>
      <c r="AR275" s="1321" t="s">
        <v>113</v>
      </c>
      <c r="AS275" s="1321" t="s">
        <v>49</v>
      </c>
      <c r="AT275" s="1269" t="s">
        <v>2600</v>
      </c>
      <c r="AU275" s="1269" t="s">
        <v>2601</v>
      </c>
      <c r="AV275" s="1544" t="s">
        <v>2602</v>
      </c>
      <c r="AW275" s="1279" t="s">
        <v>2603</v>
      </c>
      <c r="AX275" s="1279" t="s">
        <v>2604</v>
      </c>
      <c r="AY275" s="1279" t="s">
        <v>2605</v>
      </c>
      <c r="AZ275" s="1279">
        <v>0</v>
      </c>
      <c r="BA275" s="1279" t="s">
        <v>2606</v>
      </c>
      <c r="BB275" s="1279" t="s">
        <v>2607</v>
      </c>
      <c r="BC275" s="1475" t="s">
        <v>2608</v>
      </c>
      <c r="BD275" s="1402" t="s">
        <v>2609</v>
      </c>
    </row>
    <row r="276" s="873" customFormat="1" ht="14.1" customHeight="1" spans="2:56">
      <c r="B276" s="1269">
        <v>21</v>
      </c>
      <c r="C276" s="32" t="s">
        <v>2610</v>
      </c>
      <c r="D276" s="1316" t="s">
        <v>2611</v>
      </c>
      <c r="E276" s="979" t="s">
        <v>2612</v>
      </c>
      <c r="F276" s="1269" t="s">
        <v>43</v>
      </c>
      <c r="G276" s="1317" t="s">
        <v>60</v>
      </c>
      <c r="H276" s="1269" t="s">
        <v>45</v>
      </c>
      <c r="I276" s="1269" t="s">
        <v>46</v>
      </c>
      <c r="J276" s="1269" t="s">
        <v>2613</v>
      </c>
      <c r="K276" s="1246">
        <v>42156</v>
      </c>
      <c r="L276" s="1246">
        <v>42247</v>
      </c>
      <c r="M276" s="1246">
        <v>42338</v>
      </c>
      <c r="N276" s="1246">
        <v>42429</v>
      </c>
      <c r="O276" s="1246">
        <v>42490</v>
      </c>
      <c r="P276" s="1246">
        <v>42582</v>
      </c>
      <c r="Q276" s="1246">
        <v>42674</v>
      </c>
      <c r="R276" s="1246">
        <v>42735</v>
      </c>
      <c r="S276" s="1246">
        <v>42825</v>
      </c>
      <c r="T276" s="1246">
        <v>42886</v>
      </c>
      <c r="U276" s="1246">
        <v>42886</v>
      </c>
      <c r="V276" s="1246">
        <v>42887</v>
      </c>
      <c r="W276" s="1246">
        <v>43039</v>
      </c>
      <c r="X276" s="1246"/>
      <c r="Y276" s="1246"/>
      <c r="Z276" s="1246"/>
      <c r="AA276" s="1246"/>
      <c r="AB276" s="1246"/>
      <c r="AC276" s="1246"/>
      <c r="AD276" s="1246"/>
      <c r="AE276" s="1246"/>
      <c r="AF276" s="641">
        <v>87.3938127314832</v>
      </c>
      <c r="AG276" s="187" t="s">
        <v>745</v>
      </c>
      <c r="AH276" s="1320">
        <v>3200000</v>
      </c>
      <c r="AI276" s="1320">
        <v>200000</v>
      </c>
      <c r="AJ276" s="1321">
        <v>17000</v>
      </c>
      <c r="AK276" s="1321"/>
      <c r="AL276" s="1321"/>
      <c r="AM276" s="1321"/>
      <c r="AN276" s="1321"/>
      <c r="AO276" s="1321"/>
      <c r="AP276" s="1321"/>
      <c r="AQ276" s="1321" t="s">
        <v>112</v>
      </c>
      <c r="AR276" s="1321" t="s">
        <v>113</v>
      </c>
      <c r="AS276" s="1321" t="s">
        <v>49</v>
      </c>
      <c r="AT276" s="1269" t="s">
        <v>2614</v>
      </c>
      <c r="AU276" s="1269" t="s">
        <v>2615</v>
      </c>
      <c r="AV276" s="1544" t="s">
        <v>2616</v>
      </c>
      <c r="AW276" s="1279" t="s">
        <v>2617</v>
      </c>
      <c r="AX276" s="1279" t="s">
        <v>2618</v>
      </c>
      <c r="AY276" s="1279">
        <v>0</v>
      </c>
      <c r="AZ276" s="1279">
        <v>0</v>
      </c>
      <c r="BA276" s="1279" t="s">
        <v>2619</v>
      </c>
      <c r="BB276" s="1279" t="s">
        <v>2620</v>
      </c>
      <c r="BC276" s="1475" t="s">
        <v>2621</v>
      </c>
      <c r="BD276" s="1402" t="s">
        <v>2622</v>
      </c>
    </row>
    <row r="277" s="873" customFormat="1" ht="14.1" customHeight="1" spans="2:56">
      <c r="B277" s="1269">
        <v>36</v>
      </c>
      <c r="C277" s="32" t="s">
        <v>2623</v>
      </c>
      <c r="D277" s="1316" t="s">
        <v>2624</v>
      </c>
      <c r="E277" s="979" t="s">
        <v>2625</v>
      </c>
      <c r="F277" s="1269" t="s">
        <v>43</v>
      </c>
      <c r="G277" s="1317" t="s">
        <v>43</v>
      </c>
      <c r="H277" s="1269" t="s">
        <v>45</v>
      </c>
      <c r="I277" s="1269" t="s">
        <v>46</v>
      </c>
      <c r="J277" s="1269" t="s">
        <v>185</v>
      </c>
      <c r="K277" s="1246">
        <v>42366</v>
      </c>
      <c r="L277" s="1246">
        <v>42456</v>
      </c>
      <c r="M277" s="1246">
        <v>42551</v>
      </c>
      <c r="N277" s="1246">
        <v>42643</v>
      </c>
      <c r="O277" s="1246">
        <v>42735</v>
      </c>
      <c r="P277" s="1246">
        <v>42825</v>
      </c>
      <c r="Q277" s="1246">
        <v>42886</v>
      </c>
      <c r="R277" s="1246">
        <v>43039</v>
      </c>
      <c r="S277" s="1246"/>
      <c r="T277" s="1246"/>
      <c r="U277" s="1246"/>
      <c r="V277" s="1246"/>
      <c r="W277" s="1246"/>
      <c r="X277" s="1246"/>
      <c r="Y277" s="1246"/>
      <c r="Z277" s="1246"/>
      <c r="AA277" s="1246"/>
      <c r="AB277" s="1246"/>
      <c r="AC277" s="1246"/>
      <c r="AD277" s="1246"/>
      <c r="AE277" s="1246"/>
      <c r="AF277" s="641">
        <v>87.3938127314832</v>
      </c>
      <c r="AG277" s="187" t="s">
        <v>745</v>
      </c>
      <c r="AH277" s="1320">
        <v>2780000</v>
      </c>
      <c r="AI277" s="1320">
        <v>150000</v>
      </c>
      <c r="AJ277" s="1321">
        <v>17000</v>
      </c>
      <c r="AK277" s="1321"/>
      <c r="AL277" s="1321"/>
      <c r="AM277" s="1321"/>
      <c r="AN277" s="1321"/>
      <c r="AO277" s="1321"/>
      <c r="AP277" s="1321"/>
      <c r="AQ277" s="1321" t="s">
        <v>112</v>
      </c>
      <c r="AR277" s="1321" t="s">
        <v>113</v>
      </c>
      <c r="AS277" s="1321" t="s">
        <v>49</v>
      </c>
      <c r="AT277" s="1269" t="s">
        <v>2626</v>
      </c>
      <c r="AU277" s="1269" t="s">
        <v>2627</v>
      </c>
      <c r="AV277" s="1544" t="s">
        <v>2628</v>
      </c>
      <c r="AW277" s="1279" t="s">
        <v>2629</v>
      </c>
      <c r="AX277" s="1279" t="s">
        <v>2630</v>
      </c>
      <c r="AY277" s="1279">
        <v>0</v>
      </c>
      <c r="AZ277" s="1279">
        <v>0</v>
      </c>
      <c r="BA277" s="1279" t="s">
        <v>2631</v>
      </c>
      <c r="BB277" s="1279" t="s">
        <v>2632</v>
      </c>
      <c r="BC277" s="1475" t="s">
        <v>2633</v>
      </c>
      <c r="BD277" s="1402" t="s">
        <v>2634</v>
      </c>
    </row>
    <row r="278" s="873" customFormat="1" ht="14.1" customHeight="1" spans="2:56">
      <c r="B278" s="1269">
        <v>40</v>
      </c>
      <c r="C278" s="32" t="s">
        <v>2635</v>
      </c>
      <c r="D278" s="1316" t="s">
        <v>2636</v>
      </c>
      <c r="E278" s="979" t="s">
        <v>2637</v>
      </c>
      <c r="F278" s="1269" t="s">
        <v>43</v>
      </c>
      <c r="G278" s="1317" t="s">
        <v>404</v>
      </c>
      <c r="H278" s="1269" t="s">
        <v>276</v>
      </c>
      <c r="I278" s="1269" t="s">
        <v>46</v>
      </c>
      <c r="J278" s="1269" t="s">
        <v>208</v>
      </c>
      <c r="K278" s="1246">
        <v>42452</v>
      </c>
      <c r="L278" s="1246">
        <v>42543</v>
      </c>
      <c r="M278" s="1246">
        <v>42643</v>
      </c>
      <c r="N278" s="1246">
        <v>42735</v>
      </c>
      <c r="O278" s="1246">
        <v>42825</v>
      </c>
      <c r="P278" s="1246">
        <v>42886</v>
      </c>
      <c r="Q278" s="1246">
        <v>43100</v>
      </c>
      <c r="R278" s="1246"/>
      <c r="S278" s="1246"/>
      <c r="T278" s="1246"/>
      <c r="U278" s="1246"/>
      <c r="V278" s="1246"/>
      <c r="W278" s="1246"/>
      <c r="X278" s="1246"/>
      <c r="Y278" s="1246"/>
      <c r="Z278" s="1246"/>
      <c r="AA278" s="1246"/>
      <c r="AB278" s="1246"/>
      <c r="AC278" s="1246"/>
      <c r="AD278" s="1246"/>
      <c r="AE278" s="1246"/>
      <c r="AF278" s="641">
        <v>148.393812731483</v>
      </c>
      <c r="AG278" s="187" t="s">
        <v>745</v>
      </c>
      <c r="AH278" s="1320">
        <v>3700000</v>
      </c>
      <c r="AI278" s="1320">
        <v>250000</v>
      </c>
      <c r="AJ278" s="1321">
        <v>20000</v>
      </c>
      <c r="AK278" s="1321"/>
      <c r="AL278" s="1321"/>
      <c r="AM278" s="1321">
        <v>500000</v>
      </c>
      <c r="AN278" s="1321"/>
      <c r="AO278" s="1321"/>
      <c r="AP278" s="1321">
        <v>100000</v>
      </c>
      <c r="AQ278" s="1321" t="s">
        <v>112</v>
      </c>
      <c r="AR278" s="1321" t="s">
        <v>113</v>
      </c>
      <c r="AS278" s="1321" t="s">
        <v>49</v>
      </c>
      <c r="AT278" s="1269" t="s">
        <v>2638</v>
      </c>
      <c r="AU278" s="1269" t="s">
        <v>2639</v>
      </c>
      <c r="AV278" s="1544" t="s">
        <v>2640</v>
      </c>
      <c r="AW278" s="1279" t="s">
        <v>2641</v>
      </c>
      <c r="AX278" s="1279" t="s">
        <v>2642</v>
      </c>
      <c r="AY278" s="1279" t="s">
        <v>2643</v>
      </c>
      <c r="AZ278" s="1279"/>
      <c r="BA278" s="1279" t="s">
        <v>2644</v>
      </c>
      <c r="BB278" s="1279" t="s">
        <v>2645</v>
      </c>
      <c r="BC278" s="1475" t="s">
        <v>2646</v>
      </c>
      <c r="BD278" s="1402" t="s">
        <v>2647</v>
      </c>
    </row>
    <row r="279" s="873" customFormat="1" ht="14.1" customHeight="1" spans="2:56">
      <c r="B279" s="1269">
        <v>52</v>
      </c>
      <c r="C279" s="32" t="s">
        <v>2648</v>
      </c>
      <c r="D279" s="1316" t="s">
        <v>2649</v>
      </c>
      <c r="E279" s="979" t="s">
        <v>2650</v>
      </c>
      <c r="F279" s="1269" t="s">
        <v>43</v>
      </c>
      <c r="G279" s="1317" t="s">
        <v>60</v>
      </c>
      <c r="H279" s="1269" t="s">
        <v>361</v>
      </c>
      <c r="I279" s="1269" t="s">
        <v>46</v>
      </c>
      <c r="J279" s="1269" t="s">
        <v>185</v>
      </c>
      <c r="K279" s="1246">
        <v>42515</v>
      </c>
      <c r="L279" s="1246">
        <v>42606</v>
      </c>
      <c r="M279" s="1246">
        <v>42735</v>
      </c>
      <c r="N279" s="1246">
        <v>42825</v>
      </c>
      <c r="O279" s="1246">
        <v>42886</v>
      </c>
      <c r="P279" s="1246">
        <v>43100</v>
      </c>
      <c r="Q279" s="1246"/>
      <c r="R279" s="1246"/>
      <c r="S279" s="1246"/>
      <c r="T279" s="1246"/>
      <c r="U279" s="1246"/>
      <c r="V279" s="1246"/>
      <c r="W279" s="1246"/>
      <c r="X279" s="1246"/>
      <c r="Y279" s="1246"/>
      <c r="Z279" s="1246"/>
      <c r="AA279" s="1246"/>
      <c r="AB279" s="1246"/>
      <c r="AC279" s="1246"/>
      <c r="AD279" s="1246"/>
      <c r="AE279" s="1246"/>
      <c r="AF279" s="641">
        <v>148.393812731483</v>
      </c>
      <c r="AG279" s="187" t="s">
        <v>745</v>
      </c>
      <c r="AH279" s="1320">
        <v>2765000</v>
      </c>
      <c r="AI279" s="1320">
        <v>150000</v>
      </c>
      <c r="AJ279" s="1321">
        <v>17000</v>
      </c>
      <c r="AK279" s="1321"/>
      <c r="AL279" s="1321"/>
      <c r="AM279" s="1321"/>
      <c r="AN279" s="1321"/>
      <c r="AO279" s="1321"/>
      <c r="AP279" s="1321"/>
      <c r="AQ279" s="1321" t="s">
        <v>112</v>
      </c>
      <c r="AR279" s="1321" t="s">
        <v>113</v>
      </c>
      <c r="AS279" s="1321" t="s">
        <v>49</v>
      </c>
      <c r="AT279" s="1269" t="s">
        <v>2651</v>
      </c>
      <c r="AU279" s="1269" t="s">
        <v>2652</v>
      </c>
      <c r="AV279" s="1544" t="s">
        <v>2653</v>
      </c>
      <c r="AW279" s="1279" t="s">
        <v>2654</v>
      </c>
      <c r="AX279" s="1279" t="s">
        <v>2655</v>
      </c>
      <c r="AY279" s="1279"/>
      <c r="AZ279" s="1279"/>
      <c r="BA279" s="1279" t="s">
        <v>2656</v>
      </c>
      <c r="BB279" s="1279" t="s">
        <v>2657</v>
      </c>
      <c r="BC279" s="1475" t="s">
        <v>2658</v>
      </c>
      <c r="BD279" s="1402" t="s">
        <v>2659</v>
      </c>
    </row>
    <row r="280" s="873" customFormat="1" ht="14.1" customHeight="1" spans="2:56">
      <c r="B280" s="1269">
        <v>66</v>
      </c>
      <c r="C280" s="32" t="s">
        <v>2660</v>
      </c>
      <c r="D280" s="1316" t="s">
        <v>2661</v>
      </c>
      <c r="E280" s="979" t="s">
        <v>2662</v>
      </c>
      <c r="F280" s="1269" t="s">
        <v>43</v>
      </c>
      <c r="G280" s="1317" t="s">
        <v>60</v>
      </c>
      <c r="H280" s="1269" t="s">
        <v>361</v>
      </c>
      <c r="I280" s="1269" t="s">
        <v>428</v>
      </c>
      <c r="J280" s="1269" t="s">
        <v>208</v>
      </c>
      <c r="K280" s="1246">
        <v>42717</v>
      </c>
      <c r="L280" s="1246">
        <v>42794</v>
      </c>
      <c r="M280" s="1246">
        <v>42855</v>
      </c>
      <c r="N280" s="1246">
        <v>43100</v>
      </c>
      <c r="O280" s="1246"/>
      <c r="P280" s="1246"/>
      <c r="Q280" s="1246"/>
      <c r="R280" s="1246"/>
      <c r="S280" s="1246"/>
      <c r="T280" s="1246"/>
      <c r="U280" s="1246"/>
      <c r="V280" s="1246"/>
      <c r="W280" s="1246"/>
      <c r="X280" s="1246"/>
      <c r="Y280" s="1246"/>
      <c r="Z280" s="1246"/>
      <c r="AA280" s="1246"/>
      <c r="AB280" s="1246"/>
      <c r="AC280" s="1246"/>
      <c r="AD280" s="1246"/>
      <c r="AE280" s="1246"/>
      <c r="AF280" s="641">
        <v>148.393812731483</v>
      </c>
      <c r="AG280" s="187" t="s">
        <v>745</v>
      </c>
      <c r="AH280" s="1320">
        <v>4200000</v>
      </c>
      <c r="AI280" s="1320">
        <v>250000</v>
      </c>
      <c r="AJ280" s="1321">
        <v>20000</v>
      </c>
      <c r="AK280" s="1321"/>
      <c r="AL280" s="1321"/>
      <c r="AM280" s="1321">
        <v>500000</v>
      </c>
      <c r="AN280" s="1321"/>
      <c r="AO280" s="1321"/>
      <c r="AP280" s="1321">
        <v>0</v>
      </c>
      <c r="AQ280" s="1321" t="s">
        <v>112</v>
      </c>
      <c r="AR280" s="1321" t="s">
        <v>48</v>
      </c>
      <c r="AS280" s="1321" t="s">
        <v>49</v>
      </c>
      <c r="AT280" s="1269" t="s">
        <v>2663</v>
      </c>
      <c r="AU280" s="1269" t="s">
        <v>2664</v>
      </c>
      <c r="AV280" s="1544" t="s">
        <v>2665</v>
      </c>
      <c r="AW280" s="1279" t="s">
        <v>2666</v>
      </c>
      <c r="AX280" s="1279" t="s">
        <v>2667</v>
      </c>
      <c r="AY280" s="1279" t="s">
        <v>2668</v>
      </c>
      <c r="AZ280" s="1279"/>
      <c r="BA280" s="1279"/>
      <c r="BB280" s="1279" t="s">
        <v>2669</v>
      </c>
      <c r="BC280" s="1475" t="s">
        <v>2670</v>
      </c>
      <c r="BD280" s="1402" t="s">
        <v>2671</v>
      </c>
    </row>
    <row r="281" s="873" customFormat="1" ht="14.1" customHeight="1" spans="2:56">
      <c r="B281" s="1269">
        <v>97</v>
      </c>
      <c r="C281" s="32" t="s">
        <v>2672</v>
      </c>
      <c r="D281" s="1316" t="s">
        <v>2673</v>
      </c>
      <c r="E281" s="979" t="s">
        <v>2674</v>
      </c>
      <c r="F281" s="1269" t="s">
        <v>43</v>
      </c>
      <c r="G281" s="1317" t="s">
        <v>44</v>
      </c>
      <c r="H281" s="1269" t="s">
        <v>1269</v>
      </c>
      <c r="I281" s="1269" t="s">
        <v>428</v>
      </c>
      <c r="J281" s="1269" t="s">
        <v>185</v>
      </c>
      <c r="K281" s="1246">
        <v>42863</v>
      </c>
      <c r="L281" s="1246">
        <v>42947</v>
      </c>
      <c r="M281" s="1246"/>
      <c r="N281" s="1246"/>
      <c r="O281" s="1246"/>
      <c r="P281" s="1246"/>
      <c r="Q281" s="1246"/>
      <c r="R281" s="1246"/>
      <c r="S281" s="1246"/>
      <c r="T281" s="1246"/>
      <c r="U281" s="1246"/>
      <c r="V281" s="1246"/>
      <c r="W281" s="1246"/>
      <c r="X281" s="1246"/>
      <c r="Y281" s="1246"/>
      <c r="Z281" s="1246"/>
      <c r="AA281" s="1246"/>
      <c r="AB281" s="1246"/>
      <c r="AC281" s="1246"/>
      <c r="AD281" s="1246"/>
      <c r="AE281" s="1246"/>
      <c r="AF281" s="641">
        <v>-4.60618726851681</v>
      </c>
      <c r="AG281" s="187" t="s">
        <v>2569</v>
      </c>
      <c r="AH281" s="1320">
        <v>2765000</v>
      </c>
      <c r="AI281" s="1320">
        <v>150000</v>
      </c>
      <c r="AJ281" s="1321">
        <v>17000</v>
      </c>
      <c r="AK281" s="1321"/>
      <c r="AL281" s="1321" t="s">
        <v>583</v>
      </c>
      <c r="AM281" s="1321" t="s">
        <v>583</v>
      </c>
      <c r="AN281" s="1321" t="s">
        <v>583</v>
      </c>
      <c r="AO281" s="1321"/>
      <c r="AP281" s="1321">
        <v>150000</v>
      </c>
      <c r="AQ281" s="1321" t="s">
        <v>112</v>
      </c>
      <c r="AR281" s="1321" t="s">
        <v>48</v>
      </c>
      <c r="AS281" s="1321" t="s">
        <v>49</v>
      </c>
      <c r="AT281" s="1269"/>
      <c r="AU281" s="1269" t="s">
        <v>2675</v>
      </c>
      <c r="AV281" s="1279" t="s">
        <v>2676</v>
      </c>
      <c r="AW281" s="1279" t="s">
        <v>2677</v>
      </c>
      <c r="AX281" s="1279" t="s">
        <v>2678</v>
      </c>
      <c r="AY281" s="1279"/>
      <c r="AZ281" s="1279"/>
      <c r="BA281" s="1279"/>
      <c r="BB281" s="1279"/>
      <c r="BC281" s="1475" t="s">
        <v>2679</v>
      </c>
      <c r="BD281" s="1402" t="s">
        <v>2680</v>
      </c>
    </row>
    <row r="282" s="873" customFormat="1" ht="14.1" customHeight="1" spans="2:56">
      <c r="B282" s="1269">
        <v>98</v>
      </c>
      <c r="C282" s="32" t="s">
        <v>2681</v>
      </c>
      <c r="D282" s="1316" t="s">
        <v>2682</v>
      </c>
      <c r="E282" s="979" t="s">
        <v>2683</v>
      </c>
      <c r="F282" s="1269" t="s">
        <v>43</v>
      </c>
      <c r="G282" s="1317"/>
      <c r="H282" s="1269" t="s">
        <v>1269</v>
      </c>
      <c r="I282" s="1269" t="s">
        <v>428</v>
      </c>
      <c r="J282" s="1269" t="s">
        <v>61</v>
      </c>
      <c r="K282" s="1246">
        <v>42863</v>
      </c>
      <c r="L282" s="1246">
        <v>42947</v>
      </c>
      <c r="M282" s="1246"/>
      <c r="N282" s="1246"/>
      <c r="O282" s="1246"/>
      <c r="P282" s="1246"/>
      <c r="Q282" s="1246"/>
      <c r="R282" s="1246"/>
      <c r="S282" s="1246"/>
      <c r="T282" s="1246"/>
      <c r="U282" s="1246"/>
      <c r="V282" s="1246"/>
      <c r="W282" s="1246"/>
      <c r="X282" s="1246"/>
      <c r="Y282" s="1246"/>
      <c r="Z282" s="1246"/>
      <c r="AA282" s="1246"/>
      <c r="AB282" s="1246"/>
      <c r="AC282" s="1246"/>
      <c r="AD282" s="1246"/>
      <c r="AE282" s="1246"/>
      <c r="AF282" s="641">
        <v>-4.60618726851681</v>
      </c>
      <c r="AG282" s="187" t="s">
        <v>2569</v>
      </c>
      <c r="AH282" s="1320">
        <v>3000000</v>
      </c>
      <c r="AI282" s="1320">
        <v>200000</v>
      </c>
      <c r="AJ282" s="1321">
        <v>17000</v>
      </c>
      <c r="AK282" s="1321"/>
      <c r="AL282" s="1321" t="s">
        <v>583</v>
      </c>
      <c r="AM282" s="1321" t="s">
        <v>583</v>
      </c>
      <c r="AN282" s="1321" t="s">
        <v>583</v>
      </c>
      <c r="AO282" s="1321"/>
      <c r="AP282" s="1321">
        <v>400000</v>
      </c>
      <c r="AQ282" s="1321" t="s">
        <v>112</v>
      </c>
      <c r="AR282" s="1321" t="s">
        <v>48</v>
      </c>
      <c r="AS282" s="1321" t="s">
        <v>49</v>
      </c>
      <c r="AT282" s="1269"/>
      <c r="AU282" s="1269" t="s">
        <v>2684</v>
      </c>
      <c r="AV282" s="1279" t="s">
        <v>2685</v>
      </c>
      <c r="AW282" s="1279"/>
      <c r="AX282" s="1279" t="s">
        <v>2686</v>
      </c>
      <c r="AY282" s="1279"/>
      <c r="AZ282" s="1279"/>
      <c r="BA282" s="1279"/>
      <c r="BB282" s="1279"/>
      <c r="BC282" s="1475" t="s">
        <v>2679</v>
      </c>
      <c r="BD282" s="1402" t="s">
        <v>2680</v>
      </c>
    </row>
    <row r="283" s="873" customFormat="1" ht="14.1" customHeight="1" spans="2:56">
      <c r="B283" s="1269">
        <v>99</v>
      </c>
      <c r="C283" s="32" t="s">
        <v>2687</v>
      </c>
      <c r="D283" s="1316" t="s">
        <v>2688</v>
      </c>
      <c r="E283" s="979" t="s">
        <v>2689</v>
      </c>
      <c r="F283" s="1269" t="s">
        <v>43</v>
      </c>
      <c r="G283" s="1317" t="s">
        <v>44</v>
      </c>
      <c r="H283" s="1269" t="s">
        <v>1269</v>
      </c>
      <c r="I283" s="1269" t="s">
        <v>428</v>
      </c>
      <c r="J283" s="1269" t="s">
        <v>185</v>
      </c>
      <c r="K283" s="1246">
        <v>42863</v>
      </c>
      <c r="L283" s="1246">
        <v>42947</v>
      </c>
      <c r="M283" s="1246"/>
      <c r="N283" s="1246"/>
      <c r="O283" s="1246"/>
      <c r="P283" s="1246"/>
      <c r="Q283" s="1246"/>
      <c r="R283" s="1246"/>
      <c r="S283" s="1246"/>
      <c r="T283" s="1246"/>
      <c r="U283" s="1246"/>
      <c r="V283" s="1246"/>
      <c r="W283" s="1246"/>
      <c r="X283" s="1246"/>
      <c r="Y283" s="1246"/>
      <c r="Z283" s="1246"/>
      <c r="AA283" s="1246"/>
      <c r="AB283" s="1246"/>
      <c r="AC283" s="1246"/>
      <c r="AD283" s="1246"/>
      <c r="AE283" s="1246"/>
      <c r="AF283" s="641">
        <v>-4.60618726851681</v>
      </c>
      <c r="AG283" s="187" t="s">
        <v>2569</v>
      </c>
      <c r="AH283" s="1320">
        <v>2765000</v>
      </c>
      <c r="AI283" s="1320">
        <v>150000</v>
      </c>
      <c r="AJ283" s="1321">
        <v>17000</v>
      </c>
      <c r="AK283" s="1321"/>
      <c r="AL283" s="1321" t="s">
        <v>583</v>
      </c>
      <c r="AM283" s="1321" t="s">
        <v>583</v>
      </c>
      <c r="AN283" s="1321" t="s">
        <v>583</v>
      </c>
      <c r="AO283" s="1321"/>
      <c r="AP283" s="1321">
        <v>150000</v>
      </c>
      <c r="AQ283" s="1321" t="s">
        <v>112</v>
      </c>
      <c r="AR283" s="1321" t="s">
        <v>48</v>
      </c>
      <c r="AS283" s="1321" t="s">
        <v>49</v>
      </c>
      <c r="AT283" s="1269"/>
      <c r="AU283" s="1269" t="s">
        <v>2690</v>
      </c>
      <c r="AV283" s="1279" t="s">
        <v>2691</v>
      </c>
      <c r="AW283" s="1279"/>
      <c r="AX283" s="1279" t="s">
        <v>2692</v>
      </c>
      <c r="AY283" s="1279"/>
      <c r="AZ283" s="1279"/>
      <c r="BA283" s="1279"/>
      <c r="BB283" s="1279"/>
      <c r="BC283" s="1475" t="s">
        <v>2679</v>
      </c>
      <c r="BD283" s="1402" t="s">
        <v>2680</v>
      </c>
    </row>
    <row r="284" s="873" customFormat="1" ht="14.1" customHeight="1" spans="2:56">
      <c r="B284" s="1269">
        <v>101</v>
      </c>
      <c r="C284" s="32" t="s">
        <v>2693</v>
      </c>
      <c r="D284" s="1316" t="s">
        <v>2694</v>
      </c>
      <c r="E284" s="979" t="s">
        <v>2695</v>
      </c>
      <c r="F284" s="1269" t="s">
        <v>43</v>
      </c>
      <c r="G284" s="1317" t="s">
        <v>254</v>
      </c>
      <c r="H284" s="1269" t="s">
        <v>1269</v>
      </c>
      <c r="I284" s="1269" t="s">
        <v>428</v>
      </c>
      <c r="J284" s="1269" t="s">
        <v>208</v>
      </c>
      <c r="K284" s="1246">
        <v>42863</v>
      </c>
      <c r="L284" s="1246">
        <v>42947</v>
      </c>
      <c r="M284" s="1246"/>
      <c r="N284" s="1246"/>
      <c r="O284" s="1246"/>
      <c r="P284" s="1246"/>
      <c r="Q284" s="1246"/>
      <c r="R284" s="1246"/>
      <c r="S284" s="1246"/>
      <c r="T284" s="1246"/>
      <c r="U284" s="1246"/>
      <c r="V284" s="1246"/>
      <c r="W284" s="1246"/>
      <c r="X284" s="1246"/>
      <c r="Y284" s="1246"/>
      <c r="Z284" s="1246"/>
      <c r="AA284" s="1246"/>
      <c r="AB284" s="1246"/>
      <c r="AC284" s="1246"/>
      <c r="AD284" s="1246"/>
      <c r="AE284" s="1246"/>
      <c r="AF284" s="641">
        <v>-4.60618726851681</v>
      </c>
      <c r="AG284" s="187" t="s">
        <v>2569</v>
      </c>
      <c r="AH284" s="1320">
        <v>3800000</v>
      </c>
      <c r="AI284" s="1320">
        <v>250000</v>
      </c>
      <c r="AJ284" s="1321">
        <v>20000</v>
      </c>
      <c r="AK284" s="1321"/>
      <c r="AL284" s="1321" t="s">
        <v>583</v>
      </c>
      <c r="AM284" s="1321">
        <v>500000</v>
      </c>
      <c r="AN284" s="1321" t="s">
        <v>583</v>
      </c>
      <c r="AO284" s="1321"/>
      <c r="AP284" s="1321" t="s">
        <v>583</v>
      </c>
      <c r="AQ284" s="1321" t="s">
        <v>112</v>
      </c>
      <c r="AR284" s="1321" t="s">
        <v>48</v>
      </c>
      <c r="AS284" s="1321" t="s">
        <v>49</v>
      </c>
      <c r="AT284" s="1269"/>
      <c r="AU284" s="1269" t="s">
        <v>2696</v>
      </c>
      <c r="AV284" s="1279" t="s">
        <v>2697</v>
      </c>
      <c r="AW284" s="1279" t="s">
        <v>2698</v>
      </c>
      <c r="AX284" s="1279" t="s">
        <v>2699</v>
      </c>
      <c r="AY284" s="1279" t="s">
        <v>2700</v>
      </c>
      <c r="AZ284" s="1279"/>
      <c r="BA284" s="1279" t="s">
        <v>2701</v>
      </c>
      <c r="BB284" s="1280" t="s">
        <v>2702</v>
      </c>
      <c r="BC284" s="1475" t="s">
        <v>2679</v>
      </c>
      <c r="BD284" s="1402" t="s">
        <v>2680</v>
      </c>
    </row>
    <row r="285" s="873" customFormat="1" ht="14.1" customHeight="1" spans="2:56">
      <c r="B285" s="1269">
        <v>102</v>
      </c>
      <c r="C285" s="32" t="s">
        <v>2703</v>
      </c>
      <c r="D285" s="1316" t="s">
        <v>2704</v>
      </c>
      <c r="E285" s="979" t="s">
        <v>2705</v>
      </c>
      <c r="F285" s="1269" t="s">
        <v>43</v>
      </c>
      <c r="G285" s="1317" t="s">
        <v>254</v>
      </c>
      <c r="H285" s="1269" t="s">
        <v>1269</v>
      </c>
      <c r="I285" s="1269" t="s">
        <v>428</v>
      </c>
      <c r="J285" s="1269" t="s">
        <v>61</v>
      </c>
      <c r="K285" s="1246">
        <v>42863</v>
      </c>
      <c r="L285" s="1246">
        <v>42947</v>
      </c>
      <c r="M285" s="1246"/>
      <c r="N285" s="1246"/>
      <c r="O285" s="1246"/>
      <c r="P285" s="1246"/>
      <c r="Q285" s="1246"/>
      <c r="R285" s="1246"/>
      <c r="S285" s="1246"/>
      <c r="T285" s="1246"/>
      <c r="U285" s="1246"/>
      <c r="V285" s="1246"/>
      <c r="W285" s="1246"/>
      <c r="X285" s="1246"/>
      <c r="Y285" s="1246"/>
      <c r="Z285" s="1246"/>
      <c r="AA285" s="1246"/>
      <c r="AB285" s="1246"/>
      <c r="AC285" s="1246"/>
      <c r="AD285" s="1246"/>
      <c r="AE285" s="1246"/>
      <c r="AF285" s="641">
        <v>-4.60618726851681</v>
      </c>
      <c r="AG285" s="187" t="s">
        <v>2569</v>
      </c>
      <c r="AH285" s="1320">
        <v>3000000</v>
      </c>
      <c r="AI285" s="1320">
        <v>200000</v>
      </c>
      <c r="AJ285" s="1321">
        <v>17000</v>
      </c>
      <c r="AK285" s="1321"/>
      <c r="AL285" s="1321" t="s">
        <v>583</v>
      </c>
      <c r="AM285" s="1321" t="s">
        <v>583</v>
      </c>
      <c r="AN285" s="1321" t="s">
        <v>583</v>
      </c>
      <c r="AO285" s="1321"/>
      <c r="AP285" s="1321">
        <v>400000</v>
      </c>
      <c r="AQ285" s="1321" t="s">
        <v>112</v>
      </c>
      <c r="AR285" s="1321" t="s">
        <v>48</v>
      </c>
      <c r="AS285" s="1321" t="s">
        <v>49</v>
      </c>
      <c r="AT285" s="1269"/>
      <c r="AU285" s="1269" t="s">
        <v>2706</v>
      </c>
      <c r="AV285" s="1279" t="s">
        <v>2707</v>
      </c>
      <c r="AW285" s="1279"/>
      <c r="AX285" s="1279" t="s">
        <v>2708</v>
      </c>
      <c r="AY285" s="1279"/>
      <c r="AZ285" s="1279"/>
      <c r="BA285" s="1279"/>
      <c r="BB285" s="1279"/>
      <c r="BC285" s="1475" t="s">
        <v>2679</v>
      </c>
      <c r="BD285" s="1402" t="s">
        <v>2680</v>
      </c>
    </row>
    <row r="286" s="873" customFormat="1" ht="14.1" customHeight="1" spans="2:56">
      <c r="B286" s="1269">
        <v>103</v>
      </c>
      <c r="C286" s="32" t="s">
        <v>2709</v>
      </c>
      <c r="D286" s="1316" t="s">
        <v>2710</v>
      </c>
      <c r="E286" s="979" t="s">
        <v>2711</v>
      </c>
      <c r="F286" s="1269"/>
      <c r="G286" s="1317"/>
      <c r="H286" s="1269" t="s">
        <v>665</v>
      </c>
      <c r="I286" s="1269" t="s">
        <v>428</v>
      </c>
      <c r="J286" s="1269" t="s">
        <v>61</v>
      </c>
      <c r="K286" s="1246">
        <v>42870</v>
      </c>
      <c r="L286" s="1246">
        <v>42947</v>
      </c>
      <c r="M286" s="1246"/>
      <c r="N286" s="1246"/>
      <c r="O286" s="1246"/>
      <c r="P286" s="1246"/>
      <c r="Q286" s="1246"/>
      <c r="R286" s="1246"/>
      <c r="S286" s="1246"/>
      <c r="T286" s="1246"/>
      <c r="U286" s="1246"/>
      <c r="V286" s="1246"/>
      <c r="W286" s="1246"/>
      <c r="X286" s="1246"/>
      <c r="Y286" s="1246"/>
      <c r="Z286" s="1246"/>
      <c r="AA286" s="1246"/>
      <c r="AB286" s="1246"/>
      <c r="AC286" s="1246"/>
      <c r="AD286" s="1246"/>
      <c r="AE286" s="1246"/>
      <c r="AF286" s="641">
        <v>-4.60618726851681</v>
      </c>
      <c r="AG286" s="187" t="s">
        <v>2569</v>
      </c>
      <c r="AH286" s="1320">
        <v>3000000</v>
      </c>
      <c r="AI286" s="1471">
        <v>200000</v>
      </c>
      <c r="AJ286" s="1321">
        <v>17000</v>
      </c>
      <c r="AK286" s="1472"/>
      <c r="AL286" s="1472"/>
      <c r="AM286" s="1472"/>
      <c r="AN286" s="1472"/>
      <c r="AO286" s="1472"/>
      <c r="AP286" s="1472"/>
      <c r="AQ286" s="1321" t="s">
        <v>112</v>
      </c>
      <c r="AR286" s="1321" t="s">
        <v>48</v>
      </c>
      <c r="AS286" s="1321" t="s">
        <v>49</v>
      </c>
      <c r="AT286" s="1269"/>
      <c r="AU286" s="1269" t="s">
        <v>2712</v>
      </c>
      <c r="AV286" s="1544" t="s">
        <v>2713</v>
      </c>
      <c r="AW286" s="1279"/>
      <c r="AX286" s="1279"/>
      <c r="AY286" s="1279"/>
      <c r="AZ286" s="1279"/>
      <c r="BA286" s="1279"/>
      <c r="BB286" s="1279" t="s">
        <v>2714</v>
      </c>
      <c r="BC286" s="1475" t="s">
        <v>2679</v>
      </c>
      <c r="BD286" s="1402" t="s">
        <v>2680</v>
      </c>
    </row>
    <row r="287" s="873" customFormat="1" ht="14.1" customHeight="1" spans="2:56">
      <c r="B287" s="1269">
        <v>106</v>
      </c>
      <c r="C287" s="32" t="s">
        <v>2715</v>
      </c>
      <c r="D287" s="1316" t="s">
        <v>2716</v>
      </c>
      <c r="E287" s="979" t="s">
        <v>2717</v>
      </c>
      <c r="F287" s="1269" t="s">
        <v>43</v>
      </c>
      <c r="G287" s="1317" t="s">
        <v>60</v>
      </c>
      <c r="H287" s="1269" t="s">
        <v>665</v>
      </c>
      <c r="I287" s="1269" t="s">
        <v>428</v>
      </c>
      <c r="J287" s="1269" t="s">
        <v>722</v>
      </c>
      <c r="K287" s="1246">
        <v>42877</v>
      </c>
      <c r="L287" s="1246">
        <v>42947</v>
      </c>
      <c r="M287" s="1246"/>
      <c r="N287" s="1246"/>
      <c r="O287" s="1246"/>
      <c r="P287" s="1246"/>
      <c r="Q287" s="1246"/>
      <c r="R287" s="1246"/>
      <c r="S287" s="1246"/>
      <c r="T287" s="1246"/>
      <c r="U287" s="1246"/>
      <c r="V287" s="1246"/>
      <c r="W287" s="1246"/>
      <c r="X287" s="1246"/>
      <c r="Y287" s="1246"/>
      <c r="Z287" s="1246"/>
      <c r="AA287" s="1246"/>
      <c r="AB287" s="1246"/>
      <c r="AC287" s="1246"/>
      <c r="AD287" s="1246"/>
      <c r="AE287" s="1246"/>
      <c r="AF287" s="641">
        <v>-4.60618726851681</v>
      </c>
      <c r="AG287" s="187" t="s">
        <v>2569</v>
      </c>
      <c r="AH287" s="1320">
        <v>3300000</v>
      </c>
      <c r="AI287" s="1320">
        <v>100000</v>
      </c>
      <c r="AJ287" s="1321">
        <v>17000</v>
      </c>
      <c r="AK287" s="1321"/>
      <c r="AL287" s="1321" t="s">
        <v>583</v>
      </c>
      <c r="AM287" s="1321">
        <v>500000</v>
      </c>
      <c r="AN287" s="1321" t="s">
        <v>583</v>
      </c>
      <c r="AO287" s="1321" t="s">
        <v>583</v>
      </c>
      <c r="AP287" s="1321"/>
      <c r="AQ287" s="1321" t="s">
        <v>112</v>
      </c>
      <c r="AR287" s="1321" t="s">
        <v>48</v>
      </c>
      <c r="AS287" s="1321" t="s">
        <v>49</v>
      </c>
      <c r="AT287" s="1269"/>
      <c r="AU287" s="1269" t="s">
        <v>2718</v>
      </c>
      <c r="AV287" s="1279">
        <v>82143106779</v>
      </c>
      <c r="AW287" s="1279" t="s">
        <v>2719</v>
      </c>
      <c r="AX287" s="1279" t="s">
        <v>2720</v>
      </c>
      <c r="AY287" s="1279" t="s">
        <v>2721</v>
      </c>
      <c r="AZ287" s="1279"/>
      <c r="BA287" s="1279"/>
      <c r="BB287" s="1279" t="s">
        <v>2722</v>
      </c>
      <c r="BC287" s="1475" t="s">
        <v>2679</v>
      </c>
      <c r="BD287" s="1402" t="s">
        <v>2680</v>
      </c>
    </row>
    <row r="288" s="873" customFormat="1" ht="14.1" customHeight="1" spans="2:56">
      <c r="B288" s="1269">
        <v>107</v>
      </c>
      <c r="C288" s="32" t="s">
        <v>2723</v>
      </c>
      <c r="D288" s="1316" t="s">
        <v>2724</v>
      </c>
      <c r="E288" s="979" t="s">
        <v>2725</v>
      </c>
      <c r="F288" s="1269" t="s">
        <v>125</v>
      </c>
      <c r="G288" s="1317" t="s">
        <v>44</v>
      </c>
      <c r="H288" s="1269" t="s">
        <v>1793</v>
      </c>
      <c r="I288" s="1269" t="s">
        <v>428</v>
      </c>
      <c r="J288" s="1269" t="s">
        <v>1503</v>
      </c>
      <c r="K288" s="1246">
        <v>42877</v>
      </c>
      <c r="L288" s="1246">
        <v>42947</v>
      </c>
      <c r="M288" s="1246"/>
      <c r="N288" s="1246"/>
      <c r="O288" s="1246"/>
      <c r="P288" s="1246"/>
      <c r="Q288" s="1246"/>
      <c r="R288" s="1246"/>
      <c r="S288" s="1246"/>
      <c r="T288" s="1246"/>
      <c r="U288" s="1246"/>
      <c r="V288" s="1246"/>
      <c r="W288" s="1246"/>
      <c r="X288" s="1246"/>
      <c r="Y288" s="1246"/>
      <c r="Z288" s="1246"/>
      <c r="AA288" s="1246"/>
      <c r="AB288" s="1246"/>
      <c r="AC288" s="1246"/>
      <c r="AD288" s="1246"/>
      <c r="AE288" s="1246"/>
      <c r="AF288" s="641">
        <v>-4.60618726851681</v>
      </c>
      <c r="AG288" s="187" t="s">
        <v>2569</v>
      </c>
      <c r="AH288" s="1320">
        <v>3300000</v>
      </c>
      <c r="AI288" s="1320">
        <v>100000</v>
      </c>
      <c r="AJ288" s="1321">
        <v>17000</v>
      </c>
      <c r="AK288" s="1321"/>
      <c r="AL288" s="1321" t="s">
        <v>583</v>
      </c>
      <c r="AM288" s="1321">
        <v>500000</v>
      </c>
      <c r="AN288" s="1321" t="s">
        <v>583</v>
      </c>
      <c r="AO288" s="1321" t="s">
        <v>583</v>
      </c>
      <c r="AP288" s="1321"/>
      <c r="AQ288" s="1321" t="s">
        <v>112</v>
      </c>
      <c r="AR288" s="1321" t="s">
        <v>48</v>
      </c>
      <c r="AS288" s="1321" t="s">
        <v>49</v>
      </c>
      <c r="AT288" s="1269"/>
      <c r="AU288" s="1269" t="s">
        <v>2726</v>
      </c>
      <c r="AV288" s="1544" t="s">
        <v>2727</v>
      </c>
      <c r="AW288" s="1279" t="s">
        <v>2728</v>
      </c>
      <c r="AX288" s="1279" t="s">
        <v>2729</v>
      </c>
      <c r="AY288" s="1279" t="s">
        <v>2730</v>
      </c>
      <c r="AZ288" s="1279" t="s">
        <v>2731</v>
      </c>
      <c r="BA288" s="1279"/>
      <c r="BB288" s="1279" t="s">
        <v>2732</v>
      </c>
      <c r="BC288" s="1475" t="s">
        <v>2733</v>
      </c>
      <c r="BD288" s="1402" t="s">
        <v>2734</v>
      </c>
    </row>
    <row r="289" s="873" customFormat="1" ht="14.1" customHeight="1" spans="2:56">
      <c r="B289" s="1269">
        <v>111</v>
      </c>
      <c r="C289" s="32" t="s">
        <v>2735</v>
      </c>
      <c r="D289" s="1316" t="s">
        <v>2736</v>
      </c>
      <c r="E289" s="979" t="s">
        <v>2737</v>
      </c>
      <c r="F289" s="1269" t="s">
        <v>43</v>
      </c>
      <c r="G289" s="1317" t="s">
        <v>254</v>
      </c>
      <c r="H289" s="1269" t="s">
        <v>1793</v>
      </c>
      <c r="I289" s="1269" t="s">
        <v>428</v>
      </c>
      <c r="J289" s="1269" t="s">
        <v>2738</v>
      </c>
      <c r="K289" s="1246">
        <v>42889</v>
      </c>
      <c r="L289" s="1246">
        <v>42947</v>
      </c>
      <c r="M289" s="1246"/>
      <c r="N289" s="1246"/>
      <c r="O289" s="1246"/>
      <c r="P289" s="1246"/>
      <c r="Q289" s="1246"/>
      <c r="R289" s="1246"/>
      <c r="S289" s="1246"/>
      <c r="T289" s="1246"/>
      <c r="U289" s="1246"/>
      <c r="V289" s="1246"/>
      <c r="W289" s="1246"/>
      <c r="X289" s="1246"/>
      <c r="Y289" s="1246"/>
      <c r="Z289" s="1246"/>
      <c r="AA289" s="1246"/>
      <c r="AB289" s="1246"/>
      <c r="AC289" s="1246"/>
      <c r="AD289" s="1246"/>
      <c r="AE289" s="1246"/>
      <c r="AF289" s="641">
        <v>-4.60618726851681</v>
      </c>
      <c r="AG289" s="187" t="s">
        <v>2569</v>
      </c>
      <c r="AH289" s="1320">
        <v>3000000</v>
      </c>
      <c r="AI289" s="1320">
        <v>100000</v>
      </c>
      <c r="AJ289" s="1321">
        <v>17000</v>
      </c>
      <c r="AK289" s="1321"/>
      <c r="AL289" s="1321" t="s">
        <v>583</v>
      </c>
      <c r="AM289" s="1321">
        <v>500000</v>
      </c>
      <c r="AN289" s="1321" t="s">
        <v>583</v>
      </c>
      <c r="AO289" s="1321"/>
      <c r="AP289" s="1321"/>
      <c r="AQ289" s="1321" t="s">
        <v>112</v>
      </c>
      <c r="AR289" s="1321" t="s">
        <v>48</v>
      </c>
      <c r="AS289" s="1321" t="s">
        <v>49</v>
      </c>
      <c r="AT289" s="1269"/>
      <c r="AU289" s="1269" t="s">
        <v>2739</v>
      </c>
      <c r="AV289" s="1279" t="s">
        <v>2740</v>
      </c>
      <c r="AW289" s="1279" t="s">
        <v>2741</v>
      </c>
      <c r="AX289" s="1279" t="s">
        <v>2742</v>
      </c>
      <c r="AY289" s="1279"/>
      <c r="AZ289" s="1279"/>
      <c r="BA289" s="1544" t="s">
        <v>2743</v>
      </c>
      <c r="BB289" s="1280" t="s">
        <v>2744</v>
      </c>
      <c r="BC289" s="1475" t="s">
        <v>2733</v>
      </c>
      <c r="BD289" s="1402" t="s">
        <v>2734</v>
      </c>
    </row>
    <row r="290" s="873" customFormat="1" ht="14.1" customHeight="1" spans="2:56">
      <c r="B290" s="1540" t="s">
        <v>940</v>
      </c>
      <c r="C290" s="32" t="s">
        <v>2745</v>
      </c>
      <c r="D290" s="1316" t="s">
        <v>2085</v>
      </c>
      <c r="E290" s="979" t="s">
        <v>2086</v>
      </c>
      <c r="F290" s="1269" t="s">
        <v>43</v>
      </c>
      <c r="G290" s="1317" t="s">
        <v>44</v>
      </c>
      <c r="H290" s="1269" t="s">
        <v>361</v>
      </c>
      <c r="I290" s="1269" t="s">
        <v>428</v>
      </c>
      <c r="J290" s="1269" t="s">
        <v>185</v>
      </c>
      <c r="K290" s="1246">
        <v>42705</v>
      </c>
      <c r="L290" s="1246">
        <v>42794</v>
      </c>
      <c r="M290" s="1246">
        <v>42855</v>
      </c>
      <c r="N290" s="1246">
        <v>43100</v>
      </c>
      <c r="O290" s="1246"/>
      <c r="P290" s="1246"/>
      <c r="Q290" s="1246"/>
      <c r="R290" s="1246"/>
      <c r="S290" s="1246"/>
      <c r="T290" s="1246"/>
      <c r="U290" s="1246"/>
      <c r="V290" s="1246"/>
      <c r="W290" s="1246"/>
      <c r="X290" s="1246"/>
      <c r="Y290" s="1246"/>
      <c r="Z290" s="1246"/>
      <c r="AA290" s="1246"/>
      <c r="AB290" s="1246"/>
      <c r="AC290" s="1246"/>
      <c r="AD290" s="1246"/>
      <c r="AE290" s="1246"/>
      <c r="AF290" s="641">
        <v>123.279441319442</v>
      </c>
      <c r="AG290" s="187" t="s">
        <v>745</v>
      </c>
      <c r="AH290" s="1320">
        <v>2765000</v>
      </c>
      <c r="AI290" s="1320">
        <v>150000</v>
      </c>
      <c r="AJ290" s="1321">
        <v>17000</v>
      </c>
      <c r="AK290" s="1321"/>
      <c r="AL290" s="1321"/>
      <c r="AM290" s="1321"/>
      <c r="AN290" s="1321"/>
      <c r="AO290" s="1321"/>
      <c r="AP290" s="1321"/>
      <c r="AQ290" s="1321" t="s">
        <v>112</v>
      </c>
      <c r="AR290" s="1321" t="s">
        <v>48</v>
      </c>
      <c r="AS290" s="1321" t="s">
        <v>49</v>
      </c>
      <c r="AT290" s="1269" t="s">
        <v>467</v>
      </c>
      <c r="AU290" s="1269" t="s">
        <v>2746</v>
      </c>
      <c r="AV290" s="1544" t="s">
        <v>2088</v>
      </c>
      <c r="AW290" s="1279" t="s">
        <v>2747</v>
      </c>
      <c r="AX290" s="1279" t="s">
        <v>2090</v>
      </c>
      <c r="AY290" s="1279"/>
      <c r="AZ290" s="1279"/>
      <c r="BA290" s="1279"/>
      <c r="BB290" s="1279" t="s">
        <v>2748</v>
      </c>
      <c r="BC290" s="1475" t="s">
        <v>2749</v>
      </c>
      <c r="BD290" s="1402">
        <v>0</v>
      </c>
    </row>
    <row r="291" s="873" customFormat="1" ht="14.1" customHeight="1" spans="2:56">
      <c r="B291" s="1532" t="s">
        <v>961</v>
      </c>
      <c r="C291" s="32" t="s">
        <v>2750</v>
      </c>
      <c r="D291" s="1316" t="s">
        <v>2751</v>
      </c>
      <c r="E291" s="979" t="s">
        <v>2752</v>
      </c>
      <c r="F291" s="1269" t="s">
        <v>43</v>
      </c>
      <c r="G291" s="1317" t="s">
        <v>60</v>
      </c>
      <c r="H291" s="1269" t="s">
        <v>361</v>
      </c>
      <c r="I291" s="1269" t="s">
        <v>428</v>
      </c>
      <c r="J291" s="1269" t="s">
        <v>185</v>
      </c>
      <c r="K291" s="1246">
        <v>42782</v>
      </c>
      <c r="L291" s="1246">
        <v>42855</v>
      </c>
      <c r="M291" s="1246">
        <v>43039</v>
      </c>
      <c r="N291" s="1246"/>
      <c r="O291" s="1246"/>
      <c r="P291" s="1246"/>
      <c r="Q291" s="1246"/>
      <c r="R291" s="1246"/>
      <c r="S291" s="1246"/>
      <c r="T291" s="1246"/>
      <c r="U291" s="1246"/>
      <c r="V291" s="1246"/>
      <c r="W291" s="1246"/>
      <c r="X291" s="1246"/>
      <c r="Y291" s="1246"/>
      <c r="Z291" s="1246"/>
      <c r="AA291" s="1246"/>
      <c r="AB291" s="1246"/>
      <c r="AC291" s="1246"/>
      <c r="AD291" s="1246"/>
      <c r="AE291" s="1246"/>
      <c r="AF291" s="641">
        <v>62.2794413194424</v>
      </c>
      <c r="AG291" s="187" t="s">
        <v>745</v>
      </c>
      <c r="AH291" s="1320">
        <v>2765000</v>
      </c>
      <c r="AI291" s="1320">
        <v>150000</v>
      </c>
      <c r="AJ291" s="1321">
        <v>17000</v>
      </c>
      <c r="AK291" s="1321"/>
      <c r="AL291" s="1321"/>
      <c r="AM291" s="1321" t="s">
        <v>583</v>
      </c>
      <c r="AN291" s="1321" t="s">
        <v>583</v>
      </c>
      <c r="AO291" s="1321" t="s">
        <v>583</v>
      </c>
      <c r="AP291" s="1321" t="s">
        <v>583</v>
      </c>
      <c r="AQ291" s="1321" t="s">
        <v>112</v>
      </c>
      <c r="AR291" s="1321" t="s">
        <v>48</v>
      </c>
      <c r="AS291" s="1321" t="s">
        <v>49</v>
      </c>
      <c r="AT291" s="1269"/>
      <c r="AU291" s="1269" t="s">
        <v>2753</v>
      </c>
      <c r="AV291" s="1544" t="s">
        <v>2754</v>
      </c>
      <c r="AW291" s="1279" t="s">
        <v>2755</v>
      </c>
      <c r="AX291" s="1279" t="s">
        <v>2756</v>
      </c>
      <c r="AY291" s="1279" t="s">
        <v>2757</v>
      </c>
      <c r="AZ291" s="1279" t="s">
        <v>2758</v>
      </c>
      <c r="BA291" s="1279"/>
      <c r="BB291" s="1279" t="s">
        <v>2759</v>
      </c>
      <c r="BC291" s="1477" t="s">
        <v>2760</v>
      </c>
      <c r="BD291" s="1402" t="s">
        <v>2761</v>
      </c>
    </row>
    <row r="292" s="873" customFormat="1" ht="14.1" customHeight="1" spans="2:56">
      <c r="B292" s="1532" t="s">
        <v>1053</v>
      </c>
      <c r="C292" s="32" t="s">
        <v>2762</v>
      </c>
      <c r="D292" s="1316" t="s">
        <v>2763</v>
      </c>
      <c r="E292" s="979" t="s">
        <v>2764</v>
      </c>
      <c r="F292" s="1269" t="s">
        <v>43</v>
      </c>
      <c r="G292" s="1317" t="s">
        <v>404</v>
      </c>
      <c r="H292" s="1269" t="s">
        <v>665</v>
      </c>
      <c r="I292" s="1269" t="s">
        <v>428</v>
      </c>
      <c r="J292" s="1269" t="s">
        <v>61</v>
      </c>
      <c r="K292" s="1246">
        <v>42874</v>
      </c>
      <c r="L292" s="1246">
        <v>42947</v>
      </c>
      <c r="M292" s="1246">
        <v>43100</v>
      </c>
      <c r="N292" s="1246"/>
      <c r="O292" s="1246"/>
      <c r="P292" s="1246"/>
      <c r="Q292" s="1246"/>
      <c r="R292" s="1246"/>
      <c r="S292" s="1246"/>
      <c r="T292" s="1246"/>
      <c r="U292" s="1246"/>
      <c r="V292" s="1246"/>
      <c r="W292" s="1246"/>
      <c r="X292" s="1246"/>
      <c r="Y292" s="1246"/>
      <c r="Z292" s="1246"/>
      <c r="AA292" s="1246"/>
      <c r="AB292" s="1246"/>
      <c r="AC292" s="1246"/>
      <c r="AD292" s="1246"/>
      <c r="AE292" s="1246"/>
      <c r="AF292" s="641">
        <v>123.279441319442</v>
      </c>
      <c r="AG292" s="187" t="s">
        <v>745</v>
      </c>
      <c r="AH292" s="1432">
        <v>3000000</v>
      </c>
      <c r="AI292" s="1432">
        <v>200000</v>
      </c>
      <c r="AJ292" s="1432">
        <v>17000</v>
      </c>
      <c r="AK292" s="1432">
        <v>30000</v>
      </c>
      <c r="AL292" s="1432" t="s">
        <v>583</v>
      </c>
      <c r="AM292" s="1432" t="s">
        <v>583</v>
      </c>
      <c r="AN292" s="1432" t="s">
        <v>583</v>
      </c>
      <c r="AO292" s="1432" t="s">
        <v>583</v>
      </c>
      <c r="AP292" s="1432"/>
      <c r="AQ292" s="1321" t="s">
        <v>112</v>
      </c>
      <c r="AR292" s="1321" t="s">
        <v>48</v>
      </c>
      <c r="AS292" s="1321" t="s">
        <v>49</v>
      </c>
      <c r="AT292" s="1269"/>
      <c r="AU292" s="1269" t="s">
        <v>2765</v>
      </c>
      <c r="AV292" s="1279" t="s">
        <v>2766</v>
      </c>
      <c r="AW292" s="1279" t="s">
        <v>2767</v>
      </c>
      <c r="AX292" s="1279" t="s">
        <v>2768</v>
      </c>
      <c r="AY292" s="1279"/>
      <c r="AZ292" s="1279"/>
      <c r="BA292" s="1279" t="s">
        <v>2769</v>
      </c>
      <c r="BB292" s="1280" t="s">
        <v>2770</v>
      </c>
      <c r="BC292" s="1478" t="s">
        <v>2771</v>
      </c>
      <c r="BD292" s="1402" t="s">
        <v>2772</v>
      </c>
    </row>
    <row r="293" s="873" customFormat="1" ht="14.1" customHeight="1" spans="2:56">
      <c r="B293" s="1532" t="s">
        <v>1064</v>
      </c>
      <c r="C293" s="32" t="s">
        <v>2773</v>
      </c>
      <c r="D293" s="1316" t="s">
        <v>2774</v>
      </c>
      <c r="E293" s="979" t="s">
        <v>2775</v>
      </c>
      <c r="F293" s="1269" t="s">
        <v>43</v>
      </c>
      <c r="G293" s="1317" t="s">
        <v>404</v>
      </c>
      <c r="H293" s="1269" t="s">
        <v>665</v>
      </c>
      <c r="I293" s="1269" t="s">
        <v>428</v>
      </c>
      <c r="J293" s="1269" t="s">
        <v>185</v>
      </c>
      <c r="K293" s="1246">
        <v>42874</v>
      </c>
      <c r="L293" s="1246">
        <v>42947</v>
      </c>
      <c r="M293" s="1246">
        <v>43100</v>
      </c>
      <c r="N293" s="1246"/>
      <c r="O293" s="1246"/>
      <c r="P293" s="1246"/>
      <c r="Q293" s="1246"/>
      <c r="R293" s="1246"/>
      <c r="S293" s="1246"/>
      <c r="T293" s="1246"/>
      <c r="U293" s="1246"/>
      <c r="V293" s="1246"/>
      <c r="W293" s="1246"/>
      <c r="X293" s="1246"/>
      <c r="Y293" s="1246"/>
      <c r="Z293" s="1246"/>
      <c r="AA293" s="1246"/>
      <c r="AB293" s="1246"/>
      <c r="AC293" s="1246"/>
      <c r="AD293" s="1246"/>
      <c r="AE293" s="1246"/>
      <c r="AF293" s="641">
        <v>123.279441319442</v>
      </c>
      <c r="AG293" s="187" t="s">
        <v>745</v>
      </c>
      <c r="AH293" s="1432">
        <v>2765000</v>
      </c>
      <c r="AI293" s="1432">
        <v>150000</v>
      </c>
      <c r="AJ293" s="1432">
        <v>17000</v>
      </c>
      <c r="AK293" s="1432" t="s">
        <v>583</v>
      </c>
      <c r="AL293" s="1432" t="s">
        <v>583</v>
      </c>
      <c r="AM293" s="1432" t="s">
        <v>583</v>
      </c>
      <c r="AN293" s="1432" t="s">
        <v>583</v>
      </c>
      <c r="AO293" s="1432" t="s">
        <v>583</v>
      </c>
      <c r="AP293" s="1432"/>
      <c r="AQ293" s="1321" t="s">
        <v>112</v>
      </c>
      <c r="AR293" s="1321" t="s">
        <v>48</v>
      </c>
      <c r="AS293" s="1321" t="s">
        <v>49</v>
      </c>
      <c r="AT293" s="1269"/>
      <c r="AU293" s="1269" t="s">
        <v>2776</v>
      </c>
      <c r="AV293" s="1279"/>
      <c r="AW293" s="1279" t="s">
        <v>2777</v>
      </c>
      <c r="AX293" s="1279"/>
      <c r="AY293" s="1279"/>
      <c r="AZ293" s="1279"/>
      <c r="BA293" s="1279"/>
      <c r="BB293" s="1280"/>
      <c r="BC293" s="1478" t="s">
        <v>2771</v>
      </c>
      <c r="BD293" s="1402" t="s">
        <v>2772</v>
      </c>
    </row>
    <row r="294" s="873" customFormat="1" ht="14.1" customHeight="1" spans="2:56">
      <c r="B294" s="1532" t="s">
        <v>1077</v>
      </c>
      <c r="C294" s="32" t="s">
        <v>2778</v>
      </c>
      <c r="D294" s="1316" t="s">
        <v>2779</v>
      </c>
      <c r="E294" s="979" t="s">
        <v>2780</v>
      </c>
      <c r="F294" s="1269" t="s">
        <v>43</v>
      </c>
      <c r="G294" s="1317" t="s">
        <v>254</v>
      </c>
      <c r="H294" s="1269" t="s">
        <v>665</v>
      </c>
      <c r="I294" s="1269" t="s">
        <v>428</v>
      </c>
      <c r="J294" s="1269" t="s">
        <v>185</v>
      </c>
      <c r="K294" s="1246">
        <v>42874</v>
      </c>
      <c r="L294" s="1246">
        <v>42947</v>
      </c>
      <c r="M294" s="1246">
        <v>43100</v>
      </c>
      <c r="N294" s="1246"/>
      <c r="O294" s="1246"/>
      <c r="P294" s="1246"/>
      <c r="Q294" s="1246"/>
      <c r="R294" s="1246"/>
      <c r="S294" s="1246"/>
      <c r="T294" s="1246"/>
      <c r="U294" s="1246"/>
      <c r="V294" s="1246"/>
      <c r="W294" s="1246"/>
      <c r="X294" s="1246"/>
      <c r="Y294" s="1246"/>
      <c r="Z294" s="1246"/>
      <c r="AA294" s="1246"/>
      <c r="AB294" s="1246"/>
      <c r="AC294" s="1246"/>
      <c r="AD294" s="1246"/>
      <c r="AE294" s="1246"/>
      <c r="AF294" s="641">
        <v>123.279441319442</v>
      </c>
      <c r="AG294" s="187" t="s">
        <v>745</v>
      </c>
      <c r="AH294" s="1432">
        <v>2765000</v>
      </c>
      <c r="AI294" s="1432">
        <v>150000</v>
      </c>
      <c r="AJ294" s="1432">
        <v>17000</v>
      </c>
      <c r="AK294" s="1432" t="s">
        <v>583</v>
      </c>
      <c r="AL294" s="1432" t="s">
        <v>583</v>
      </c>
      <c r="AM294" s="1432" t="s">
        <v>583</v>
      </c>
      <c r="AN294" s="1432" t="s">
        <v>583</v>
      </c>
      <c r="AO294" s="1432" t="s">
        <v>583</v>
      </c>
      <c r="AP294" s="1432"/>
      <c r="AQ294" s="1321" t="s">
        <v>112</v>
      </c>
      <c r="AR294" s="1321" t="s">
        <v>48</v>
      </c>
      <c r="AS294" s="1321" t="s">
        <v>49</v>
      </c>
      <c r="AT294" s="1269"/>
      <c r="AU294" s="1269" t="s">
        <v>2781</v>
      </c>
      <c r="AV294" s="1279" t="s">
        <v>2782</v>
      </c>
      <c r="AW294" s="1279" t="s">
        <v>2783</v>
      </c>
      <c r="AX294" s="1279" t="s">
        <v>2784</v>
      </c>
      <c r="AY294" s="1279"/>
      <c r="AZ294" s="1279"/>
      <c r="BA294" s="1279"/>
      <c r="BB294" s="1280" t="s">
        <v>2785</v>
      </c>
      <c r="BC294" s="1478" t="s">
        <v>2771</v>
      </c>
      <c r="BD294" s="1402" t="s">
        <v>2772</v>
      </c>
    </row>
    <row r="295" s="873" customFormat="1" ht="14.1" customHeight="1" spans="2:56">
      <c r="B295" s="1540" t="s">
        <v>194</v>
      </c>
      <c r="C295" s="32" t="s">
        <v>2786</v>
      </c>
      <c r="D295" s="1316" t="s">
        <v>2787</v>
      </c>
      <c r="E295" s="979" t="s">
        <v>2788</v>
      </c>
      <c r="F295" s="1269" t="s">
        <v>43</v>
      </c>
      <c r="G295" s="1317" t="s">
        <v>60</v>
      </c>
      <c r="H295" s="1269" t="s">
        <v>45</v>
      </c>
      <c r="I295" s="1269" t="s">
        <v>46</v>
      </c>
      <c r="J295" s="1269" t="s">
        <v>2789</v>
      </c>
      <c r="K295" s="1246">
        <v>42128</v>
      </c>
      <c r="L295" s="1246">
        <v>42308</v>
      </c>
      <c r="M295" s="1246">
        <v>42490</v>
      </c>
      <c r="N295" s="1246">
        <v>42855</v>
      </c>
      <c r="O295" s="1246">
        <v>42858</v>
      </c>
      <c r="P295" s="1246"/>
      <c r="Q295" s="1246"/>
      <c r="R295" s="1246"/>
      <c r="S295" s="1246"/>
      <c r="T295" s="1246"/>
      <c r="U295" s="1246"/>
      <c r="V295" s="1246">
        <v>42859</v>
      </c>
      <c r="W295" s="1246">
        <v>42947</v>
      </c>
      <c r="X295" s="1246">
        <v>42978</v>
      </c>
      <c r="Y295" s="1246"/>
      <c r="Z295" s="1246"/>
      <c r="AA295" s="1246"/>
      <c r="AB295" s="1246"/>
      <c r="AC295" s="1246"/>
      <c r="AD295" s="1246"/>
      <c r="AE295" s="1246"/>
      <c r="AF295" s="641">
        <v>-22.5685710648177</v>
      </c>
      <c r="AG295" s="187" t="s">
        <v>2569</v>
      </c>
      <c r="AH295" s="1320">
        <v>5500000</v>
      </c>
      <c r="AI295" s="1320">
        <v>500000</v>
      </c>
      <c r="AJ295" s="1321">
        <v>0</v>
      </c>
      <c r="AK295" s="1321"/>
      <c r="AL295" s="1321">
        <v>1500000</v>
      </c>
      <c r="AM295" s="1321">
        <v>0</v>
      </c>
      <c r="AN295" s="1321"/>
      <c r="AO295" s="1321">
        <v>1000000</v>
      </c>
      <c r="AP295" s="1321"/>
      <c r="AQ295" s="1321" t="s">
        <v>0</v>
      </c>
      <c r="AR295" s="1321" t="s">
        <v>113</v>
      </c>
      <c r="AS295" s="1321" t="s">
        <v>2790</v>
      </c>
      <c r="AT295" s="1269" t="s">
        <v>2791</v>
      </c>
      <c r="AU295" s="1269" t="s">
        <v>2792</v>
      </c>
      <c r="AV295" s="1544" t="s">
        <v>2793</v>
      </c>
      <c r="AW295" s="1279" t="s">
        <v>2794</v>
      </c>
      <c r="AX295" s="1279"/>
      <c r="AY295" s="1279"/>
      <c r="AZ295" s="1279"/>
      <c r="BA295" s="1279" t="s">
        <v>2795</v>
      </c>
      <c r="BB295" s="1279" t="s">
        <v>2796</v>
      </c>
      <c r="BC295" s="1475" t="s">
        <v>2797</v>
      </c>
      <c r="BD295" s="1402">
        <v>0</v>
      </c>
    </row>
    <row r="296" s="873" customFormat="1" ht="14.1" customHeight="1" spans="2:56">
      <c r="B296" s="1540" t="s">
        <v>550</v>
      </c>
      <c r="C296" s="32" t="s">
        <v>2798</v>
      </c>
      <c r="D296" s="1316" t="s">
        <v>2799</v>
      </c>
      <c r="E296" s="979" t="s">
        <v>2800</v>
      </c>
      <c r="F296" s="1269" t="s">
        <v>43</v>
      </c>
      <c r="G296" s="1317" t="s">
        <v>254</v>
      </c>
      <c r="H296" s="1269" t="s">
        <v>361</v>
      </c>
      <c r="I296" s="1269" t="s">
        <v>46</v>
      </c>
      <c r="J296" s="1269" t="s">
        <v>2801</v>
      </c>
      <c r="K296" s="1246">
        <v>42522</v>
      </c>
      <c r="L296" s="1246">
        <v>42603</v>
      </c>
      <c r="M296" s="1246">
        <v>42695</v>
      </c>
      <c r="N296" s="1246">
        <v>42855</v>
      </c>
      <c r="O296" s="1246">
        <v>42916</v>
      </c>
      <c r="P296" s="1246">
        <v>43008</v>
      </c>
      <c r="Q296" s="1246"/>
      <c r="R296" s="1246"/>
      <c r="S296" s="1246"/>
      <c r="T296" s="1246"/>
      <c r="U296" s="1246"/>
      <c r="V296" s="1246"/>
      <c r="W296" s="1246"/>
      <c r="X296" s="1246"/>
      <c r="Y296" s="1246"/>
      <c r="Z296" s="1246"/>
      <c r="AA296" s="1246"/>
      <c r="AB296" s="1246"/>
      <c r="AC296" s="1246"/>
      <c r="AD296" s="1246"/>
      <c r="AE296" s="1246"/>
      <c r="AF296" s="641">
        <v>7.43142893518234</v>
      </c>
      <c r="AG296" s="187" t="s">
        <v>2569</v>
      </c>
      <c r="AH296" s="1320">
        <v>4500000</v>
      </c>
      <c r="AI296" s="1320">
        <v>400000</v>
      </c>
      <c r="AJ296" s="1321">
        <v>17000</v>
      </c>
      <c r="AK296" s="1321"/>
      <c r="AL296" s="1321"/>
      <c r="AM296" s="1321">
        <v>500000</v>
      </c>
      <c r="AN296" s="1321"/>
      <c r="AO296" s="1321"/>
      <c r="AP296" s="1321">
        <v>350000</v>
      </c>
      <c r="AQ296" s="1321" t="s">
        <v>112</v>
      </c>
      <c r="AR296" s="1321" t="s">
        <v>113</v>
      </c>
      <c r="AS296" s="1321" t="s">
        <v>49</v>
      </c>
      <c r="AT296" s="1269" t="s">
        <v>2802</v>
      </c>
      <c r="AU296" s="1269" t="s">
        <v>2803</v>
      </c>
      <c r="AV296" s="1544" t="s">
        <v>2804</v>
      </c>
      <c r="AW296" s="1279" t="s">
        <v>2805</v>
      </c>
      <c r="AX296" s="1279" t="s">
        <v>2806</v>
      </c>
      <c r="AY296" s="1279" t="s">
        <v>2807</v>
      </c>
      <c r="AZ296" s="1279">
        <v>10032638990</v>
      </c>
      <c r="BA296" s="1279" t="s">
        <v>2808</v>
      </c>
      <c r="BB296" s="1279" t="s">
        <v>2809</v>
      </c>
      <c r="BC296" s="1475" t="s">
        <v>2810</v>
      </c>
      <c r="BD296" s="1402">
        <v>0</v>
      </c>
    </row>
    <row r="297" s="873" customFormat="1" ht="14.1" customHeight="1" spans="2:56">
      <c r="B297" s="1540" t="s">
        <v>642</v>
      </c>
      <c r="C297" s="32" t="s">
        <v>2811</v>
      </c>
      <c r="D297" s="1316" t="s">
        <v>2812</v>
      </c>
      <c r="E297" s="979" t="s">
        <v>2813</v>
      </c>
      <c r="F297" s="1269" t="s">
        <v>43</v>
      </c>
      <c r="G297" s="1317" t="s">
        <v>44</v>
      </c>
      <c r="H297" s="1269" t="s">
        <v>45</v>
      </c>
      <c r="I297" s="1269" t="s">
        <v>428</v>
      </c>
      <c r="J297" s="1269" t="s">
        <v>185</v>
      </c>
      <c r="K297" s="1246">
        <v>42641</v>
      </c>
      <c r="L297" s="1246">
        <v>42735</v>
      </c>
      <c r="M297" s="1246">
        <v>42794</v>
      </c>
      <c r="N297" s="1246">
        <v>42825</v>
      </c>
      <c r="O297" s="1246">
        <v>42886</v>
      </c>
      <c r="P297" s="1246">
        <v>43039</v>
      </c>
      <c r="Q297" s="1246"/>
      <c r="R297" s="1246"/>
      <c r="S297" s="1246"/>
      <c r="T297" s="1246"/>
      <c r="U297" s="1246"/>
      <c r="V297" s="1246"/>
      <c r="W297" s="1246"/>
      <c r="X297" s="1246"/>
      <c r="Y297" s="1246"/>
      <c r="Z297" s="1246"/>
      <c r="AA297" s="1246"/>
      <c r="AB297" s="1246"/>
      <c r="AC297" s="1246"/>
      <c r="AD297" s="1246"/>
      <c r="AE297" s="1246"/>
      <c r="AF297" s="641">
        <v>38.4314289351823</v>
      </c>
      <c r="AG297" s="187" t="s">
        <v>2569</v>
      </c>
      <c r="AH297" s="1320">
        <v>2765000</v>
      </c>
      <c r="AI297" s="1320">
        <v>150000</v>
      </c>
      <c r="AJ297" s="1321">
        <v>17000</v>
      </c>
      <c r="AK297" s="1321"/>
      <c r="AL297" s="1321"/>
      <c r="AM297" s="1321"/>
      <c r="AN297" s="1321"/>
      <c r="AO297" s="1321"/>
      <c r="AP297" s="1321"/>
      <c r="AQ297" s="1321" t="s">
        <v>112</v>
      </c>
      <c r="AR297" s="1321" t="s">
        <v>113</v>
      </c>
      <c r="AS297" s="1321" t="s">
        <v>49</v>
      </c>
      <c r="AT297" s="1269" t="s">
        <v>467</v>
      </c>
      <c r="AU297" s="1269" t="s">
        <v>2814</v>
      </c>
      <c r="AV297" s="1544" t="s">
        <v>2815</v>
      </c>
      <c r="AW297" s="1279" t="s">
        <v>2816</v>
      </c>
      <c r="AX297" s="1279" t="s">
        <v>2817</v>
      </c>
      <c r="AY297" s="1279"/>
      <c r="AZ297" s="1279"/>
      <c r="BA297" s="1279"/>
      <c r="BB297" s="1279"/>
      <c r="BC297" s="1475" t="s">
        <v>2818</v>
      </c>
      <c r="BD297" s="1402">
        <v>0</v>
      </c>
    </row>
    <row r="298" s="873" customFormat="1" ht="14.1" customHeight="1" spans="2:56">
      <c r="B298" s="1532" t="s">
        <v>847</v>
      </c>
      <c r="C298" s="32" t="s">
        <v>2819</v>
      </c>
      <c r="D298" s="1316" t="s">
        <v>2820</v>
      </c>
      <c r="E298" s="979" t="s">
        <v>2821</v>
      </c>
      <c r="F298" s="1269" t="s">
        <v>43</v>
      </c>
      <c r="G298" s="1317"/>
      <c r="H298" s="1269" t="s">
        <v>361</v>
      </c>
      <c r="I298" s="1269" t="s">
        <v>2822</v>
      </c>
      <c r="J298" s="1269" t="s">
        <v>2823</v>
      </c>
      <c r="K298" s="1246">
        <v>42767</v>
      </c>
      <c r="L298" s="1246">
        <v>42947</v>
      </c>
      <c r="M298" s="1246">
        <v>42978</v>
      </c>
      <c r="N298" s="1246"/>
      <c r="O298" s="1246"/>
      <c r="P298" s="1246"/>
      <c r="Q298" s="1246"/>
      <c r="R298" s="1246"/>
      <c r="S298" s="1246"/>
      <c r="T298" s="1246"/>
      <c r="U298" s="1246"/>
      <c r="V298" s="1246"/>
      <c r="W298" s="1246"/>
      <c r="X298" s="1246"/>
      <c r="Y298" s="1246"/>
      <c r="Z298" s="1246"/>
      <c r="AA298" s="1246"/>
      <c r="AB298" s="1246"/>
      <c r="AC298" s="1246"/>
      <c r="AD298" s="1246"/>
      <c r="AE298" s="1246"/>
      <c r="AF298" s="641">
        <v>-22.5685710648177</v>
      </c>
      <c r="AG298" s="187" t="s">
        <v>2569</v>
      </c>
      <c r="AH298" s="1320">
        <v>3355750</v>
      </c>
      <c r="AI298" s="1320"/>
      <c r="AJ298" s="1321"/>
      <c r="AK298" s="1321"/>
      <c r="AL298" s="1321"/>
      <c r="AM298" s="1321"/>
      <c r="AN298" s="1321"/>
      <c r="AO298" s="1321"/>
      <c r="AP298" s="1321"/>
      <c r="AQ298" s="1321" t="s">
        <v>2824</v>
      </c>
      <c r="AR298" s="1321" t="s">
        <v>48</v>
      </c>
      <c r="AS298" s="1321" t="s">
        <v>49</v>
      </c>
      <c r="AT298" s="1269"/>
      <c r="AU298" s="1269" t="s">
        <v>2825</v>
      </c>
      <c r="AV298" s="1279">
        <v>81586123043</v>
      </c>
      <c r="AW298" s="1279"/>
      <c r="AX298" s="1279" t="s">
        <v>2826</v>
      </c>
      <c r="AY298" s="1279"/>
      <c r="AZ298" s="1279"/>
      <c r="BA298" s="1279"/>
      <c r="BB298" s="1444" t="s">
        <v>2827</v>
      </c>
      <c r="BC298" s="1479" t="s">
        <v>2828</v>
      </c>
      <c r="BD298" s="1402">
        <v>0</v>
      </c>
    </row>
    <row r="299" s="873" customFormat="1" ht="14.1" customHeight="1" spans="2:56">
      <c r="B299" s="1540" t="s">
        <v>1026</v>
      </c>
      <c r="C299" s="32" t="s">
        <v>2829</v>
      </c>
      <c r="D299" s="1316" t="s">
        <v>2830</v>
      </c>
      <c r="E299" s="979" t="s">
        <v>2831</v>
      </c>
      <c r="F299" s="1269" t="s">
        <v>43</v>
      </c>
      <c r="G299" s="1317" t="s">
        <v>43</v>
      </c>
      <c r="H299" s="1269" t="s">
        <v>2832</v>
      </c>
      <c r="I299" s="1269" t="s">
        <v>428</v>
      </c>
      <c r="J299" s="1269" t="s">
        <v>208</v>
      </c>
      <c r="K299" s="1246">
        <v>42877</v>
      </c>
      <c r="L299" s="1246">
        <v>42947</v>
      </c>
      <c r="M299" s="1246">
        <v>42978</v>
      </c>
      <c r="N299" s="1246"/>
      <c r="O299" s="1246"/>
      <c r="P299" s="1246"/>
      <c r="Q299" s="1246"/>
      <c r="R299" s="1246"/>
      <c r="S299" s="1246"/>
      <c r="T299" s="1246"/>
      <c r="U299" s="1246"/>
      <c r="V299" s="1246"/>
      <c r="W299" s="1246"/>
      <c r="X299" s="1246"/>
      <c r="Y299" s="1246"/>
      <c r="Z299" s="1246"/>
      <c r="AA299" s="1246"/>
      <c r="AB299" s="1246"/>
      <c r="AC299" s="1246"/>
      <c r="AD299" s="1246"/>
      <c r="AE299" s="1246"/>
      <c r="AF299" s="641">
        <v>-22.5685710648177</v>
      </c>
      <c r="AG299" s="187" t="s">
        <v>2569</v>
      </c>
      <c r="AH299" s="1320">
        <v>3700000</v>
      </c>
      <c r="AI299" s="1320">
        <v>250000</v>
      </c>
      <c r="AJ299" s="1321">
        <v>20000</v>
      </c>
      <c r="AK299" s="1321"/>
      <c r="AL299" s="1321"/>
      <c r="AM299" s="1321">
        <v>500000</v>
      </c>
      <c r="AN299" s="1321"/>
      <c r="AO299" s="1321"/>
      <c r="AP299" s="1321" t="s">
        <v>583</v>
      </c>
      <c r="AQ299" s="1321" t="s">
        <v>112</v>
      </c>
      <c r="AR299" s="1321" t="s">
        <v>48</v>
      </c>
      <c r="AS299" s="1321" t="s">
        <v>49</v>
      </c>
      <c r="AT299" s="1269"/>
      <c r="AU299" s="1269" t="s">
        <v>2833</v>
      </c>
      <c r="AV299" s="1279" t="s">
        <v>2834</v>
      </c>
      <c r="AW299" s="1279" t="s">
        <v>2835</v>
      </c>
      <c r="AX299" s="1279" t="s">
        <v>2836</v>
      </c>
      <c r="AY299" s="1279"/>
      <c r="AZ299" s="1279"/>
      <c r="BA299" s="1279"/>
      <c r="BB299" s="1444" t="s">
        <v>2837</v>
      </c>
      <c r="BC299" s="1478" t="s">
        <v>2828</v>
      </c>
      <c r="BD299" s="1402" t="s">
        <v>2838</v>
      </c>
    </row>
    <row r="300" s="873" customFormat="1" ht="14.1" customHeight="1" spans="2:56">
      <c r="B300" s="1540" t="s">
        <v>1044</v>
      </c>
      <c r="C300" s="32" t="s">
        <v>2839</v>
      </c>
      <c r="D300" s="1316" t="s">
        <v>2840</v>
      </c>
      <c r="E300" s="979" t="s">
        <v>2841</v>
      </c>
      <c r="F300" s="1269" t="s">
        <v>43</v>
      </c>
      <c r="G300" s="1317" t="s">
        <v>254</v>
      </c>
      <c r="H300" s="1269" t="s">
        <v>361</v>
      </c>
      <c r="I300" s="1269" t="s">
        <v>428</v>
      </c>
      <c r="J300" s="1269" t="s">
        <v>1533</v>
      </c>
      <c r="K300" s="1246">
        <v>42879</v>
      </c>
      <c r="L300" s="1246">
        <v>42978</v>
      </c>
      <c r="M300" s="1246"/>
      <c r="N300" s="1246"/>
      <c r="O300" s="1246"/>
      <c r="P300" s="1246"/>
      <c r="Q300" s="1246"/>
      <c r="R300" s="1246"/>
      <c r="S300" s="1246"/>
      <c r="T300" s="1246"/>
      <c r="U300" s="1246"/>
      <c r="V300" s="1246"/>
      <c r="W300" s="1246"/>
      <c r="X300" s="1246"/>
      <c r="Y300" s="1246"/>
      <c r="Z300" s="1246"/>
      <c r="AA300" s="1246"/>
      <c r="AB300" s="1246"/>
      <c r="AC300" s="1246"/>
      <c r="AD300" s="1246"/>
      <c r="AE300" s="1246"/>
      <c r="AF300" s="641">
        <v>-22.5685710648177</v>
      </c>
      <c r="AG300" s="187" t="s">
        <v>2569</v>
      </c>
      <c r="AH300" s="1274">
        <v>2700000</v>
      </c>
      <c r="AI300" s="1274">
        <v>150000</v>
      </c>
      <c r="AJ300" s="1274">
        <v>17000</v>
      </c>
      <c r="AK300" s="1274"/>
      <c r="AL300" s="1274"/>
      <c r="AM300" s="1274"/>
      <c r="AN300" s="1274"/>
      <c r="AO300" s="1274"/>
      <c r="AP300" s="1274">
        <v>65000</v>
      </c>
      <c r="AQ300" s="1321" t="s">
        <v>112</v>
      </c>
      <c r="AR300" s="1321" t="s">
        <v>48</v>
      </c>
      <c r="AS300" s="1321" t="s">
        <v>49</v>
      </c>
      <c r="AT300" s="1269"/>
      <c r="AU300" s="1269" t="s">
        <v>2842</v>
      </c>
      <c r="AV300" s="1544" t="s">
        <v>2843</v>
      </c>
      <c r="AW300" s="1279" t="s">
        <v>2844</v>
      </c>
      <c r="AX300" s="1279" t="s">
        <v>2845</v>
      </c>
      <c r="AY300" s="1279"/>
      <c r="AZ300" s="1279"/>
      <c r="BA300" s="1279"/>
      <c r="BB300" s="1280" t="s">
        <v>2846</v>
      </c>
      <c r="BC300" s="1478" t="s">
        <v>2828</v>
      </c>
      <c r="BD300" s="1402">
        <v>0</v>
      </c>
    </row>
    <row r="301" s="873" customFormat="1" ht="14.1" customHeight="1" spans="2:56">
      <c r="B301" s="1540" t="s">
        <v>68</v>
      </c>
      <c r="C301" s="32" t="s">
        <v>2847</v>
      </c>
      <c r="D301" s="1316" t="s">
        <v>2848</v>
      </c>
      <c r="E301" s="979" t="s">
        <v>2849</v>
      </c>
      <c r="F301" s="1269" t="s">
        <v>43</v>
      </c>
      <c r="G301" s="1317" t="s">
        <v>254</v>
      </c>
      <c r="H301" s="1269" t="s">
        <v>45</v>
      </c>
      <c r="I301" s="1269" t="s">
        <v>46</v>
      </c>
      <c r="J301" s="1269" t="s">
        <v>2850</v>
      </c>
      <c r="K301" s="1246">
        <v>42121</v>
      </c>
      <c r="L301" s="1246">
        <v>42490</v>
      </c>
      <c r="M301" s="1246">
        <v>42674</v>
      </c>
      <c r="N301" s="1246">
        <v>42735</v>
      </c>
      <c r="O301" s="1246">
        <v>42825</v>
      </c>
      <c r="P301" s="1246">
        <v>42851</v>
      </c>
      <c r="Q301" s="1246"/>
      <c r="R301" s="1246"/>
      <c r="S301" s="1246"/>
      <c r="T301" s="1246"/>
      <c r="U301" s="1246"/>
      <c r="V301" s="1246">
        <v>42852</v>
      </c>
      <c r="W301" s="1246">
        <v>42916</v>
      </c>
      <c r="X301" s="1246">
        <v>43100</v>
      </c>
      <c r="Y301" s="1246"/>
      <c r="Z301" s="1246"/>
      <c r="AA301" s="1246"/>
      <c r="AB301" s="1246"/>
      <c r="AC301" s="1246"/>
      <c r="AD301" s="1246"/>
      <c r="AE301" s="1246"/>
      <c r="AF301" s="641">
        <v>65.3137039351859</v>
      </c>
      <c r="AG301" s="187" t="s">
        <v>745</v>
      </c>
      <c r="AH301" s="1320">
        <v>3200000</v>
      </c>
      <c r="AI301" s="1320">
        <v>200000</v>
      </c>
      <c r="AJ301" s="1321">
        <v>17000</v>
      </c>
      <c r="AK301" s="1321"/>
      <c r="AL301" s="1321"/>
      <c r="AM301" s="1321"/>
      <c r="AN301" s="1321"/>
      <c r="AO301" s="1321"/>
      <c r="AP301" s="1321"/>
      <c r="AQ301" s="1321" t="s">
        <v>0</v>
      </c>
      <c r="AR301" s="1321" t="s">
        <v>48</v>
      </c>
      <c r="AS301" s="1321" t="s">
        <v>49</v>
      </c>
      <c r="AT301" s="1269" t="s">
        <v>2851</v>
      </c>
      <c r="AU301" s="1269" t="s">
        <v>2852</v>
      </c>
      <c r="AV301" s="1544" t="s">
        <v>2853</v>
      </c>
      <c r="AW301" s="1279" t="s">
        <v>2854</v>
      </c>
      <c r="AX301" s="1279" t="s">
        <v>2855</v>
      </c>
      <c r="AY301" s="1279" t="s">
        <v>2856</v>
      </c>
      <c r="AZ301" s="1279">
        <v>0</v>
      </c>
      <c r="BA301" s="1279" t="s">
        <v>2857</v>
      </c>
      <c r="BB301" s="1279" t="s">
        <v>2858</v>
      </c>
      <c r="BC301" s="1476" t="s">
        <v>2859</v>
      </c>
      <c r="BD301" s="1402"/>
    </row>
    <row r="302" s="873" customFormat="1" ht="14.1" customHeight="1" spans="2:56">
      <c r="B302" s="1540" t="s">
        <v>107</v>
      </c>
      <c r="C302" s="32" t="s">
        <v>2860</v>
      </c>
      <c r="D302" s="1316" t="s">
        <v>2861</v>
      </c>
      <c r="E302" s="979" t="s">
        <v>2862</v>
      </c>
      <c r="F302" s="1269" t="s">
        <v>43</v>
      </c>
      <c r="G302" s="1317" t="s">
        <v>96</v>
      </c>
      <c r="H302" s="1269" t="s">
        <v>45</v>
      </c>
      <c r="I302" s="1269" t="s">
        <v>46</v>
      </c>
      <c r="J302" s="1269" t="s">
        <v>47</v>
      </c>
      <c r="K302" s="1246">
        <v>42121</v>
      </c>
      <c r="L302" s="1246">
        <v>42490</v>
      </c>
      <c r="M302" s="1246">
        <v>42674</v>
      </c>
      <c r="N302" s="1246">
        <v>42735</v>
      </c>
      <c r="O302" s="1246">
        <v>42825</v>
      </c>
      <c r="P302" s="1246">
        <v>42851</v>
      </c>
      <c r="Q302" s="1246"/>
      <c r="R302" s="1246"/>
      <c r="S302" s="1246"/>
      <c r="T302" s="1246"/>
      <c r="U302" s="1246"/>
      <c r="V302" s="1246">
        <v>42852</v>
      </c>
      <c r="W302" s="1246">
        <v>42886</v>
      </c>
      <c r="X302" s="1246">
        <v>42916</v>
      </c>
      <c r="Y302" s="1246">
        <v>43100</v>
      </c>
      <c r="Z302" s="1246"/>
      <c r="AA302" s="1246"/>
      <c r="AB302" s="1246"/>
      <c r="AC302" s="1246"/>
      <c r="AD302" s="1246"/>
      <c r="AE302" s="1246"/>
      <c r="AF302" s="641">
        <v>65.3137039351859</v>
      </c>
      <c r="AG302" s="187" t="s">
        <v>745</v>
      </c>
      <c r="AH302" s="1320">
        <v>3000000</v>
      </c>
      <c r="AI302" s="1320">
        <v>200000</v>
      </c>
      <c r="AJ302" s="1321">
        <v>17000</v>
      </c>
      <c r="AK302" s="1321"/>
      <c r="AL302" s="1321"/>
      <c r="AM302" s="1321"/>
      <c r="AN302" s="1321"/>
      <c r="AO302" s="1321"/>
      <c r="AP302" s="1321"/>
      <c r="AQ302" s="1321" t="s">
        <v>0</v>
      </c>
      <c r="AR302" s="1321" t="s">
        <v>48</v>
      </c>
      <c r="AS302" s="1321" t="s">
        <v>49</v>
      </c>
      <c r="AT302" s="1269" t="s">
        <v>2863</v>
      </c>
      <c r="AU302" s="1269" t="s">
        <v>2852</v>
      </c>
      <c r="AV302" s="1544" t="s">
        <v>2864</v>
      </c>
      <c r="AW302" s="1279" t="s">
        <v>2865</v>
      </c>
      <c r="AX302" s="1279" t="s">
        <v>2866</v>
      </c>
      <c r="AY302" s="1279">
        <v>0</v>
      </c>
      <c r="AZ302" s="1279">
        <v>0</v>
      </c>
      <c r="BA302" s="1279">
        <v>0</v>
      </c>
      <c r="BB302" s="1279" t="s">
        <v>2867</v>
      </c>
      <c r="BC302" s="1476" t="s">
        <v>2859</v>
      </c>
      <c r="BD302" s="1402"/>
    </row>
    <row r="303" s="873" customFormat="1" ht="14.1" customHeight="1" spans="2:56">
      <c r="B303" s="1540" t="s">
        <v>239</v>
      </c>
      <c r="C303" s="32" t="s">
        <v>2868</v>
      </c>
      <c r="D303" s="1316" t="s">
        <v>2869</v>
      </c>
      <c r="E303" s="979" t="s">
        <v>2870</v>
      </c>
      <c r="F303" s="1269" t="s">
        <v>43</v>
      </c>
      <c r="G303" s="1317" t="s">
        <v>254</v>
      </c>
      <c r="H303" s="1269" t="s">
        <v>45</v>
      </c>
      <c r="I303" s="1269" t="s">
        <v>46</v>
      </c>
      <c r="J303" s="1269" t="s">
        <v>185</v>
      </c>
      <c r="K303" s="1246">
        <v>42135</v>
      </c>
      <c r="L303" s="1246">
        <v>42490</v>
      </c>
      <c r="M303" s="1246">
        <v>42674</v>
      </c>
      <c r="N303" s="1246">
        <v>42735</v>
      </c>
      <c r="O303" s="1246">
        <v>42825</v>
      </c>
      <c r="P303" s="1246">
        <v>42865</v>
      </c>
      <c r="Q303" s="1246"/>
      <c r="R303" s="1246"/>
      <c r="S303" s="1246"/>
      <c r="T303" s="1246"/>
      <c r="U303" s="1246"/>
      <c r="V303" s="1246">
        <v>42866</v>
      </c>
      <c r="W303" s="1246">
        <v>42916</v>
      </c>
      <c r="X303" s="1246">
        <v>43100</v>
      </c>
      <c r="Y303" s="1246"/>
      <c r="Z303" s="1246"/>
      <c r="AA303" s="1246"/>
      <c r="AB303" s="1246"/>
      <c r="AC303" s="1246"/>
      <c r="AD303" s="1246"/>
      <c r="AE303" s="1246"/>
      <c r="AF303" s="641">
        <v>65.3137039351859</v>
      </c>
      <c r="AG303" s="187" t="s">
        <v>745</v>
      </c>
      <c r="AH303" s="1320">
        <v>2780000</v>
      </c>
      <c r="AI303" s="1320">
        <v>150000</v>
      </c>
      <c r="AJ303" s="1321">
        <v>17000</v>
      </c>
      <c r="AK303" s="1321"/>
      <c r="AL303" s="1321"/>
      <c r="AM303" s="1321"/>
      <c r="AN303" s="1321"/>
      <c r="AO303" s="1321"/>
      <c r="AP303" s="1321"/>
      <c r="AQ303" s="1321" t="s">
        <v>112</v>
      </c>
      <c r="AR303" s="1321" t="s">
        <v>113</v>
      </c>
      <c r="AS303" s="1321" t="s">
        <v>49</v>
      </c>
      <c r="AT303" s="1269" t="s">
        <v>151</v>
      </c>
      <c r="AU303" s="1269" t="s">
        <v>2871</v>
      </c>
      <c r="AV303" s="1544" t="s">
        <v>2872</v>
      </c>
      <c r="AW303" s="1279" t="s">
        <v>2873</v>
      </c>
      <c r="AX303" s="1279" t="s">
        <v>2874</v>
      </c>
      <c r="AY303" s="1279"/>
      <c r="AZ303" s="1279"/>
      <c r="BA303" s="1279" t="s">
        <v>2875</v>
      </c>
      <c r="BB303" s="1279"/>
      <c r="BC303" s="1480" t="s">
        <v>2876</v>
      </c>
      <c r="BD303" s="1402"/>
    </row>
    <row r="304" s="873" customFormat="1" ht="14.1" customHeight="1" spans="2:56">
      <c r="B304" s="1540" t="s">
        <v>598</v>
      </c>
      <c r="C304" s="32" t="s">
        <v>2877</v>
      </c>
      <c r="D304" s="1316" t="s">
        <v>818</v>
      </c>
      <c r="E304" s="979" t="s">
        <v>819</v>
      </c>
      <c r="F304" s="1269" t="s">
        <v>43</v>
      </c>
      <c r="G304" s="1317" t="s">
        <v>254</v>
      </c>
      <c r="H304" s="1269" t="s">
        <v>361</v>
      </c>
      <c r="I304" s="1269" t="s">
        <v>428</v>
      </c>
      <c r="J304" s="1269" t="s">
        <v>2878</v>
      </c>
      <c r="K304" s="1246">
        <v>42647</v>
      </c>
      <c r="L304" s="1246">
        <v>42735</v>
      </c>
      <c r="M304" s="1246">
        <v>42855</v>
      </c>
      <c r="N304" s="1246">
        <v>43100</v>
      </c>
      <c r="O304" s="1246"/>
      <c r="P304" s="1246"/>
      <c r="Q304" s="1246"/>
      <c r="R304" s="1246"/>
      <c r="S304" s="1246"/>
      <c r="T304" s="1246"/>
      <c r="U304" s="1246"/>
      <c r="V304" s="1246"/>
      <c r="W304" s="1246"/>
      <c r="X304" s="1246"/>
      <c r="Y304" s="1246"/>
      <c r="Z304" s="1246"/>
      <c r="AA304" s="1246"/>
      <c r="AB304" s="1246"/>
      <c r="AC304" s="1246"/>
      <c r="AD304" s="1246"/>
      <c r="AE304" s="1246"/>
      <c r="AF304" s="641">
        <v>65.3137039351859</v>
      </c>
      <c r="AG304" s="187" t="s">
        <v>745</v>
      </c>
      <c r="AH304" s="1320">
        <v>4500000</v>
      </c>
      <c r="AI304" s="1320">
        <v>400000</v>
      </c>
      <c r="AJ304" s="1321">
        <v>20000</v>
      </c>
      <c r="AK304" s="1321"/>
      <c r="AL304" s="1321"/>
      <c r="AM304" s="1321">
        <v>500000</v>
      </c>
      <c r="AN304" s="1321"/>
      <c r="AO304" s="1321"/>
      <c r="AP304" s="1321"/>
      <c r="AQ304" s="1321" t="s">
        <v>112</v>
      </c>
      <c r="AR304" s="1321" t="s">
        <v>113</v>
      </c>
      <c r="AS304" s="1321" t="s">
        <v>49</v>
      </c>
      <c r="AT304" s="1269" t="s">
        <v>2879</v>
      </c>
      <c r="AU304" s="1269" t="s">
        <v>2880</v>
      </c>
      <c r="AV304" s="1544" t="s">
        <v>823</v>
      </c>
      <c r="AW304" s="1279" t="s">
        <v>824</v>
      </c>
      <c r="AX304" s="1279" t="s">
        <v>825</v>
      </c>
      <c r="AY304" s="1279" t="s">
        <v>826</v>
      </c>
      <c r="AZ304" s="1279"/>
      <c r="BA304" s="1279"/>
      <c r="BB304" s="1279" t="s">
        <v>827</v>
      </c>
      <c r="BC304" s="1477" t="s">
        <v>2881</v>
      </c>
      <c r="BD304" s="1402"/>
    </row>
    <row r="305" s="873" customFormat="1" ht="14.1" customHeight="1" spans="2:56">
      <c r="B305" s="1540" t="s">
        <v>651</v>
      </c>
      <c r="C305" s="32" t="s">
        <v>2882</v>
      </c>
      <c r="D305" s="1316" t="s">
        <v>2883</v>
      </c>
      <c r="E305" s="979" t="s">
        <v>2884</v>
      </c>
      <c r="F305" s="1269" t="s">
        <v>43</v>
      </c>
      <c r="G305" s="1317"/>
      <c r="H305" s="1269" t="s">
        <v>45</v>
      </c>
      <c r="I305" s="1269" t="s">
        <v>428</v>
      </c>
      <c r="J305" s="1269" t="s">
        <v>2291</v>
      </c>
      <c r="K305" s="1246">
        <v>42648</v>
      </c>
      <c r="L305" s="1246">
        <v>42735</v>
      </c>
      <c r="M305" s="1246">
        <v>42825</v>
      </c>
      <c r="N305" s="1246">
        <v>42886</v>
      </c>
      <c r="O305" s="1246">
        <v>43100</v>
      </c>
      <c r="P305" s="1246"/>
      <c r="Q305" s="1246"/>
      <c r="R305" s="1246"/>
      <c r="S305" s="1246"/>
      <c r="T305" s="1246"/>
      <c r="U305" s="1246"/>
      <c r="V305" s="1246"/>
      <c r="W305" s="1246"/>
      <c r="X305" s="1246"/>
      <c r="Y305" s="1246"/>
      <c r="Z305" s="1246"/>
      <c r="AA305" s="1246"/>
      <c r="AB305" s="1246"/>
      <c r="AC305" s="1246"/>
      <c r="AD305" s="1246"/>
      <c r="AE305" s="1246"/>
      <c r="AF305" s="641">
        <v>65.3137039351859</v>
      </c>
      <c r="AG305" s="187" t="s">
        <v>745</v>
      </c>
      <c r="AH305" s="1320">
        <v>2700000</v>
      </c>
      <c r="AI305" s="1320">
        <v>150000</v>
      </c>
      <c r="AJ305" s="1321">
        <v>17000</v>
      </c>
      <c r="AK305" s="1321">
        <v>30000</v>
      </c>
      <c r="AL305" s="1321"/>
      <c r="AM305" s="1321"/>
      <c r="AN305" s="1321"/>
      <c r="AO305" s="1321"/>
      <c r="AP305" s="1321"/>
      <c r="AQ305" s="1321" t="s">
        <v>112</v>
      </c>
      <c r="AR305" s="1321" t="s">
        <v>113</v>
      </c>
      <c r="AS305" s="1321" t="s">
        <v>49</v>
      </c>
      <c r="AT305" s="1269" t="s">
        <v>2885</v>
      </c>
      <c r="AU305" s="1269" t="s">
        <v>2886</v>
      </c>
      <c r="AV305" s="1544" t="s">
        <v>2887</v>
      </c>
      <c r="AW305" s="1279" t="s">
        <v>2888</v>
      </c>
      <c r="AX305" s="1279" t="s">
        <v>2889</v>
      </c>
      <c r="AY305" s="1279"/>
      <c r="AZ305" s="1279"/>
      <c r="BA305" s="1279"/>
      <c r="BB305" s="1279"/>
      <c r="BC305" s="1477" t="s">
        <v>2890</v>
      </c>
      <c r="BD305" s="1402"/>
    </row>
    <row r="306" s="873" customFormat="1" ht="14.1" customHeight="1" spans="2:56">
      <c r="B306" s="1540" t="s">
        <v>979</v>
      </c>
      <c r="C306" s="32" t="s">
        <v>2891</v>
      </c>
      <c r="D306" s="1316" t="s">
        <v>2892</v>
      </c>
      <c r="E306" s="979" t="s">
        <v>2893</v>
      </c>
      <c r="F306" s="1269" t="s">
        <v>43</v>
      </c>
      <c r="G306" s="1317" t="s">
        <v>404</v>
      </c>
      <c r="H306" s="1269" t="s">
        <v>1269</v>
      </c>
      <c r="I306" s="1269" t="s">
        <v>428</v>
      </c>
      <c r="J306" s="1269" t="s">
        <v>208</v>
      </c>
      <c r="K306" s="1246">
        <v>42863</v>
      </c>
      <c r="L306" s="1246">
        <v>42947</v>
      </c>
      <c r="M306" s="1246">
        <v>43039</v>
      </c>
      <c r="N306" s="1246"/>
      <c r="O306" s="1246"/>
      <c r="P306" s="1246"/>
      <c r="Q306" s="1246"/>
      <c r="R306" s="1246"/>
      <c r="S306" s="1246"/>
      <c r="T306" s="1246"/>
      <c r="U306" s="1246"/>
      <c r="V306" s="1246"/>
      <c r="W306" s="1246"/>
      <c r="X306" s="1246"/>
      <c r="Y306" s="1246"/>
      <c r="Z306" s="1246"/>
      <c r="AA306" s="1246"/>
      <c r="AB306" s="1246"/>
      <c r="AC306" s="1246"/>
      <c r="AD306" s="1246"/>
      <c r="AE306" s="1246"/>
      <c r="AF306" s="641">
        <v>4.31370393518591</v>
      </c>
      <c r="AG306" s="187" t="s">
        <v>2569</v>
      </c>
      <c r="AH306" s="1320">
        <v>3800000</v>
      </c>
      <c r="AI306" s="1320">
        <v>250000</v>
      </c>
      <c r="AJ306" s="1321">
        <v>20000</v>
      </c>
      <c r="AK306" s="1321"/>
      <c r="AL306" s="1321" t="s">
        <v>583</v>
      </c>
      <c r="AM306" s="1321">
        <v>500000</v>
      </c>
      <c r="AN306" s="1321" t="s">
        <v>583</v>
      </c>
      <c r="AO306" s="1321"/>
      <c r="AP306" s="1321" t="s">
        <v>583</v>
      </c>
      <c r="AQ306" s="1321" t="s">
        <v>112</v>
      </c>
      <c r="AR306" s="1321" t="s">
        <v>48</v>
      </c>
      <c r="AS306" s="1321" t="s">
        <v>49</v>
      </c>
      <c r="AT306" s="1269"/>
      <c r="AU306" s="1269" t="s">
        <v>2894</v>
      </c>
      <c r="AV306" s="1279" t="s">
        <v>2895</v>
      </c>
      <c r="AW306" s="1279"/>
      <c r="AX306" s="1279" t="s">
        <v>2896</v>
      </c>
      <c r="AY306" s="1279"/>
      <c r="AZ306" s="1279"/>
      <c r="BA306" s="1279"/>
      <c r="BB306" s="1279"/>
      <c r="BC306" s="1481" t="s">
        <v>2897</v>
      </c>
      <c r="BD306" s="1402"/>
    </row>
    <row r="307" s="873" customFormat="1" ht="14.1" customHeight="1" spans="2:56">
      <c r="B307" s="1540" t="s">
        <v>899</v>
      </c>
      <c r="C307" s="32" t="s">
        <v>2898</v>
      </c>
      <c r="D307" s="1316" t="s">
        <v>2899</v>
      </c>
      <c r="E307" s="979" t="s">
        <v>2900</v>
      </c>
      <c r="F307" s="1269" t="s">
        <v>43</v>
      </c>
      <c r="G307" s="1317" t="s">
        <v>60</v>
      </c>
      <c r="H307" s="1269" t="s">
        <v>361</v>
      </c>
      <c r="I307" s="1269" t="s">
        <v>428</v>
      </c>
      <c r="J307" s="1269" t="s">
        <v>185</v>
      </c>
      <c r="K307" s="1246">
        <v>42765</v>
      </c>
      <c r="L307" s="1246">
        <v>42825</v>
      </c>
      <c r="M307" s="1246">
        <v>42886</v>
      </c>
      <c r="N307" s="1246">
        <v>43100</v>
      </c>
      <c r="O307" s="1246"/>
      <c r="P307" s="1246"/>
      <c r="Q307" s="1246"/>
      <c r="R307" s="1246"/>
      <c r="S307" s="1246"/>
      <c r="T307" s="1246"/>
      <c r="U307" s="1246"/>
      <c r="V307" s="1246"/>
      <c r="W307" s="1246"/>
      <c r="X307" s="1246"/>
      <c r="Y307" s="1246"/>
      <c r="Z307" s="1246"/>
      <c r="AA307" s="1246"/>
      <c r="AB307" s="1246"/>
      <c r="AC307" s="1246"/>
      <c r="AD307" s="1246"/>
      <c r="AE307" s="1246"/>
      <c r="AF307" s="641">
        <f ca="1">SUM(N307-NOW())</f>
        <v>-172.38453703704</v>
      </c>
      <c r="AG307" s="187" t="str">
        <f ca="1">IF(AF307&lt;=40,"WARNING","ACTIVE")</f>
        <v>WARNING</v>
      </c>
      <c r="AH307" s="1320">
        <v>2765000</v>
      </c>
      <c r="AI307" s="1320">
        <v>150000</v>
      </c>
      <c r="AJ307" s="1321">
        <v>17000</v>
      </c>
      <c r="AK307" s="1321"/>
      <c r="AL307" s="1321"/>
      <c r="AM307" s="1321"/>
      <c r="AN307" s="1321"/>
      <c r="AO307" s="1321"/>
      <c r="AP307" s="1321"/>
      <c r="AQ307" s="1321" t="s">
        <v>112</v>
      </c>
      <c r="AR307" s="1321" t="s">
        <v>48</v>
      </c>
      <c r="AS307" s="1321" t="s">
        <v>49</v>
      </c>
      <c r="AT307" s="1269"/>
      <c r="AU307" s="1269" t="s">
        <v>2901</v>
      </c>
      <c r="AV307" s="1544" t="s">
        <v>2902</v>
      </c>
      <c r="AW307" s="1279" t="s">
        <v>2903</v>
      </c>
      <c r="AX307" s="1279" t="s">
        <v>2904</v>
      </c>
      <c r="AY307" s="1279"/>
      <c r="AZ307" s="1279"/>
      <c r="BA307" s="1279"/>
      <c r="BB307" s="1279" t="s">
        <v>2905</v>
      </c>
      <c r="BC307" s="1475" t="s">
        <v>2906</v>
      </c>
      <c r="BD307" s="1402"/>
    </row>
    <row r="308" s="873" customFormat="1" ht="14.1" customHeight="1" spans="2:56">
      <c r="B308" s="1540" t="s">
        <v>1016</v>
      </c>
      <c r="C308" s="32" t="s">
        <v>2907</v>
      </c>
      <c r="D308" s="1316" t="s">
        <v>2908</v>
      </c>
      <c r="E308" s="979" t="s">
        <v>2909</v>
      </c>
      <c r="F308" s="1269" t="s">
        <v>43</v>
      </c>
      <c r="G308" s="1317" t="s">
        <v>254</v>
      </c>
      <c r="H308" s="1269" t="s">
        <v>2910</v>
      </c>
      <c r="I308" s="1269" t="s">
        <v>428</v>
      </c>
      <c r="J308" s="1269" t="s">
        <v>208</v>
      </c>
      <c r="K308" s="1246">
        <v>42871</v>
      </c>
      <c r="L308" s="1246">
        <v>42947</v>
      </c>
      <c r="M308" s="1246">
        <v>43100</v>
      </c>
      <c r="N308" s="1246"/>
      <c r="O308" s="1246"/>
      <c r="P308" s="1246"/>
      <c r="Q308" s="1246"/>
      <c r="R308" s="1246"/>
      <c r="S308" s="1246"/>
      <c r="T308" s="1246"/>
      <c r="U308" s="1246"/>
      <c r="V308" s="1246"/>
      <c r="W308" s="1246"/>
      <c r="X308" s="1246"/>
      <c r="Y308" s="1246"/>
      <c r="Z308" s="1246"/>
      <c r="AA308" s="1246"/>
      <c r="AB308" s="1246"/>
      <c r="AC308" s="1246"/>
      <c r="AD308" s="1246"/>
      <c r="AE308" s="1246"/>
      <c r="AF308" s="641">
        <f ca="1">SUM(M308-NOW())</f>
        <v>-172.38453703704</v>
      </c>
      <c r="AG308" s="187" t="str">
        <f ca="1">IF(AF308&lt;=40,"WARNING","ACTIVE")</f>
        <v>WARNING</v>
      </c>
      <c r="AH308" s="1320">
        <v>4000000</v>
      </c>
      <c r="AI308" s="1320">
        <v>250000</v>
      </c>
      <c r="AJ308" s="1321">
        <v>20000</v>
      </c>
      <c r="AK308" s="1321"/>
      <c r="AL308" s="1321" t="s">
        <v>583</v>
      </c>
      <c r="AM308" s="1321">
        <v>500000</v>
      </c>
      <c r="AN308" s="1321" t="s">
        <v>583</v>
      </c>
      <c r="AO308" s="1321" t="s">
        <v>583</v>
      </c>
      <c r="AP308" s="1321"/>
      <c r="AQ308" s="1321" t="s">
        <v>112</v>
      </c>
      <c r="AR308" s="1321" t="s">
        <v>48</v>
      </c>
      <c r="AS308" s="1321" t="s">
        <v>49</v>
      </c>
      <c r="AT308" s="1269"/>
      <c r="AU308" s="1269" t="s">
        <v>2911</v>
      </c>
      <c r="AV308" s="1544" t="s">
        <v>2912</v>
      </c>
      <c r="AW308" s="1279" t="s">
        <v>2913</v>
      </c>
      <c r="AX308" s="1279" t="s">
        <v>2914</v>
      </c>
      <c r="AY308" s="1279" t="s">
        <v>2915</v>
      </c>
      <c r="AZ308" s="1279" t="s">
        <v>2916</v>
      </c>
      <c r="BA308" s="1544" t="s">
        <v>2917</v>
      </c>
      <c r="BB308" s="1280" t="s">
        <v>2918</v>
      </c>
      <c r="BC308" s="1476" t="s">
        <v>2919</v>
      </c>
      <c r="BD308" s="1402"/>
    </row>
    <row r="309" s="873" customFormat="1" ht="14.1" customHeight="1" spans="2:56">
      <c r="B309" s="1540" t="s">
        <v>39</v>
      </c>
      <c r="C309" s="32" t="s">
        <v>2920</v>
      </c>
      <c r="D309" s="1316" t="s">
        <v>2921</v>
      </c>
      <c r="E309" s="979" t="s">
        <v>2922</v>
      </c>
      <c r="F309" s="1269" t="s">
        <v>43</v>
      </c>
      <c r="G309" s="1317" t="s">
        <v>44</v>
      </c>
      <c r="H309" s="1269" t="s">
        <v>45</v>
      </c>
      <c r="I309" s="1269" t="s">
        <v>46</v>
      </c>
      <c r="J309" s="1269" t="s">
        <v>2923</v>
      </c>
      <c r="K309" s="1246">
        <v>42114</v>
      </c>
      <c r="L309" s="1246">
        <v>42490</v>
      </c>
      <c r="M309" s="1246">
        <v>42674</v>
      </c>
      <c r="N309" s="1246">
        <v>42735</v>
      </c>
      <c r="O309" s="1246">
        <v>42825</v>
      </c>
      <c r="P309" s="1246">
        <v>42844</v>
      </c>
      <c r="Q309" s="1246"/>
      <c r="R309" s="1246"/>
      <c r="S309" s="1246"/>
      <c r="T309" s="1246"/>
      <c r="U309" s="1246"/>
      <c r="V309" s="1246">
        <v>42845</v>
      </c>
      <c r="W309" s="1246">
        <v>42886</v>
      </c>
      <c r="X309" s="1246">
        <v>43100</v>
      </c>
      <c r="Y309" s="1246"/>
      <c r="Z309" s="1246"/>
      <c r="AA309" s="1246"/>
      <c r="AB309" s="1246"/>
      <c r="AC309" s="1246"/>
      <c r="AD309" s="1246"/>
      <c r="AE309" s="1246"/>
      <c r="AF309" s="641">
        <v>33.4001295138878</v>
      </c>
      <c r="AG309" s="187" t="s">
        <v>2569</v>
      </c>
      <c r="AH309" s="1320">
        <v>3700000</v>
      </c>
      <c r="AI309" s="1320">
        <v>250000</v>
      </c>
      <c r="AJ309" s="1321">
        <v>20000</v>
      </c>
      <c r="AK309" s="1321">
        <v>30000</v>
      </c>
      <c r="AL309" s="1321"/>
      <c r="AM309" s="1321">
        <v>500000</v>
      </c>
      <c r="AN309" s="1321"/>
      <c r="AO309" s="1321"/>
      <c r="AP309" s="1321"/>
      <c r="AQ309" s="1321" t="s">
        <v>0</v>
      </c>
      <c r="AR309" s="1321" t="s">
        <v>48</v>
      </c>
      <c r="AS309" s="1321" t="s">
        <v>49</v>
      </c>
      <c r="AT309" s="1269" t="s">
        <v>2924</v>
      </c>
      <c r="AU309" s="1269" t="s">
        <v>2925</v>
      </c>
      <c r="AV309" s="1544" t="s">
        <v>2926</v>
      </c>
      <c r="AW309" s="1279" t="s">
        <v>2927</v>
      </c>
      <c r="AX309" s="1279" t="s">
        <v>2928</v>
      </c>
      <c r="AY309" s="1279" t="s">
        <v>2929</v>
      </c>
      <c r="AZ309" s="1279"/>
      <c r="BA309" s="1279" t="s">
        <v>2930</v>
      </c>
      <c r="BB309" s="1279" t="s">
        <v>2931</v>
      </c>
      <c r="BC309" s="1475" t="s">
        <v>2932</v>
      </c>
      <c r="BD309" s="1402"/>
    </row>
    <row r="310" s="873" customFormat="1" ht="14.1" customHeight="1" spans="2:56">
      <c r="B310" s="1532" t="s">
        <v>272</v>
      </c>
      <c r="C310" s="32" t="s">
        <v>2933</v>
      </c>
      <c r="D310" s="1316" t="s">
        <v>2934</v>
      </c>
      <c r="E310" s="979" t="s">
        <v>2935</v>
      </c>
      <c r="F310" s="1269" t="s">
        <v>43</v>
      </c>
      <c r="G310" s="1317" t="s">
        <v>96</v>
      </c>
      <c r="H310" s="1269" t="s">
        <v>45</v>
      </c>
      <c r="I310" s="1269" t="s">
        <v>46</v>
      </c>
      <c r="J310" s="1269" t="s">
        <v>2936</v>
      </c>
      <c r="K310" s="1246">
        <v>42222</v>
      </c>
      <c r="L310" s="1246">
        <v>42405</v>
      </c>
      <c r="M310" s="1246">
        <v>42490</v>
      </c>
      <c r="N310" s="1246">
        <v>42582</v>
      </c>
      <c r="O310" s="1246">
        <v>42674</v>
      </c>
      <c r="P310" s="1246">
        <v>42735</v>
      </c>
      <c r="Q310" s="1246">
        <v>42825</v>
      </c>
      <c r="R310" s="1246">
        <v>42916</v>
      </c>
      <c r="S310" s="1246">
        <v>42952</v>
      </c>
      <c r="T310" s="1246"/>
      <c r="U310" s="1246"/>
      <c r="V310" s="1246">
        <v>42953</v>
      </c>
      <c r="W310" s="1246">
        <v>43100</v>
      </c>
      <c r="X310" s="1246"/>
      <c r="Y310" s="1246"/>
      <c r="Z310" s="1246"/>
      <c r="AA310" s="1246"/>
      <c r="AB310" s="1246"/>
      <c r="AC310" s="1246"/>
      <c r="AD310" s="1246"/>
      <c r="AE310" s="1246"/>
      <c r="AF310" s="641">
        <v>33.4001295138878</v>
      </c>
      <c r="AG310" s="187" t="s">
        <v>2569</v>
      </c>
      <c r="AH310" s="1320">
        <v>2750000</v>
      </c>
      <c r="AI310" s="1320">
        <v>150000</v>
      </c>
      <c r="AJ310" s="1321">
        <v>17000</v>
      </c>
      <c r="AK310" s="1321">
        <v>30000</v>
      </c>
      <c r="AL310" s="1321"/>
      <c r="AM310" s="1321"/>
      <c r="AN310" s="1321"/>
      <c r="AO310" s="1321"/>
      <c r="AP310" s="1321"/>
      <c r="AQ310" s="1321" t="s">
        <v>112</v>
      </c>
      <c r="AR310" s="1321" t="s">
        <v>113</v>
      </c>
      <c r="AS310" s="1321" t="s">
        <v>49</v>
      </c>
      <c r="AT310" s="1269" t="s">
        <v>2937</v>
      </c>
      <c r="AU310" s="1269" t="s">
        <v>2938</v>
      </c>
      <c r="AV310" s="1544" t="s">
        <v>2939</v>
      </c>
      <c r="AW310" s="1279" t="s">
        <v>2940</v>
      </c>
      <c r="AX310" s="1279" t="s">
        <v>2941</v>
      </c>
      <c r="AY310" s="1279">
        <v>0</v>
      </c>
      <c r="AZ310" s="1279">
        <v>0</v>
      </c>
      <c r="BA310" s="1279" t="s">
        <v>2942</v>
      </c>
      <c r="BB310" s="1279"/>
      <c r="BC310" s="1476" t="s">
        <v>2943</v>
      </c>
      <c r="BD310" s="1402"/>
    </row>
    <row r="311" s="873" customFormat="1" ht="14.1" customHeight="1" spans="2:56">
      <c r="B311" s="1540" t="s">
        <v>790</v>
      </c>
      <c r="C311" s="32" t="s">
        <v>2944</v>
      </c>
      <c r="D311" s="1316" t="s">
        <v>2945</v>
      </c>
      <c r="E311" s="979" t="s">
        <v>2946</v>
      </c>
      <c r="F311" s="1269" t="s">
        <v>43</v>
      </c>
      <c r="G311" s="1317" t="s">
        <v>44</v>
      </c>
      <c r="H311" s="1269" t="s">
        <v>361</v>
      </c>
      <c r="I311" s="1269" t="s">
        <v>428</v>
      </c>
      <c r="J311" s="1269" t="s">
        <v>61</v>
      </c>
      <c r="K311" s="1246">
        <v>42773</v>
      </c>
      <c r="L311" s="1246">
        <v>42825</v>
      </c>
      <c r="M311" s="1246">
        <v>42855</v>
      </c>
      <c r="N311" s="1246">
        <v>42947</v>
      </c>
      <c r="O311" s="1246">
        <v>43100</v>
      </c>
      <c r="P311" s="1246"/>
      <c r="Q311" s="1246"/>
      <c r="R311" s="1246"/>
      <c r="S311" s="1246"/>
      <c r="T311" s="1246"/>
      <c r="U311" s="1246"/>
      <c r="V311" s="1246"/>
      <c r="W311" s="1246"/>
      <c r="X311" s="1246"/>
      <c r="Y311" s="1246"/>
      <c r="Z311" s="1246"/>
      <c r="AA311" s="1246"/>
      <c r="AB311" s="1246"/>
      <c r="AC311" s="1246"/>
      <c r="AD311" s="1246"/>
      <c r="AE311" s="1246"/>
      <c r="AF311" s="641">
        <v>33.4001295138878</v>
      </c>
      <c r="AG311" s="187" t="s">
        <v>2569</v>
      </c>
      <c r="AH311" s="1320">
        <v>3000000</v>
      </c>
      <c r="AI311" s="1320">
        <v>200000</v>
      </c>
      <c r="AJ311" s="1321">
        <v>17000</v>
      </c>
      <c r="AK311" s="1321"/>
      <c r="AL311" s="1321"/>
      <c r="AM311" s="1321"/>
      <c r="AN311" s="1321"/>
      <c r="AO311" s="1321"/>
      <c r="AP311" s="1321"/>
      <c r="AQ311" s="1321" t="s">
        <v>112</v>
      </c>
      <c r="AR311" s="1321" t="s">
        <v>48</v>
      </c>
      <c r="AS311" s="1321" t="s">
        <v>49</v>
      </c>
      <c r="AT311" s="1269"/>
      <c r="AU311" s="1269" t="s">
        <v>2947</v>
      </c>
      <c r="AV311" s="1279">
        <v>82284441615</v>
      </c>
      <c r="AW311" s="1279" t="s">
        <v>2948</v>
      </c>
      <c r="AX311" s="1279"/>
      <c r="AY311" s="1279"/>
      <c r="AZ311" s="1279"/>
      <c r="BA311" s="1279"/>
      <c r="BB311" s="1279" t="s">
        <v>2949</v>
      </c>
      <c r="BC311" s="1475" t="s">
        <v>2950</v>
      </c>
      <c r="BD311" s="1402"/>
    </row>
    <row r="312" s="873" customFormat="1" ht="14.1" customHeight="1" spans="2:56">
      <c r="B312" s="1540" t="s">
        <v>837</v>
      </c>
      <c r="C312" s="32" t="s">
        <v>2951</v>
      </c>
      <c r="D312" s="1316" t="s">
        <v>2952</v>
      </c>
      <c r="E312" s="979" t="s">
        <v>2953</v>
      </c>
      <c r="F312" s="1269" t="s">
        <v>43</v>
      </c>
      <c r="G312" s="1317" t="s">
        <v>254</v>
      </c>
      <c r="H312" s="1269" t="s">
        <v>361</v>
      </c>
      <c r="I312" s="1269" t="s">
        <v>428</v>
      </c>
      <c r="J312" s="1269" t="s">
        <v>1241</v>
      </c>
      <c r="K312" s="1246">
        <v>42837</v>
      </c>
      <c r="L312" s="1246">
        <v>42947</v>
      </c>
      <c r="M312" s="1246">
        <v>43100</v>
      </c>
      <c r="N312" s="1246"/>
      <c r="O312" s="1246"/>
      <c r="P312" s="1246"/>
      <c r="Q312" s="1246"/>
      <c r="R312" s="1246"/>
      <c r="S312" s="1246"/>
      <c r="T312" s="1246"/>
      <c r="U312" s="1246"/>
      <c r="V312" s="1246"/>
      <c r="W312" s="1246"/>
      <c r="X312" s="1246"/>
      <c r="Y312" s="1246"/>
      <c r="Z312" s="1246"/>
      <c r="AA312" s="1246"/>
      <c r="AB312" s="1246"/>
      <c r="AC312" s="1246"/>
      <c r="AD312" s="1246"/>
      <c r="AE312" s="1246"/>
      <c r="AF312" s="641">
        <v>33.4001295138878</v>
      </c>
      <c r="AG312" s="187" t="s">
        <v>2569</v>
      </c>
      <c r="AH312" s="1320">
        <v>4500000</v>
      </c>
      <c r="AI312" s="1320">
        <v>400000</v>
      </c>
      <c r="AJ312" s="1321">
        <v>17000</v>
      </c>
      <c r="AK312" s="1321"/>
      <c r="AL312" s="1321" t="s">
        <v>583</v>
      </c>
      <c r="AM312" s="1321">
        <v>500000</v>
      </c>
      <c r="AN312" s="1321" t="s">
        <v>583</v>
      </c>
      <c r="AO312" s="1321" t="s">
        <v>583</v>
      </c>
      <c r="AP312" s="1321"/>
      <c r="AQ312" s="1321" t="s">
        <v>112</v>
      </c>
      <c r="AR312" s="1321" t="s">
        <v>48</v>
      </c>
      <c r="AS312" s="1321" t="s">
        <v>49</v>
      </c>
      <c r="AT312" s="1269"/>
      <c r="AU312" s="1269" t="s">
        <v>2954</v>
      </c>
      <c r="AV312" s="1279" t="s">
        <v>2955</v>
      </c>
      <c r="AW312" s="1279" t="s">
        <v>2956</v>
      </c>
      <c r="AX312" s="1279" t="s">
        <v>2957</v>
      </c>
      <c r="AY312" s="1279" t="s">
        <v>2958</v>
      </c>
      <c r="AZ312" s="1279"/>
      <c r="BA312" s="1279"/>
      <c r="BB312" s="1280" t="s">
        <v>2959</v>
      </c>
      <c r="BC312" s="1476" t="s">
        <v>2960</v>
      </c>
      <c r="BD312" s="1402"/>
    </row>
    <row r="313" s="873" customFormat="1" ht="14.1" customHeight="1" spans="2:56">
      <c r="B313" s="1532" t="s">
        <v>1339</v>
      </c>
      <c r="C313" s="32"/>
      <c r="D313" s="1316" t="s">
        <v>2961</v>
      </c>
      <c r="E313" s="979" t="s">
        <v>2962</v>
      </c>
      <c r="F313" s="1269"/>
      <c r="G313" s="1317"/>
      <c r="H313" s="1269" t="s">
        <v>361</v>
      </c>
      <c r="I313" s="32" t="s">
        <v>770</v>
      </c>
      <c r="J313" s="1269" t="s">
        <v>185</v>
      </c>
      <c r="K313" s="1246">
        <v>43041</v>
      </c>
      <c r="L313" s="1246">
        <v>43131</v>
      </c>
      <c r="M313" s="1246"/>
      <c r="N313" s="1246"/>
      <c r="O313" s="1246"/>
      <c r="P313" s="1246"/>
      <c r="Q313" s="1246"/>
      <c r="R313" s="1246"/>
      <c r="S313" s="1246"/>
      <c r="T313" s="1246"/>
      <c r="U313" s="1246"/>
      <c r="V313" s="1246"/>
      <c r="W313" s="1246"/>
      <c r="X313" s="1246"/>
      <c r="Y313" s="1246"/>
      <c r="Z313" s="1246"/>
      <c r="AA313" s="1246"/>
      <c r="AB313" s="1246"/>
      <c r="AC313" s="1246"/>
      <c r="AD313" s="1246"/>
      <c r="AE313" s="1246"/>
      <c r="AF313" s="641"/>
      <c r="AG313" s="187"/>
      <c r="AH313" s="1471">
        <v>2765000</v>
      </c>
      <c r="AI313" s="1471">
        <v>150000</v>
      </c>
      <c r="AJ313" s="1468">
        <v>17000</v>
      </c>
      <c r="AK313" s="1468"/>
      <c r="AL313" s="1468"/>
      <c r="AM313" s="1321"/>
      <c r="AN313" s="1468"/>
      <c r="AO313" s="1321"/>
      <c r="AP313" s="1473"/>
      <c r="AQ313" s="1321" t="s">
        <v>0</v>
      </c>
      <c r="AR313" s="1321" t="s">
        <v>48</v>
      </c>
      <c r="AS313" s="1321" t="s">
        <v>49</v>
      </c>
      <c r="AT313" s="1269"/>
      <c r="AU313" s="1269" t="s">
        <v>2963</v>
      </c>
      <c r="AV313" s="1279"/>
      <c r="AW313" s="1279"/>
      <c r="AX313" s="1279"/>
      <c r="AY313" s="1279"/>
      <c r="AZ313" s="1279"/>
      <c r="BA313" s="1279"/>
      <c r="BB313" s="1280"/>
      <c r="BC313" s="1476" t="s">
        <v>2964</v>
      </c>
      <c r="BD313" s="1402"/>
    </row>
    <row r="314" s="873" customFormat="1" ht="14.1" customHeight="1" spans="2:56">
      <c r="B314" s="1540" t="s">
        <v>135</v>
      </c>
      <c r="C314" s="32" t="s">
        <v>2965</v>
      </c>
      <c r="D314" s="1316" t="s">
        <v>2966</v>
      </c>
      <c r="E314" s="979" t="s">
        <v>2967</v>
      </c>
      <c r="F314" s="1269" t="s">
        <v>43</v>
      </c>
      <c r="G314" s="1317" t="s">
        <v>880</v>
      </c>
      <c r="H314" s="1269" t="s">
        <v>45</v>
      </c>
      <c r="I314" s="1269" t="s">
        <v>46</v>
      </c>
      <c r="J314" s="1269" t="s">
        <v>61</v>
      </c>
      <c r="K314" s="1246">
        <v>42129</v>
      </c>
      <c r="L314" s="1246">
        <v>42490</v>
      </c>
      <c r="M314" s="1246">
        <v>42674</v>
      </c>
      <c r="N314" s="1246">
        <v>42735</v>
      </c>
      <c r="O314" s="1246">
        <v>42825</v>
      </c>
      <c r="P314" s="1246">
        <v>42859</v>
      </c>
      <c r="Q314" s="1246"/>
      <c r="R314" s="1246"/>
      <c r="S314" s="1246"/>
      <c r="T314" s="1246"/>
      <c r="U314" s="1246"/>
      <c r="V314" s="1246">
        <v>42860</v>
      </c>
      <c r="W314" s="1246">
        <v>42916</v>
      </c>
      <c r="X314" s="1246">
        <v>43100</v>
      </c>
      <c r="Y314" s="1246"/>
      <c r="Z314" s="1246"/>
      <c r="AA314" s="1246"/>
      <c r="AB314" s="1246"/>
      <c r="AC314" s="1246"/>
      <c r="AD314" s="1246"/>
      <c r="AE314" s="1246"/>
      <c r="AF314" s="641">
        <v>-5.41682789351762</v>
      </c>
      <c r="AG314" s="187" t="s">
        <v>2569</v>
      </c>
      <c r="AH314" s="1320">
        <v>3200000</v>
      </c>
      <c r="AI314" s="1320">
        <v>200000</v>
      </c>
      <c r="AJ314" s="1321">
        <v>17000</v>
      </c>
      <c r="AK314" s="1321">
        <v>30000</v>
      </c>
      <c r="AL314" s="1321"/>
      <c r="AM314" s="1321"/>
      <c r="AN314" s="1321"/>
      <c r="AO314" s="1321"/>
      <c r="AP314" s="1321"/>
      <c r="AQ314" s="1321" t="s">
        <v>0</v>
      </c>
      <c r="AR314" s="1321" t="s">
        <v>113</v>
      </c>
      <c r="AS314" s="1321" t="s">
        <v>49</v>
      </c>
      <c r="AT314" s="1269" t="s">
        <v>2968</v>
      </c>
      <c r="AU314" s="1269" t="s">
        <v>2969</v>
      </c>
      <c r="AV314" s="1544" t="s">
        <v>2970</v>
      </c>
      <c r="AW314" s="1279" t="s">
        <v>2971</v>
      </c>
      <c r="AX314" s="1279" t="s">
        <v>2972</v>
      </c>
      <c r="AY314" s="1279">
        <v>0</v>
      </c>
      <c r="AZ314" s="1279">
        <v>0</v>
      </c>
      <c r="BA314" s="1279" t="s">
        <v>2973</v>
      </c>
      <c r="BB314" s="1279"/>
      <c r="BC314" s="1246" t="s">
        <v>2974</v>
      </c>
      <c r="BD314" s="1324" t="s">
        <v>2975</v>
      </c>
    </row>
    <row r="315" s="873" customFormat="1" ht="14.1" customHeight="1" spans="2:56">
      <c r="B315" s="1540" t="s">
        <v>168</v>
      </c>
      <c r="C315" s="32" t="s">
        <v>2976</v>
      </c>
      <c r="D315" s="1316" t="s">
        <v>2977</v>
      </c>
      <c r="E315" s="979" t="s">
        <v>2978</v>
      </c>
      <c r="F315" s="1269" t="s">
        <v>43</v>
      </c>
      <c r="G315" s="1317" t="s">
        <v>96</v>
      </c>
      <c r="H315" s="1269" t="s">
        <v>45</v>
      </c>
      <c r="I315" s="1269" t="s">
        <v>2979</v>
      </c>
      <c r="J315" s="1269" t="s">
        <v>47</v>
      </c>
      <c r="K315" s="1246">
        <v>42136</v>
      </c>
      <c r="L315" s="1246">
        <v>42490</v>
      </c>
      <c r="M315" s="1246">
        <v>42674</v>
      </c>
      <c r="N315" s="1246">
        <v>42735</v>
      </c>
      <c r="O315" s="1246">
        <v>42825</v>
      </c>
      <c r="P315" s="1246">
        <v>42866</v>
      </c>
      <c r="Q315" s="1246"/>
      <c r="R315" s="1246"/>
      <c r="S315" s="1246"/>
      <c r="T315" s="1246"/>
      <c r="U315" s="1246"/>
      <c r="V315" s="1246">
        <v>42867</v>
      </c>
      <c r="W315" s="1246">
        <v>42886</v>
      </c>
      <c r="X315" s="1246">
        <v>42916</v>
      </c>
      <c r="Y315" s="1246">
        <v>43100</v>
      </c>
      <c r="Z315" s="980"/>
      <c r="AA315" s="980"/>
      <c r="AB315" s="1246"/>
      <c r="AC315" s="1246"/>
      <c r="AD315" s="1246"/>
      <c r="AE315" s="1246"/>
      <c r="AF315" s="641">
        <v>-5.41682789351762</v>
      </c>
      <c r="AG315" s="187" t="s">
        <v>2569</v>
      </c>
      <c r="AH315" s="1320">
        <v>3000000</v>
      </c>
      <c r="AI315" s="1320">
        <v>200000</v>
      </c>
      <c r="AJ315" s="1321">
        <v>17000</v>
      </c>
      <c r="AK315" s="1321"/>
      <c r="AL315" s="1321"/>
      <c r="AM315" s="1321"/>
      <c r="AN315" s="1321"/>
      <c r="AO315" s="1321"/>
      <c r="AP315" s="1321"/>
      <c r="AQ315" s="1321" t="s">
        <v>112</v>
      </c>
      <c r="AR315" s="1321" t="s">
        <v>113</v>
      </c>
      <c r="AS315" s="1321" t="s">
        <v>49</v>
      </c>
      <c r="AT315" s="1269" t="s">
        <v>2980</v>
      </c>
      <c r="AU315" s="1269" t="s">
        <v>2981</v>
      </c>
      <c r="AV315" s="1544" t="s">
        <v>2982</v>
      </c>
      <c r="AW315" s="1279" t="s">
        <v>2983</v>
      </c>
      <c r="AX315" s="1279" t="s">
        <v>2984</v>
      </c>
      <c r="AY315" s="1279"/>
      <c r="AZ315" s="1279"/>
      <c r="BA315" s="1279" t="s">
        <v>2985</v>
      </c>
      <c r="BB315" s="1279"/>
      <c r="BC315" s="1482" t="s">
        <v>2986</v>
      </c>
      <c r="BD315" s="1324" t="s">
        <v>2975</v>
      </c>
    </row>
    <row r="316" s="873" customFormat="1" ht="14.1" customHeight="1" spans="2:56">
      <c r="B316" s="1540" t="s">
        <v>204</v>
      </c>
      <c r="C316" s="32" t="s">
        <v>169</v>
      </c>
      <c r="D316" s="1316" t="s">
        <v>170</v>
      </c>
      <c r="E316" s="979" t="s">
        <v>171</v>
      </c>
      <c r="F316" s="1269" t="s">
        <v>43</v>
      </c>
      <c r="G316" s="1317" t="s">
        <v>44</v>
      </c>
      <c r="H316" s="1269" t="s">
        <v>45</v>
      </c>
      <c r="I316" s="1269" t="s">
        <v>46</v>
      </c>
      <c r="J316" s="1269" t="s">
        <v>2613</v>
      </c>
      <c r="K316" s="1246">
        <v>42170</v>
      </c>
      <c r="L316" s="1246">
        <v>42261</v>
      </c>
      <c r="M316" s="1246">
        <v>42369</v>
      </c>
      <c r="N316" s="1246">
        <v>42429</v>
      </c>
      <c r="O316" s="1246">
        <v>42490</v>
      </c>
      <c r="P316" s="1246">
        <v>42582</v>
      </c>
      <c r="Q316" s="1246">
        <v>42674</v>
      </c>
      <c r="R316" s="1246">
        <v>42735</v>
      </c>
      <c r="S316" s="1246">
        <v>42825</v>
      </c>
      <c r="T316" s="1246">
        <v>42900</v>
      </c>
      <c r="U316" s="1246"/>
      <c r="V316" s="1246">
        <v>42901</v>
      </c>
      <c r="W316" s="1246">
        <v>43100</v>
      </c>
      <c r="X316" s="1246"/>
      <c r="Y316" s="1246"/>
      <c r="Z316" s="1246"/>
      <c r="AA316" s="1246"/>
      <c r="AB316" s="1246"/>
      <c r="AC316" s="1246"/>
      <c r="AD316" s="1246"/>
      <c r="AE316" s="1246"/>
      <c r="AF316" s="641">
        <v>-5.41682789351762</v>
      </c>
      <c r="AG316" s="187" t="s">
        <v>2569</v>
      </c>
      <c r="AH316" s="1320">
        <v>3200000</v>
      </c>
      <c r="AI316" s="1320">
        <v>200000</v>
      </c>
      <c r="AJ316" s="1321">
        <v>17000</v>
      </c>
      <c r="AK316" s="1321">
        <v>30000</v>
      </c>
      <c r="AL316" s="1321"/>
      <c r="AM316" s="1321"/>
      <c r="AN316" s="1321"/>
      <c r="AO316" s="1321"/>
      <c r="AP316" s="1321"/>
      <c r="AQ316" s="1321" t="s">
        <v>112</v>
      </c>
      <c r="AR316" s="1321" t="s">
        <v>113</v>
      </c>
      <c r="AS316" s="1321" t="s">
        <v>49</v>
      </c>
      <c r="AT316" s="1269" t="s">
        <v>2987</v>
      </c>
      <c r="AU316" s="1269" t="s">
        <v>174</v>
      </c>
      <c r="AV316" s="1544" t="s">
        <v>175</v>
      </c>
      <c r="AW316" s="1279" t="s">
        <v>176</v>
      </c>
      <c r="AX316" s="1279" t="s">
        <v>177</v>
      </c>
      <c r="AY316" s="1279"/>
      <c r="AZ316" s="1279"/>
      <c r="BA316" s="1279" t="s">
        <v>178</v>
      </c>
      <c r="BB316" s="1279" t="s">
        <v>179</v>
      </c>
      <c r="BC316" s="1268" t="s">
        <v>2988</v>
      </c>
      <c r="BD316" s="1324" t="s">
        <v>2989</v>
      </c>
    </row>
    <row r="317" s="873" customFormat="1" ht="14.1" customHeight="1" spans="2:56">
      <c r="B317" s="1540" t="s">
        <v>229</v>
      </c>
      <c r="C317" s="32" t="s">
        <v>2990</v>
      </c>
      <c r="D317" s="1316" t="s">
        <v>2991</v>
      </c>
      <c r="E317" s="979" t="s">
        <v>2992</v>
      </c>
      <c r="F317" s="1269" t="s">
        <v>43</v>
      </c>
      <c r="G317" s="1317" t="s">
        <v>254</v>
      </c>
      <c r="H317" s="1269" t="s">
        <v>45</v>
      </c>
      <c r="I317" s="1269" t="s">
        <v>46</v>
      </c>
      <c r="J317" s="1269" t="s">
        <v>208</v>
      </c>
      <c r="K317" s="1246">
        <v>42191</v>
      </c>
      <c r="L317" s="1246">
        <v>42369</v>
      </c>
      <c r="M317" s="1246">
        <v>42429</v>
      </c>
      <c r="N317" s="1246">
        <v>42490</v>
      </c>
      <c r="O317" s="1246">
        <v>42582</v>
      </c>
      <c r="P317" s="1246">
        <v>42766</v>
      </c>
      <c r="Q317" s="1246">
        <v>42825</v>
      </c>
      <c r="R317" s="1246">
        <v>42916</v>
      </c>
      <c r="S317" s="1246">
        <v>42921</v>
      </c>
      <c r="T317" s="1246"/>
      <c r="U317" s="1246"/>
      <c r="V317" s="1246">
        <v>42922</v>
      </c>
      <c r="W317" s="1246">
        <v>43100</v>
      </c>
      <c r="X317" s="1246"/>
      <c r="Y317" s="1246"/>
      <c r="Z317" s="1246"/>
      <c r="AA317" s="1246"/>
      <c r="AB317" s="1246"/>
      <c r="AC317" s="1246"/>
      <c r="AD317" s="1246"/>
      <c r="AE317" s="1246"/>
      <c r="AF317" s="641">
        <v>-5.41682789351762</v>
      </c>
      <c r="AG317" s="187" t="s">
        <v>2569</v>
      </c>
      <c r="AH317" s="1320">
        <v>4200000</v>
      </c>
      <c r="AI317" s="1320">
        <v>250000</v>
      </c>
      <c r="AJ317" s="1321">
        <v>20000</v>
      </c>
      <c r="AK317" s="1321"/>
      <c r="AL317" s="1321"/>
      <c r="AM317" s="1321">
        <v>500000</v>
      </c>
      <c r="AN317" s="1321"/>
      <c r="AO317" s="1321"/>
      <c r="AP317" s="1321"/>
      <c r="AQ317" s="1321" t="s">
        <v>112</v>
      </c>
      <c r="AR317" s="1321" t="s">
        <v>113</v>
      </c>
      <c r="AS317" s="1321" t="s">
        <v>49</v>
      </c>
      <c r="AT317" s="1269"/>
      <c r="AU317" s="1269" t="s">
        <v>2993</v>
      </c>
      <c r="AV317" s="1544" t="s">
        <v>2994</v>
      </c>
      <c r="AW317" s="1279" t="s">
        <v>2995</v>
      </c>
      <c r="AX317" s="1279" t="s">
        <v>2996</v>
      </c>
      <c r="AY317" s="1279">
        <v>0</v>
      </c>
      <c r="AZ317" s="1279">
        <v>0</v>
      </c>
      <c r="BA317" s="1279" t="s">
        <v>2997</v>
      </c>
      <c r="BB317" s="1279" t="s">
        <v>2998</v>
      </c>
      <c r="BC317" s="1482" t="s">
        <v>2999</v>
      </c>
      <c r="BD317" s="1324" t="s">
        <v>3000</v>
      </c>
    </row>
    <row r="318" s="873" customFormat="1" ht="14.1" customHeight="1" spans="2:56">
      <c r="B318" s="1540" t="s">
        <v>320</v>
      </c>
      <c r="C318" s="32" t="s">
        <v>3001</v>
      </c>
      <c r="D318" s="1316" t="s">
        <v>3002</v>
      </c>
      <c r="E318" s="979" t="s">
        <v>3003</v>
      </c>
      <c r="F318" s="1269" t="s">
        <v>43</v>
      </c>
      <c r="G318" s="1317" t="s">
        <v>44</v>
      </c>
      <c r="H318" s="1269" t="s">
        <v>45</v>
      </c>
      <c r="I318" s="1269" t="s">
        <v>46</v>
      </c>
      <c r="J318" s="1269" t="s">
        <v>185</v>
      </c>
      <c r="K318" s="1246">
        <v>42279</v>
      </c>
      <c r="L318" s="1246">
        <v>42370</v>
      </c>
      <c r="M318" s="1246">
        <v>42429</v>
      </c>
      <c r="N318" s="1246">
        <v>42490</v>
      </c>
      <c r="O318" s="1246">
        <v>42582</v>
      </c>
      <c r="P318" s="1246">
        <v>42674</v>
      </c>
      <c r="Q318" s="1246">
        <v>42735</v>
      </c>
      <c r="R318" s="1246">
        <v>42825</v>
      </c>
      <c r="S318" s="1246">
        <v>42886</v>
      </c>
      <c r="T318" s="1246">
        <v>43009</v>
      </c>
      <c r="U318" s="1246"/>
      <c r="V318" s="1246">
        <v>43010</v>
      </c>
      <c r="W318" s="1246">
        <v>43039</v>
      </c>
      <c r="X318" s="1246">
        <v>43100</v>
      </c>
      <c r="Y318" s="1246"/>
      <c r="Z318" s="1246"/>
      <c r="AA318" s="1246"/>
      <c r="AB318" s="1246"/>
      <c r="AC318" s="1246"/>
      <c r="AD318" s="1246"/>
      <c r="AE318" s="1246"/>
      <c r="AF318" s="641">
        <v>-5.41682789351762</v>
      </c>
      <c r="AG318" s="187" t="s">
        <v>2569</v>
      </c>
      <c r="AH318" s="1320">
        <v>2780000</v>
      </c>
      <c r="AI318" s="1320">
        <v>150000</v>
      </c>
      <c r="AJ318" s="1321">
        <v>17000</v>
      </c>
      <c r="AK318" s="1321"/>
      <c r="AL318" s="1321"/>
      <c r="AM318" s="1321"/>
      <c r="AN318" s="1321"/>
      <c r="AO318" s="1321"/>
      <c r="AP318" s="1321"/>
      <c r="AQ318" s="1321" t="s">
        <v>112</v>
      </c>
      <c r="AR318" s="1321" t="s">
        <v>113</v>
      </c>
      <c r="AS318" s="1321" t="s">
        <v>49</v>
      </c>
      <c r="AT318" s="1269" t="s">
        <v>3004</v>
      </c>
      <c r="AU318" s="1269" t="s">
        <v>3005</v>
      </c>
      <c r="AV318" s="1544" t="s">
        <v>3006</v>
      </c>
      <c r="AW318" s="1279" t="s">
        <v>3007</v>
      </c>
      <c r="AX318" s="1279" t="s">
        <v>3008</v>
      </c>
      <c r="AY318" s="1279"/>
      <c r="AZ318" s="1279"/>
      <c r="BA318" s="1279" t="s">
        <v>3009</v>
      </c>
      <c r="BB318" s="1279"/>
      <c r="BC318" s="1482" t="s">
        <v>3010</v>
      </c>
      <c r="BD318" s="1324" t="s">
        <v>2975</v>
      </c>
    </row>
    <row r="319" s="873" customFormat="1" ht="14.1" customHeight="1" spans="2:56">
      <c r="B319" s="1540" t="s">
        <v>400</v>
      </c>
      <c r="C319" s="32" t="s">
        <v>321</v>
      </c>
      <c r="D319" s="1316" t="s">
        <v>322</v>
      </c>
      <c r="E319" s="979" t="s">
        <v>323</v>
      </c>
      <c r="F319" s="1269" t="s">
        <v>43</v>
      </c>
      <c r="G319" s="1317" t="s">
        <v>44</v>
      </c>
      <c r="H319" s="1269" t="s">
        <v>45</v>
      </c>
      <c r="I319" s="1269" t="s">
        <v>46</v>
      </c>
      <c r="J319" s="1269" t="s">
        <v>208</v>
      </c>
      <c r="K319" s="1246">
        <v>42338</v>
      </c>
      <c r="L319" s="1246">
        <v>42429</v>
      </c>
      <c r="M319" s="1246">
        <v>42490</v>
      </c>
      <c r="N319" s="1246">
        <v>42582</v>
      </c>
      <c r="O319" s="1246">
        <v>42766</v>
      </c>
      <c r="P319" s="1246">
        <v>42825</v>
      </c>
      <c r="Q319" s="1246">
        <v>42855</v>
      </c>
      <c r="R319" s="1246">
        <v>43068</v>
      </c>
      <c r="S319" s="1246"/>
      <c r="T319" s="1246"/>
      <c r="U319" s="1246"/>
      <c r="V319" s="1246">
        <v>43069</v>
      </c>
      <c r="W319" s="1246">
        <v>43100</v>
      </c>
      <c r="X319" s="1246"/>
      <c r="Y319" s="1246"/>
      <c r="Z319" s="1246"/>
      <c r="AA319" s="1246"/>
      <c r="AB319" s="1246"/>
      <c r="AC319" s="1246"/>
      <c r="AD319" s="1246"/>
      <c r="AE319" s="1246"/>
      <c r="AF319" s="641">
        <v>-5.41682789351762</v>
      </c>
      <c r="AG319" s="187" t="s">
        <v>2569</v>
      </c>
      <c r="AH319" s="1320">
        <v>4200000</v>
      </c>
      <c r="AI319" s="1320">
        <v>250000</v>
      </c>
      <c r="AJ319" s="1321">
        <v>20000</v>
      </c>
      <c r="AK319" s="1321">
        <v>30000</v>
      </c>
      <c r="AL319" s="1321"/>
      <c r="AM319" s="1321">
        <v>500000</v>
      </c>
      <c r="AN319" s="1321">
        <v>0</v>
      </c>
      <c r="AO319" s="1321"/>
      <c r="AP319" s="1321">
        <v>200000</v>
      </c>
      <c r="AQ319" s="1321" t="s">
        <v>112</v>
      </c>
      <c r="AR319" s="1321" t="s">
        <v>113</v>
      </c>
      <c r="AS319" s="1321" t="s">
        <v>49</v>
      </c>
      <c r="AT319" s="1269" t="s">
        <v>3011</v>
      </c>
      <c r="AU319" s="1269" t="s">
        <v>327</v>
      </c>
      <c r="AV319" s="1544" t="s">
        <v>328</v>
      </c>
      <c r="AW319" s="1279" t="s">
        <v>329</v>
      </c>
      <c r="AX319" s="1279" t="s">
        <v>330</v>
      </c>
      <c r="AY319" s="1279">
        <v>0</v>
      </c>
      <c r="AZ319" s="1279"/>
      <c r="BA319" s="1279" t="s">
        <v>331</v>
      </c>
      <c r="BB319" s="1279" t="s">
        <v>332</v>
      </c>
      <c r="BC319" s="1268" t="s">
        <v>2988</v>
      </c>
      <c r="BD319" s="1324" t="s">
        <v>2989</v>
      </c>
    </row>
    <row r="320" s="873" customFormat="1" ht="14.1" customHeight="1" spans="2:56">
      <c r="B320" s="1540" t="s">
        <v>619</v>
      </c>
      <c r="C320" s="32" t="s">
        <v>3012</v>
      </c>
      <c r="D320" s="1316" t="s">
        <v>1523</v>
      </c>
      <c r="E320" s="979" t="s">
        <v>3013</v>
      </c>
      <c r="F320" s="1269" t="s">
        <v>43</v>
      </c>
      <c r="G320" s="1317" t="s">
        <v>44</v>
      </c>
      <c r="H320" s="1269" t="s">
        <v>361</v>
      </c>
      <c r="I320" s="1269" t="s">
        <v>428</v>
      </c>
      <c r="J320" s="1269" t="s">
        <v>185</v>
      </c>
      <c r="K320" s="1246">
        <v>42744</v>
      </c>
      <c r="L320" s="1246">
        <v>42825</v>
      </c>
      <c r="M320" s="1246">
        <v>42916</v>
      </c>
      <c r="N320" s="1246">
        <v>43100</v>
      </c>
      <c r="O320" s="1246"/>
      <c r="P320" s="1246"/>
      <c r="Q320" s="1246"/>
      <c r="R320" s="1246"/>
      <c r="S320" s="1246"/>
      <c r="T320" s="1246"/>
      <c r="U320" s="1246"/>
      <c r="V320" s="1246"/>
      <c r="W320" s="1246"/>
      <c r="X320" s="1246"/>
      <c r="Y320" s="1246"/>
      <c r="Z320" s="1246"/>
      <c r="AA320" s="1246"/>
      <c r="AB320" s="1246"/>
      <c r="AC320" s="1246"/>
      <c r="AD320" s="1246"/>
      <c r="AE320" s="1246"/>
      <c r="AF320" s="641">
        <v>-5.41682789351762</v>
      </c>
      <c r="AG320" s="187" t="s">
        <v>2569</v>
      </c>
      <c r="AH320" s="1320">
        <v>2765000</v>
      </c>
      <c r="AI320" s="1320">
        <v>150000</v>
      </c>
      <c r="AJ320" s="1321">
        <v>17000</v>
      </c>
      <c r="AK320" s="1321"/>
      <c r="AL320" s="1321"/>
      <c r="AM320" s="1321"/>
      <c r="AN320" s="1321"/>
      <c r="AO320" s="1321"/>
      <c r="AP320" s="1321"/>
      <c r="AQ320" s="1321" t="s">
        <v>112</v>
      </c>
      <c r="AR320" s="1321" t="s">
        <v>48</v>
      </c>
      <c r="AS320" s="1321" t="s">
        <v>49</v>
      </c>
      <c r="AT320" s="1269"/>
      <c r="AU320" s="1269" t="s">
        <v>152</v>
      </c>
      <c r="AV320" s="1544" t="s">
        <v>1526</v>
      </c>
      <c r="AW320" s="1279" t="s">
        <v>1527</v>
      </c>
      <c r="AX320" s="1279" t="s">
        <v>1528</v>
      </c>
      <c r="AY320" s="1279"/>
      <c r="AZ320" s="1279"/>
      <c r="BA320" s="1279"/>
      <c r="BB320" s="1279"/>
      <c r="BC320" s="1482" t="s">
        <v>2986</v>
      </c>
      <c r="BD320" s="1324" t="s">
        <v>2975</v>
      </c>
    </row>
    <row r="321" s="873" customFormat="1" ht="14.1" customHeight="1" spans="2:56">
      <c r="B321" s="1540" t="s">
        <v>651</v>
      </c>
      <c r="C321" s="32" t="s">
        <v>3014</v>
      </c>
      <c r="D321" s="1316" t="s">
        <v>3015</v>
      </c>
      <c r="E321" s="979" t="s">
        <v>3016</v>
      </c>
      <c r="F321" s="1269" t="s">
        <v>43</v>
      </c>
      <c r="G321" s="1317" t="s">
        <v>60</v>
      </c>
      <c r="H321" s="1269" t="s">
        <v>361</v>
      </c>
      <c r="I321" s="1269" t="s">
        <v>428</v>
      </c>
      <c r="J321" s="1269" t="s">
        <v>208</v>
      </c>
      <c r="K321" s="1246">
        <v>42760</v>
      </c>
      <c r="L321" s="1246">
        <v>42825</v>
      </c>
      <c r="M321" s="1246">
        <v>42886</v>
      </c>
      <c r="N321" s="1246">
        <v>43100</v>
      </c>
      <c r="O321" s="1246"/>
      <c r="P321" s="1246"/>
      <c r="Q321" s="1246"/>
      <c r="R321" s="1246"/>
      <c r="S321" s="1246"/>
      <c r="T321" s="1246"/>
      <c r="U321" s="1246"/>
      <c r="V321" s="1246"/>
      <c r="W321" s="1246"/>
      <c r="X321" s="1246"/>
      <c r="Y321" s="1246"/>
      <c r="Z321" s="1246"/>
      <c r="AA321" s="1246"/>
      <c r="AB321" s="1246"/>
      <c r="AC321" s="1246"/>
      <c r="AD321" s="1246"/>
      <c r="AE321" s="1246"/>
      <c r="AF321" s="641">
        <v>-5.41682789351762</v>
      </c>
      <c r="AG321" s="187" t="s">
        <v>2569</v>
      </c>
      <c r="AH321" s="1320">
        <v>3700000</v>
      </c>
      <c r="AI321" s="1320">
        <v>250000</v>
      </c>
      <c r="AJ321" s="1321">
        <v>20000</v>
      </c>
      <c r="AK321" s="1321">
        <v>30000</v>
      </c>
      <c r="AL321" s="1321"/>
      <c r="AM321" s="1321">
        <v>500000</v>
      </c>
      <c r="AN321" s="1321"/>
      <c r="AO321" s="1321"/>
      <c r="AP321" s="1321"/>
      <c r="AQ321" s="1321" t="s">
        <v>112</v>
      </c>
      <c r="AR321" s="1321" t="s">
        <v>48</v>
      </c>
      <c r="AS321" s="1321" t="s">
        <v>49</v>
      </c>
      <c r="AT321" s="1269" t="s">
        <v>3017</v>
      </c>
      <c r="AU321" s="1269" t="s">
        <v>3018</v>
      </c>
      <c r="AV321" s="1544" t="s">
        <v>3019</v>
      </c>
      <c r="AW321" s="1279"/>
      <c r="AX321" s="1279" t="s">
        <v>3020</v>
      </c>
      <c r="AY321" s="1279" t="s">
        <v>3021</v>
      </c>
      <c r="AZ321" s="1279"/>
      <c r="BA321" s="1279"/>
      <c r="BB321" s="1279" t="s">
        <v>3022</v>
      </c>
      <c r="BC321" s="1482" t="s">
        <v>2986</v>
      </c>
      <c r="BD321" s="1324" t="s">
        <v>2975</v>
      </c>
    </row>
    <row r="322" s="873" customFormat="1" ht="14.1" customHeight="1" spans="2:56">
      <c r="B322" s="1540" t="s">
        <v>680</v>
      </c>
      <c r="C322" s="32" t="s">
        <v>3023</v>
      </c>
      <c r="D322" s="1316" t="s">
        <v>3024</v>
      </c>
      <c r="E322" s="979" t="s">
        <v>3025</v>
      </c>
      <c r="F322" s="1269" t="s">
        <v>43</v>
      </c>
      <c r="G322" s="1317" t="s">
        <v>254</v>
      </c>
      <c r="H322" s="1269" t="s">
        <v>361</v>
      </c>
      <c r="I322" s="1269" t="s">
        <v>428</v>
      </c>
      <c r="J322" s="1269" t="s">
        <v>185</v>
      </c>
      <c r="K322" s="1246">
        <v>42752</v>
      </c>
      <c r="L322" s="1246">
        <v>42825</v>
      </c>
      <c r="M322" s="1246">
        <v>42886</v>
      </c>
      <c r="N322" s="1246">
        <v>43100</v>
      </c>
      <c r="O322" s="1246" t="s">
        <v>583</v>
      </c>
      <c r="P322" s="1246" t="s">
        <v>583</v>
      </c>
      <c r="Q322" s="1246" t="s">
        <v>583</v>
      </c>
      <c r="R322" s="1246" t="s">
        <v>583</v>
      </c>
      <c r="S322" s="1246"/>
      <c r="T322" s="1246"/>
      <c r="U322" s="1246"/>
      <c r="V322" s="1246"/>
      <c r="W322" s="1246"/>
      <c r="X322" s="1246"/>
      <c r="Y322" s="1246"/>
      <c r="Z322" s="1246"/>
      <c r="AA322" s="1246"/>
      <c r="AB322" s="1246"/>
      <c r="AC322" s="1246"/>
      <c r="AD322" s="1246"/>
      <c r="AE322" s="1246"/>
      <c r="AF322" s="641">
        <v>-5.41682789351762</v>
      </c>
      <c r="AG322" s="187" t="s">
        <v>2569</v>
      </c>
      <c r="AH322" s="1320">
        <v>2765000</v>
      </c>
      <c r="AI322" s="1320">
        <v>150000</v>
      </c>
      <c r="AJ322" s="1321">
        <v>17000</v>
      </c>
      <c r="AK322" s="1321"/>
      <c r="AL322" s="1321"/>
      <c r="AM322" s="1321" t="s">
        <v>583</v>
      </c>
      <c r="AN322" s="1321"/>
      <c r="AO322" s="1321"/>
      <c r="AP322" s="1321"/>
      <c r="AQ322" s="1321" t="s">
        <v>112</v>
      </c>
      <c r="AR322" s="1321" t="s">
        <v>48</v>
      </c>
      <c r="AS322" s="1321" t="s">
        <v>49</v>
      </c>
      <c r="AT322" s="1269"/>
      <c r="AU322" s="1269" t="s">
        <v>3026</v>
      </c>
      <c r="AV322" s="1279">
        <v>8985177215</v>
      </c>
      <c r="AW322" s="1279"/>
      <c r="AX322" s="1279" t="s">
        <v>3027</v>
      </c>
      <c r="AY322" s="1279" t="s">
        <v>3028</v>
      </c>
      <c r="AZ322" s="1279"/>
      <c r="BA322" s="1279"/>
      <c r="BB322" s="1279" t="s">
        <v>3029</v>
      </c>
      <c r="BC322" s="1482" t="s">
        <v>3030</v>
      </c>
      <c r="BD322" s="1324" t="s">
        <v>2975</v>
      </c>
    </row>
    <row r="323" s="873" customFormat="1" ht="14.1" customHeight="1" spans="2:56">
      <c r="B323" s="1540" t="s">
        <v>699</v>
      </c>
      <c r="C323" s="32" t="s">
        <v>3031</v>
      </c>
      <c r="D323" s="1316" t="s">
        <v>2449</v>
      </c>
      <c r="E323" s="979" t="s">
        <v>3032</v>
      </c>
      <c r="F323" s="1269" t="s">
        <v>43</v>
      </c>
      <c r="G323" s="1317" t="s">
        <v>44</v>
      </c>
      <c r="H323" s="1269" t="s">
        <v>361</v>
      </c>
      <c r="I323" s="1269" t="s">
        <v>428</v>
      </c>
      <c r="J323" s="1269" t="s">
        <v>208</v>
      </c>
      <c r="K323" s="1246">
        <v>42765</v>
      </c>
      <c r="L323" s="1246">
        <v>42825</v>
      </c>
      <c r="M323" s="1246">
        <v>42916</v>
      </c>
      <c r="N323" s="1246">
        <v>43100</v>
      </c>
      <c r="O323" s="1246" t="s">
        <v>583</v>
      </c>
      <c r="P323" s="1246" t="s">
        <v>583</v>
      </c>
      <c r="Q323" s="1246" t="s">
        <v>583</v>
      </c>
      <c r="R323" s="1246" t="s">
        <v>583</v>
      </c>
      <c r="S323" s="1246"/>
      <c r="T323" s="1246"/>
      <c r="U323" s="1246"/>
      <c r="V323" s="1246"/>
      <c r="W323" s="1246"/>
      <c r="X323" s="1246"/>
      <c r="Y323" s="1246"/>
      <c r="Z323" s="1246"/>
      <c r="AA323" s="1246"/>
      <c r="AB323" s="1246"/>
      <c r="AC323" s="1246"/>
      <c r="AD323" s="1246"/>
      <c r="AE323" s="1246"/>
      <c r="AF323" s="641">
        <v>-5.41682789351762</v>
      </c>
      <c r="AG323" s="187" t="s">
        <v>2569</v>
      </c>
      <c r="AH323" s="1320">
        <v>4200000</v>
      </c>
      <c r="AI323" s="1320">
        <v>250000</v>
      </c>
      <c r="AJ323" s="1321">
        <v>20000</v>
      </c>
      <c r="AK323" s="1321">
        <v>30000</v>
      </c>
      <c r="AL323" s="1321"/>
      <c r="AM323" s="1321">
        <v>500000</v>
      </c>
      <c r="AN323" s="1321"/>
      <c r="AO323" s="1321"/>
      <c r="AP323" s="1321"/>
      <c r="AQ323" s="1321" t="s">
        <v>112</v>
      </c>
      <c r="AR323" s="1321" t="s">
        <v>48</v>
      </c>
      <c r="AS323" s="1321" t="s">
        <v>49</v>
      </c>
      <c r="AT323" s="1269" t="s">
        <v>3033</v>
      </c>
      <c r="AU323" s="1269" t="s">
        <v>3034</v>
      </c>
      <c r="AV323" s="1279">
        <v>82390987995</v>
      </c>
      <c r="AW323" s="1279" t="s">
        <v>3035</v>
      </c>
      <c r="AX323" s="1279" t="s">
        <v>3036</v>
      </c>
      <c r="AY323" s="1279"/>
      <c r="AZ323" s="1279"/>
      <c r="BA323" s="1279"/>
      <c r="BB323" s="1279" t="s">
        <v>3037</v>
      </c>
      <c r="BC323" s="1482" t="s">
        <v>2986</v>
      </c>
      <c r="BD323" s="1324" t="s">
        <v>2975</v>
      </c>
    </row>
    <row r="324" s="873" customFormat="1" ht="14.1" customHeight="1" spans="2:56">
      <c r="B324" s="1540" t="s">
        <v>876</v>
      </c>
      <c r="C324" s="1269" t="s">
        <v>3038</v>
      </c>
      <c r="D324" s="1268" t="s">
        <v>3039</v>
      </c>
      <c r="E324" s="979" t="s">
        <v>3040</v>
      </c>
      <c r="F324" s="1269" t="s">
        <v>43</v>
      </c>
      <c r="G324" s="1317" t="s">
        <v>44</v>
      </c>
      <c r="H324" s="1269" t="s">
        <v>361</v>
      </c>
      <c r="I324" s="1269" t="s">
        <v>3041</v>
      </c>
      <c r="J324" s="1269" t="s">
        <v>3042</v>
      </c>
      <c r="K324" s="1270">
        <v>42522</v>
      </c>
      <c r="L324" s="1270">
        <v>42582</v>
      </c>
      <c r="M324" s="1270">
        <v>42613</v>
      </c>
      <c r="N324" s="1270">
        <v>42643</v>
      </c>
      <c r="O324" s="934">
        <v>42674</v>
      </c>
      <c r="P324" s="934">
        <v>42704</v>
      </c>
      <c r="Q324" s="934">
        <v>42794</v>
      </c>
      <c r="R324" s="1270">
        <v>42825</v>
      </c>
      <c r="S324" s="934">
        <v>42886</v>
      </c>
      <c r="T324" s="1270">
        <v>42916</v>
      </c>
      <c r="U324" s="934">
        <v>43100</v>
      </c>
      <c r="V324" s="1270"/>
      <c r="W324" s="1270"/>
      <c r="X324" s="953"/>
      <c r="Y324" s="1496"/>
      <c r="Z324" s="1496"/>
      <c r="AA324" s="1496"/>
      <c r="AB324" s="1496"/>
      <c r="AC324" s="1496"/>
      <c r="AD324" s="1496"/>
      <c r="AE324" s="1496"/>
      <c r="AF324" s="641">
        <v>-5.41682789351762</v>
      </c>
      <c r="AG324" s="187" t="s">
        <v>2569</v>
      </c>
      <c r="AH324" s="1274">
        <v>3500000</v>
      </c>
      <c r="AI324" s="1274">
        <v>200000</v>
      </c>
      <c r="AJ324" s="1274"/>
      <c r="AK324" s="1274"/>
      <c r="AL324" s="1274"/>
      <c r="AM324" s="1274"/>
      <c r="AN324" s="1274"/>
      <c r="AO324" s="1274"/>
      <c r="AP324" s="1274"/>
      <c r="AQ324" s="958">
        <v>300000</v>
      </c>
      <c r="AR324" s="958" t="s">
        <v>113</v>
      </c>
      <c r="AS324" s="958" t="s">
        <v>49</v>
      </c>
      <c r="AT324" s="1269" t="s">
        <v>3043</v>
      </c>
      <c r="AU324" s="1269" t="s">
        <v>3044</v>
      </c>
      <c r="AV324" s="1540" t="s">
        <v>3045</v>
      </c>
      <c r="AW324" s="1269" t="s">
        <v>3046</v>
      </c>
      <c r="AX324" s="1279" t="s">
        <v>3047</v>
      </c>
      <c r="AY324" s="1279"/>
      <c r="AZ324" s="1279"/>
      <c r="BA324" s="1544" t="s">
        <v>3048</v>
      </c>
      <c r="BB324" s="1269" t="s">
        <v>3049</v>
      </c>
      <c r="BC324" s="1268" t="s">
        <v>2986</v>
      </c>
      <c r="BD324" s="1324" t="s">
        <v>3000</v>
      </c>
    </row>
    <row r="325" s="873" customFormat="1" ht="14.1" customHeight="1" spans="2:56">
      <c r="B325" s="1540" t="s">
        <v>1044</v>
      </c>
      <c r="C325" s="32" t="s">
        <v>3050</v>
      </c>
      <c r="D325" s="1316" t="s">
        <v>3051</v>
      </c>
      <c r="E325" s="979" t="s">
        <v>3052</v>
      </c>
      <c r="F325" s="1044" t="s">
        <v>125</v>
      </c>
      <c r="G325" s="1044" t="s">
        <v>44</v>
      </c>
      <c r="H325" s="1269" t="s">
        <v>3053</v>
      </c>
      <c r="I325" s="1269" t="s">
        <v>770</v>
      </c>
      <c r="J325" s="1269" t="s">
        <v>3054</v>
      </c>
      <c r="K325" s="1246">
        <v>43046</v>
      </c>
      <c r="L325" s="1246">
        <v>43100</v>
      </c>
      <c r="M325" s="1246"/>
      <c r="N325" s="1246"/>
      <c r="O325" s="1246"/>
      <c r="P325" s="1246"/>
      <c r="Q325" s="1246"/>
      <c r="R325" s="1246"/>
      <c r="S325" s="1246"/>
      <c r="T325" s="1246"/>
      <c r="U325" s="1246"/>
      <c r="V325" s="1246"/>
      <c r="W325" s="1246"/>
      <c r="X325" s="1246"/>
      <c r="Y325" s="1246"/>
      <c r="Z325" s="1246"/>
      <c r="AA325" s="1246"/>
      <c r="AB325" s="1246"/>
      <c r="AC325" s="1246"/>
      <c r="AD325" s="1246"/>
      <c r="AE325" s="1246"/>
      <c r="AF325" s="641">
        <v>-5.41682789351762</v>
      </c>
      <c r="AG325" s="187" t="s">
        <v>2569</v>
      </c>
      <c r="AH325" s="1471">
        <v>4000000</v>
      </c>
      <c r="AI325" s="1471">
        <v>200000</v>
      </c>
      <c r="AJ325" s="1321">
        <v>17000</v>
      </c>
      <c r="AK325" s="1274"/>
      <c r="AL325" s="1321"/>
      <c r="AM325" s="1321">
        <v>500000</v>
      </c>
      <c r="AN325" s="1321"/>
      <c r="AO325" s="1321">
        <v>500000</v>
      </c>
      <c r="AP325" s="1321"/>
      <c r="AQ325" s="1321" t="s">
        <v>0</v>
      </c>
      <c r="AR325" s="1321" t="s">
        <v>48</v>
      </c>
      <c r="AS325" s="1321" t="s">
        <v>49</v>
      </c>
      <c r="AT325" s="1269"/>
      <c r="AU325" s="1269" t="s">
        <v>3055</v>
      </c>
      <c r="AV325" s="1545" t="s">
        <v>3056</v>
      </c>
      <c r="AW325" s="1095" t="s">
        <v>3057</v>
      </c>
      <c r="AX325" s="1545" t="s">
        <v>3058</v>
      </c>
      <c r="AY325" s="1095" t="s">
        <v>3059</v>
      </c>
      <c r="AZ325" s="1095" t="s">
        <v>3060</v>
      </c>
      <c r="BA325" s="1095" t="s">
        <v>3061</v>
      </c>
      <c r="BB325" s="229" t="s">
        <v>3062</v>
      </c>
      <c r="BC325" s="1482" t="s">
        <v>2986</v>
      </c>
      <c r="BD325" s="1324" t="s">
        <v>3000</v>
      </c>
    </row>
    <row r="326" s="873" customFormat="1" ht="14.1" customHeight="1" spans="2:56">
      <c r="B326" s="1540" t="s">
        <v>1173</v>
      </c>
      <c r="C326" s="32" t="s">
        <v>3063</v>
      </c>
      <c r="D326" s="1316" t="s">
        <v>3064</v>
      </c>
      <c r="E326" s="979" t="s">
        <v>3065</v>
      </c>
      <c r="F326" s="1269" t="s">
        <v>43</v>
      </c>
      <c r="G326" s="1317" t="s">
        <v>254</v>
      </c>
      <c r="H326" s="1269" t="s">
        <v>665</v>
      </c>
      <c r="I326" s="32" t="s">
        <v>770</v>
      </c>
      <c r="J326" s="1269" t="s">
        <v>61</v>
      </c>
      <c r="K326" s="1246">
        <v>43059</v>
      </c>
      <c r="L326" s="1246">
        <v>43159</v>
      </c>
      <c r="M326" s="1246"/>
      <c r="N326" s="1246"/>
      <c r="O326" s="1246"/>
      <c r="P326" s="1246"/>
      <c r="Q326" s="1246"/>
      <c r="R326" s="1246"/>
      <c r="S326" s="1246"/>
      <c r="T326" s="1246"/>
      <c r="U326" s="1246"/>
      <c r="V326" s="1246"/>
      <c r="W326" s="1246"/>
      <c r="X326" s="1246"/>
      <c r="Y326" s="1246"/>
      <c r="Z326" s="1246"/>
      <c r="AA326" s="1246"/>
      <c r="AB326" s="1246"/>
      <c r="AC326" s="1246"/>
      <c r="AD326" s="1246"/>
      <c r="AE326" s="1246"/>
      <c r="AF326" s="641">
        <v>53.5831721064824</v>
      </c>
      <c r="AG326" s="187" t="s">
        <v>745</v>
      </c>
      <c r="AH326" s="1471">
        <v>3000000</v>
      </c>
      <c r="AI326" s="1471">
        <v>200000</v>
      </c>
      <c r="AJ326" s="1468">
        <v>17000</v>
      </c>
      <c r="AK326" s="1468"/>
      <c r="AL326" s="1468"/>
      <c r="AM326" s="1321"/>
      <c r="AN326" s="1468"/>
      <c r="AO326" s="1321"/>
      <c r="AP326" s="1473"/>
      <c r="AQ326" s="1321" t="s">
        <v>0</v>
      </c>
      <c r="AR326" s="1321" t="s">
        <v>48</v>
      </c>
      <c r="AS326" s="1321" t="s">
        <v>49</v>
      </c>
      <c r="AT326" s="1269"/>
      <c r="AU326" s="1269" t="s">
        <v>3066</v>
      </c>
      <c r="AV326" s="1544" t="s">
        <v>3067</v>
      </c>
      <c r="AW326" s="1279" t="s">
        <v>3068</v>
      </c>
      <c r="AX326" s="1279" t="s">
        <v>3069</v>
      </c>
      <c r="AY326" s="1279" t="s">
        <v>3070</v>
      </c>
      <c r="AZ326" s="1279"/>
      <c r="BA326" s="1279"/>
      <c r="BB326" s="1280" t="s">
        <v>3071</v>
      </c>
      <c r="BC326" s="1246" t="s">
        <v>3072</v>
      </c>
      <c r="BD326" s="1324"/>
    </row>
    <row r="327" s="873" customFormat="1" ht="14.1" customHeight="1" spans="2:56">
      <c r="B327" s="1540" t="s">
        <v>168</v>
      </c>
      <c r="C327" s="32" t="s">
        <v>2976</v>
      </c>
      <c r="D327" s="1316" t="s">
        <v>2977</v>
      </c>
      <c r="E327" s="979" t="s">
        <v>2978</v>
      </c>
      <c r="F327" s="1269" t="s">
        <v>43</v>
      </c>
      <c r="G327" s="1317" t="s">
        <v>96</v>
      </c>
      <c r="H327" s="1269" t="s">
        <v>45</v>
      </c>
      <c r="I327" s="1269" t="s">
        <v>2979</v>
      </c>
      <c r="J327" s="1269" t="s">
        <v>47</v>
      </c>
      <c r="K327" s="1246">
        <v>42136</v>
      </c>
      <c r="L327" s="1246">
        <v>42490</v>
      </c>
      <c r="M327" s="1246">
        <v>42674</v>
      </c>
      <c r="N327" s="1246">
        <v>42735</v>
      </c>
      <c r="O327" s="1246">
        <v>42825</v>
      </c>
      <c r="P327" s="1246">
        <v>42866</v>
      </c>
      <c r="Q327" s="1246"/>
      <c r="R327" s="1246"/>
      <c r="S327" s="1246"/>
      <c r="T327" s="1246"/>
      <c r="U327" s="1246"/>
      <c r="V327" s="1246">
        <v>42867</v>
      </c>
      <c r="W327" s="1246">
        <v>42886</v>
      </c>
      <c r="X327" s="1246">
        <v>42916</v>
      </c>
      <c r="Y327" s="1246">
        <v>43100</v>
      </c>
      <c r="Z327" s="1246"/>
      <c r="AA327" s="1246"/>
      <c r="AB327" s="1246"/>
      <c r="AC327" s="1246"/>
      <c r="AD327" s="1246"/>
      <c r="AE327" s="1246"/>
      <c r="AF327" s="641">
        <v>-17.4099378472238</v>
      </c>
      <c r="AG327" s="187" t="s">
        <v>2569</v>
      </c>
      <c r="AH327" s="1320">
        <v>3000000</v>
      </c>
      <c r="AI327" s="1320">
        <v>200000</v>
      </c>
      <c r="AJ327" s="1321">
        <v>17000</v>
      </c>
      <c r="AK327" s="1321"/>
      <c r="AL327" s="1321"/>
      <c r="AM327" s="1321"/>
      <c r="AN327" s="1321"/>
      <c r="AO327" s="1321"/>
      <c r="AP327" s="1321"/>
      <c r="AQ327" s="1321" t="s">
        <v>112</v>
      </c>
      <c r="AR327" s="1321" t="s">
        <v>113</v>
      </c>
      <c r="AS327" s="1321" t="s">
        <v>49</v>
      </c>
      <c r="AT327" s="1269" t="s">
        <v>2980</v>
      </c>
      <c r="AU327" s="1269" t="s">
        <v>2981</v>
      </c>
      <c r="AV327" s="1544" t="s">
        <v>2982</v>
      </c>
      <c r="AW327" s="1279" t="s">
        <v>2983</v>
      </c>
      <c r="AX327" s="1279" t="s">
        <v>2984</v>
      </c>
      <c r="AY327" s="1279"/>
      <c r="AZ327" s="1279"/>
      <c r="BA327" s="1279" t="s">
        <v>2985</v>
      </c>
      <c r="BB327" s="1279"/>
      <c r="BC327" s="1482" t="s">
        <v>2986</v>
      </c>
      <c r="BD327" s="1324" t="s">
        <v>2975</v>
      </c>
    </row>
    <row r="328" s="873" customFormat="1" ht="14.1" customHeight="1" spans="2:56">
      <c r="B328" s="1540" t="s">
        <v>229</v>
      </c>
      <c r="C328" s="32" t="s">
        <v>2990</v>
      </c>
      <c r="D328" s="1316" t="s">
        <v>2991</v>
      </c>
      <c r="E328" s="979" t="s">
        <v>2992</v>
      </c>
      <c r="F328" s="1269" t="s">
        <v>43</v>
      </c>
      <c r="G328" s="1317" t="s">
        <v>254</v>
      </c>
      <c r="H328" s="1269" t="s">
        <v>45</v>
      </c>
      <c r="I328" s="1269" t="s">
        <v>46</v>
      </c>
      <c r="J328" s="1269" t="s">
        <v>208</v>
      </c>
      <c r="K328" s="1246">
        <v>42191</v>
      </c>
      <c r="L328" s="1246">
        <v>42369</v>
      </c>
      <c r="M328" s="1246">
        <v>42429</v>
      </c>
      <c r="N328" s="1246">
        <v>42490</v>
      </c>
      <c r="O328" s="1246">
        <v>42582</v>
      </c>
      <c r="P328" s="1246">
        <v>42766</v>
      </c>
      <c r="Q328" s="1246">
        <v>42825</v>
      </c>
      <c r="R328" s="1246">
        <v>42916</v>
      </c>
      <c r="S328" s="1246">
        <v>42921</v>
      </c>
      <c r="T328" s="1246"/>
      <c r="U328" s="1246"/>
      <c r="V328" s="1246">
        <v>42922</v>
      </c>
      <c r="W328" s="1246">
        <v>43100</v>
      </c>
      <c r="X328" s="1246"/>
      <c r="Y328" s="1246"/>
      <c r="Z328" s="1246"/>
      <c r="AA328" s="1246"/>
      <c r="AB328" s="1246"/>
      <c r="AC328" s="1246"/>
      <c r="AD328" s="1246"/>
      <c r="AE328" s="1246"/>
      <c r="AF328" s="641">
        <v>-17.4099378472238</v>
      </c>
      <c r="AG328" s="187" t="s">
        <v>2569</v>
      </c>
      <c r="AH328" s="1320">
        <v>4200000</v>
      </c>
      <c r="AI328" s="1320">
        <v>250000</v>
      </c>
      <c r="AJ328" s="1321">
        <v>20000</v>
      </c>
      <c r="AK328" s="1321"/>
      <c r="AL328" s="1321"/>
      <c r="AM328" s="1321">
        <v>500000</v>
      </c>
      <c r="AN328" s="1321"/>
      <c r="AO328" s="1321"/>
      <c r="AP328" s="1321"/>
      <c r="AQ328" s="1321" t="s">
        <v>112</v>
      </c>
      <c r="AR328" s="1321" t="s">
        <v>113</v>
      </c>
      <c r="AS328" s="1321" t="s">
        <v>49</v>
      </c>
      <c r="AT328" s="1269"/>
      <c r="AU328" s="1269" t="s">
        <v>2993</v>
      </c>
      <c r="AV328" s="1544" t="s">
        <v>2994</v>
      </c>
      <c r="AW328" s="1279" t="s">
        <v>2995</v>
      </c>
      <c r="AX328" s="1279" t="s">
        <v>2996</v>
      </c>
      <c r="AY328" s="1279">
        <v>0</v>
      </c>
      <c r="AZ328" s="1279">
        <v>0</v>
      </c>
      <c r="BA328" s="1279" t="s">
        <v>2997</v>
      </c>
      <c r="BB328" s="1279" t="s">
        <v>2998</v>
      </c>
      <c r="BC328" s="1482" t="s">
        <v>2999</v>
      </c>
      <c r="BD328" s="1324" t="s">
        <v>3000</v>
      </c>
    </row>
    <row r="329" s="873" customFormat="1" ht="14.1" customHeight="1" spans="2:56">
      <c r="B329" s="1540" t="s">
        <v>320</v>
      </c>
      <c r="C329" s="32" t="s">
        <v>3001</v>
      </c>
      <c r="D329" s="1316" t="s">
        <v>3002</v>
      </c>
      <c r="E329" s="979" t="s">
        <v>3003</v>
      </c>
      <c r="F329" s="1269" t="s">
        <v>43</v>
      </c>
      <c r="G329" s="1317" t="s">
        <v>44</v>
      </c>
      <c r="H329" s="1269" t="s">
        <v>45</v>
      </c>
      <c r="I329" s="1269" t="s">
        <v>46</v>
      </c>
      <c r="J329" s="1269" t="s">
        <v>185</v>
      </c>
      <c r="K329" s="1246">
        <v>42279</v>
      </c>
      <c r="L329" s="1246">
        <v>42370</v>
      </c>
      <c r="M329" s="1246">
        <v>42429</v>
      </c>
      <c r="N329" s="1246">
        <v>42490</v>
      </c>
      <c r="O329" s="1246">
        <v>42582</v>
      </c>
      <c r="P329" s="1246">
        <v>42674</v>
      </c>
      <c r="Q329" s="1246">
        <v>42735</v>
      </c>
      <c r="R329" s="1246">
        <v>42825</v>
      </c>
      <c r="S329" s="1246">
        <v>42886</v>
      </c>
      <c r="T329" s="1246">
        <v>43009</v>
      </c>
      <c r="U329" s="1246"/>
      <c r="V329" s="1246">
        <v>43010</v>
      </c>
      <c r="W329" s="1246">
        <v>43039</v>
      </c>
      <c r="X329" s="1246">
        <v>43100</v>
      </c>
      <c r="Y329" s="1246"/>
      <c r="Z329" s="1246"/>
      <c r="AA329" s="1246"/>
      <c r="AB329" s="1246"/>
      <c r="AC329" s="1246"/>
      <c r="AD329" s="1246"/>
      <c r="AE329" s="1246"/>
      <c r="AF329" s="641">
        <v>-17.4099378472238</v>
      </c>
      <c r="AG329" s="187" t="s">
        <v>2569</v>
      </c>
      <c r="AH329" s="1320">
        <v>2780000</v>
      </c>
      <c r="AI329" s="1320">
        <v>150000</v>
      </c>
      <c r="AJ329" s="1321">
        <v>17000</v>
      </c>
      <c r="AK329" s="1321"/>
      <c r="AL329" s="1321"/>
      <c r="AM329" s="1321"/>
      <c r="AN329" s="1321"/>
      <c r="AO329" s="1321"/>
      <c r="AP329" s="1321"/>
      <c r="AQ329" s="1321" t="s">
        <v>112</v>
      </c>
      <c r="AR329" s="1321" t="s">
        <v>113</v>
      </c>
      <c r="AS329" s="1321" t="s">
        <v>49</v>
      </c>
      <c r="AT329" s="1269" t="s">
        <v>3004</v>
      </c>
      <c r="AU329" s="1269" t="s">
        <v>3005</v>
      </c>
      <c r="AV329" s="1544" t="s">
        <v>3006</v>
      </c>
      <c r="AW329" s="1279" t="s">
        <v>3007</v>
      </c>
      <c r="AX329" s="1279" t="s">
        <v>3008</v>
      </c>
      <c r="AY329" s="1279"/>
      <c r="AZ329" s="1279"/>
      <c r="BA329" s="1279" t="s">
        <v>3009</v>
      </c>
      <c r="BB329" s="1279"/>
      <c r="BC329" s="1482" t="s">
        <v>3010</v>
      </c>
      <c r="BD329" s="1324" t="s">
        <v>2975</v>
      </c>
    </row>
    <row r="330" s="873" customFormat="1" ht="14.1" customHeight="1" spans="2:56">
      <c r="B330" s="1540" t="s">
        <v>357</v>
      </c>
      <c r="C330" s="32" t="s">
        <v>3073</v>
      </c>
      <c r="D330" s="1316" t="s">
        <v>3074</v>
      </c>
      <c r="E330" s="979" t="s">
        <v>3075</v>
      </c>
      <c r="F330" s="1269" t="s">
        <v>43</v>
      </c>
      <c r="G330" s="1317" t="s">
        <v>60</v>
      </c>
      <c r="H330" s="1269" t="s">
        <v>276</v>
      </c>
      <c r="I330" s="1269" t="s">
        <v>46</v>
      </c>
      <c r="J330" s="1269" t="s">
        <v>3076</v>
      </c>
      <c r="K330" s="1246">
        <v>42423</v>
      </c>
      <c r="L330" s="1246">
        <v>42521</v>
      </c>
      <c r="M330" s="1246">
        <v>42613</v>
      </c>
      <c r="N330" s="1246">
        <v>42735</v>
      </c>
      <c r="O330" s="1246">
        <v>42825</v>
      </c>
      <c r="P330" s="1246">
        <v>42886</v>
      </c>
      <c r="Q330" s="1246">
        <v>43100</v>
      </c>
      <c r="R330" s="1246">
        <v>43153</v>
      </c>
      <c r="S330" s="1246"/>
      <c r="T330" s="1246"/>
      <c r="U330" s="1246"/>
      <c r="V330" s="1246">
        <v>43154</v>
      </c>
      <c r="W330" s="1246">
        <v>43281</v>
      </c>
      <c r="X330" s="1246"/>
      <c r="Y330" s="1246"/>
      <c r="Z330" s="1246"/>
      <c r="AA330" s="1246"/>
      <c r="AB330" s="1246"/>
      <c r="AC330" s="1246"/>
      <c r="AD330" s="1246"/>
      <c r="AE330" s="1246"/>
      <c r="AF330" s="641">
        <v>163.590062152776</v>
      </c>
      <c r="AG330" s="187" t="s">
        <v>745</v>
      </c>
      <c r="AH330" s="1320">
        <v>3400000</v>
      </c>
      <c r="AI330" s="1320">
        <v>200000</v>
      </c>
      <c r="AJ330" s="1321">
        <v>17000</v>
      </c>
      <c r="AK330" s="1321"/>
      <c r="AL330" s="1321"/>
      <c r="AM330" s="1321">
        <v>500000</v>
      </c>
      <c r="AN330" s="1321"/>
      <c r="AO330" s="1321"/>
      <c r="AP330" s="1321">
        <v>150000</v>
      </c>
      <c r="AQ330" s="1321" t="s">
        <v>112</v>
      </c>
      <c r="AR330" s="1321" t="s">
        <v>113</v>
      </c>
      <c r="AS330" s="1321" t="s">
        <v>49</v>
      </c>
      <c r="AT330" s="1269" t="s">
        <v>3077</v>
      </c>
      <c r="AU330" s="1269" t="s">
        <v>3078</v>
      </c>
      <c r="AV330" s="1544" t="s">
        <v>3079</v>
      </c>
      <c r="AW330" s="1279" t="s">
        <v>3080</v>
      </c>
      <c r="AX330" s="1279" t="s">
        <v>3081</v>
      </c>
      <c r="AY330" s="1279" t="s">
        <v>3082</v>
      </c>
      <c r="AZ330" s="1279">
        <v>15042863801</v>
      </c>
      <c r="BA330" s="1279" t="s">
        <v>3083</v>
      </c>
      <c r="BB330" s="1279" t="s">
        <v>3084</v>
      </c>
      <c r="BC330" s="1246" t="s">
        <v>3085</v>
      </c>
      <c r="BD330" s="1324">
        <v>43281</v>
      </c>
    </row>
    <row r="331" s="873" customFormat="1" ht="14.1" customHeight="1" spans="2:56">
      <c r="B331" s="1540" t="s">
        <v>619</v>
      </c>
      <c r="C331" s="32" t="s">
        <v>3012</v>
      </c>
      <c r="D331" s="1316" t="s">
        <v>1523</v>
      </c>
      <c r="E331" s="979" t="s">
        <v>3013</v>
      </c>
      <c r="F331" s="1269" t="s">
        <v>43</v>
      </c>
      <c r="G331" s="1317" t="s">
        <v>44</v>
      </c>
      <c r="H331" s="1269" t="s">
        <v>361</v>
      </c>
      <c r="I331" s="1269" t="s">
        <v>428</v>
      </c>
      <c r="J331" s="1269" t="s">
        <v>185</v>
      </c>
      <c r="K331" s="1246">
        <v>42744</v>
      </c>
      <c r="L331" s="1246">
        <v>42825</v>
      </c>
      <c r="M331" s="1246">
        <v>42916</v>
      </c>
      <c r="N331" s="1246">
        <v>43100</v>
      </c>
      <c r="O331" s="1246"/>
      <c r="P331" s="1246"/>
      <c r="Q331" s="1246"/>
      <c r="R331" s="1246"/>
      <c r="S331" s="1246"/>
      <c r="T331" s="1246"/>
      <c r="U331" s="1246"/>
      <c r="V331" s="1246"/>
      <c r="W331" s="1246"/>
      <c r="X331" s="1246"/>
      <c r="Y331" s="1246"/>
      <c r="Z331" s="1246"/>
      <c r="AA331" s="1246"/>
      <c r="AB331" s="1246"/>
      <c r="AC331" s="1246"/>
      <c r="AD331" s="1246"/>
      <c r="AE331" s="1246"/>
      <c r="AF331" s="641">
        <v>-17.4099378472238</v>
      </c>
      <c r="AG331" s="187" t="s">
        <v>2569</v>
      </c>
      <c r="AH331" s="1320">
        <v>2765000</v>
      </c>
      <c r="AI331" s="1320">
        <v>150000</v>
      </c>
      <c r="AJ331" s="1321">
        <v>17000</v>
      </c>
      <c r="AK331" s="1321"/>
      <c r="AL331" s="1321"/>
      <c r="AM331" s="1321"/>
      <c r="AN331" s="1321"/>
      <c r="AO331" s="1321"/>
      <c r="AP331" s="1321"/>
      <c r="AQ331" s="1321" t="s">
        <v>112</v>
      </c>
      <c r="AR331" s="1321" t="s">
        <v>48</v>
      </c>
      <c r="AS331" s="1321" t="s">
        <v>49</v>
      </c>
      <c r="AT331" s="1269"/>
      <c r="AU331" s="1269" t="s">
        <v>152</v>
      </c>
      <c r="AV331" s="1544" t="s">
        <v>1526</v>
      </c>
      <c r="AW331" s="1279" t="s">
        <v>1527</v>
      </c>
      <c r="AX331" s="1279" t="s">
        <v>1528</v>
      </c>
      <c r="AY331" s="1279"/>
      <c r="AZ331" s="1279"/>
      <c r="BA331" s="1279"/>
      <c r="BB331" s="1279"/>
      <c r="BC331" s="1482" t="s">
        <v>2986</v>
      </c>
      <c r="BD331" s="1324" t="s">
        <v>2975</v>
      </c>
    </row>
    <row r="332" s="873" customFormat="1" ht="14.1" customHeight="1" spans="2:56">
      <c r="B332" s="1540" t="s">
        <v>651</v>
      </c>
      <c r="C332" s="32" t="s">
        <v>3014</v>
      </c>
      <c r="D332" s="1316" t="s">
        <v>3015</v>
      </c>
      <c r="E332" s="979" t="s">
        <v>3016</v>
      </c>
      <c r="F332" s="1269" t="s">
        <v>43</v>
      </c>
      <c r="G332" s="1317" t="s">
        <v>60</v>
      </c>
      <c r="H332" s="1269" t="s">
        <v>361</v>
      </c>
      <c r="I332" s="1269" t="s">
        <v>428</v>
      </c>
      <c r="J332" s="1269" t="s">
        <v>208</v>
      </c>
      <c r="K332" s="1246">
        <v>42760</v>
      </c>
      <c r="L332" s="1246">
        <v>42825</v>
      </c>
      <c r="M332" s="1246">
        <v>42886</v>
      </c>
      <c r="N332" s="1246">
        <v>43100</v>
      </c>
      <c r="O332" s="1246"/>
      <c r="P332" s="1246"/>
      <c r="Q332" s="1246"/>
      <c r="R332" s="1246"/>
      <c r="S332" s="1246"/>
      <c r="T332" s="1246"/>
      <c r="U332" s="1246"/>
      <c r="V332" s="1246"/>
      <c r="W332" s="1246"/>
      <c r="X332" s="1246"/>
      <c r="Y332" s="1246"/>
      <c r="Z332" s="1246"/>
      <c r="AA332" s="1246"/>
      <c r="AB332" s="1246"/>
      <c r="AC332" s="1246"/>
      <c r="AD332" s="1246"/>
      <c r="AE332" s="1246"/>
      <c r="AF332" s="641">
        <v>-17.4099378472238</v>
      </c>
      <c r="AG332" s="187" t="s">
        <v>2569</v>
      </c>
      <c r="AH332" s="1320">
        <v>3700000</v>
      </c>
      <c r="AI332" s="1320">
        <v>250000</v>
      </c>
      <c r="AJ332" s="1321">
        <v>20000</v>
      </c>
      <c r="AK332" s="1321">
        <v>30000</v>
      </c>
      <c r="AL332" s="1321"/>
      <c r="AM332" s="1321">
        <v>500000</v>
      </c>
      <c r="AN332" s="1321"/>
      <c r="AO332" s="1321"/>
      <c r="AP332" s="1321"/>
      <c r="AQ332" s="1321" t="s">
        <v>112</v>
      </c>
      <c r="AR332" s="1321" t="s">
        <v>48</v>
      </c>
      <c r="AS332" s="1321" t="s">
        <v>49</v>
      </c>
      <c r="AT332" s="1269" t="s">
        <v>3017</v>
      </c>
      <c r="AU332" s="1269" t="s">
        <v>3018</v>
      </c>
      <c r="AV332" s="1544" t="s">
        <v>3019</v>
      </c>
      <c r="AW332" s="1279"/>
      <c r="AX332" s="1279" t="s">
        <v>3020</v>
      </c>
      <c r="AY332" s="1279" t="s">
        <v>3021</v>
      </c>
      <c r="AZ332" s="1279"/>
      <c r="BA332" s="1279"/>
      <c r="BB332" s="1279" t="s">
        <v>3022</v>
      </c>
      <c r="BC332" s="1482" t="s">
        <v>2986</v>
      </c>
      <c r="BD332" s="1324" t="s">
        <v>2975</v>
      </c>
    </row>
    <row r="333" s="873" customFormat="1" ht="14.1" customHeight="1" spans="2:56">
      <c r="B333" s="1540" t="s">
        <v>680</v>
      </c>
      <c r="C333" s="32" t="s">
        <v>3023</v>
      </c>
      <c r="D333" s="1316" t="s">
        <v>3024</v>
      </c>
      <c r="E333" s="979" t="s">
        <v>3025</v>
      </c>
      <c r="F333" s="1269" t="s">
        <v>43</v>
      </c>
      <c r="G333" s="1317" t="s">
        <v>254</v>
      </c>
      <c r="H333" s="1269" t="s">
        <v>361</v>
      </c>
      <c r="I333" s="1269" t="s">
        <v>428</v>
      </c>
      <c r="J333" s="1269" t="s">
        <v>185</v>
      </c>
      <c r="K333" s="1246">
        <v>42752</v>
      </c>
      <c r="L333" s="1246">
        <v>42825</v>
      </c>
      <c r="M333" s="1246">
        <v>42886</v>
      </c>
      <c r="N333" s="1246">
        <v>43100</v>
      </c>
      <c r="O333" s="1246"/>
      <c r="P333" s="1246" t="s">
        <v>583</v>
      </c>
      <c r="Q333" s="1246" t="s">
        <v>583</v>
      </c>
      <c r="R333" s="1246" t="s">
        <v>583</v>
      </c>
      <c r="S333" s="1246"/>
      <c r="T333" s="1246"/>
      <c r="U333" s="1246"/>
      <c r="V333" s="1246"/>
      <c r="W333" s="1246"/>
      <c r="X333" s="1246"/>
      <c r="Y333" s="1246"/>
      <c r="Z333" s="1246"/>
      <c r="AA333" s="1246"/>
      <c r="AB333" s="1246"/>
      <c r="AC333" s="1246"/>
      <c r="AD333" s="1246"/>
      <c r="AE333" s="1246"/>
      <c r="AF333" s="641">
        <v>-17.4099378472238</v>
      </c>
      <c r="AG333" s="187" t="s">
        <v>2569</v>
      </c>
      <c r="AH333" s="1320">
        <v>2765000</v>
      </c>
      <c r="AI333" s="1320">
        <v>150000</v>
      </c>
      <c r="AJ333" s="1321">
        <v>17000</v>
      </c>
      <c r="AK333" s="1321"/>
      <c r="AL333" s="1321"/>
      <c r="AM333" s="1321" t="s">
        <v>583</v>
      </c>
      <c r="AN333" s="1321"/>
      <c r="AO333" s="1321"/>
      <c r="AP333" s="1321"/>
      <c r="AQ333" s="1321" t="s">
        <v>112</v>
      </c>
      <c r="AR333" s="1321" t="s">
        <v>48</v>
      </c>
      <c r="AS333" s="1321" t="s">
        <v>49</v>
      </c>
      <c r="AT333" s="1269"/>
      <c r="AU333" s="1269" t="s">
        <v>3026</v>
      </c>
      <c r="AV333" s="1279">
        <v>8985177215</v>
      </c>
      <c r="AW333" s="1279"/>
      <c r="AX333" s="1279" t="s">
        <v>3027</v>
      </c>
      <c r="AY333" s="1279" t="s">
        <v>3028</v>
      </c>
      <c r="AZ333" s="1279"/>
      <c r="BA333" s="1279"/>
      <c r="BB333" s="1279" t="s">
        <v>3029</v>
      </c>
      <c r="BC333" s="1482" t="s">
        <v>3030</v>
      </c>
      <c r="BD333" s="1324" t="s">
        <v>2975</v>
      </c>
    </row>
    <row r="334" s="873" customFormat="1" ht="14.1" customHeight="1" spans="2:56">
      <c r="B334" s="1540" t="s">
        <v>699</v>
      </c>
      <c r="C334" s="32" t="s">
        <v>3031</v>
      </c>
      <c r="D334" s="1316" t="s">
        <v>2449</v>
      </c>
      <c r="E334" s="979" t="s">
        <v>3032</v>
      </c>
      <c r="F334" s="1269" t="s">
        <v>43</v>
      </c>
      <c r="G334" s="1317" t="s">
        <v>44</v>
      </c>
      <c r="H334" s="1269" t="s">
        <v>361</v>
      </c>
      <c r="I334" s="1269" t="s">
        <v>428</v>
      </c>
      <c r="J334" s="1269" t="s">
        <v>208</v>
      </c>
      <c r="K334" s="1246">
        <v>42765</v>
      </c>
      <c r="L334" s="1246">
        <v>42825</v>
      </c>
      <c r="M334" s="1246">
        <v>42916</v>
      </c>
      <c r="N334" s="1246">
        <v>43100</v>
      </c>
      <c r="O334" s="1246"/>
      <c r="P334" s="1246" t="s">
        <v>583</v>
      </c>
      <c r="Q334" s="1246" t="s">
        <v>583</v>
      </c>
      <c r="R334" s="1246" t="s">
        <v>583</v>
      </c>
      <c r="S334" s="1246"/>
      <c r="T334" s="1246"/>
      <c r="U334" s="1246"/>
      <c r="V334" s="1246"/>
      <c r="W334" s="1246"/>
      <c r="X334" s="1246"/>
      <c r="Y334" s="1246"/>
      <c r="Z334" s="1246"/>
      <c r="AA334" s="1246"/>
      <c r="AB334" s="1246"/>
      <c r="AC334" s="1246"/>
      <c r="AD334" s="1246"/>
      <c r="AE334" s="1246"/>
      <c r="AF334" s="641">
        <v>-17.4099378472238</v>
      </c>
      <c r="AG334" s="187" t="s">
        <v>2569</v>
      </c>
      <c r="AH334" s="1320">
        <v>4200000</v>
      </c>
      <c r="AI334" s="1320">
        <v>250000</v>
      </c>
      <c r="AJ334" s="1321">
        <v>20000</v>
      </c>
      <c r="AK334" s="1321">
        <v>30000</v>
      </c>
      <c r="AL334" s="1321"/>
      <c r="AM334" s="1321">
        <v>500000</v>
      </c>
      <c r="AN334" s="1321"/>
      <c r="AO334" s="1321"/>
      <c r="AP334" s="1321"/>
      <c r="AQ334" s="1321" t="s">
        <v>112</v>
      </c>
      <c r="AR334" s="1321" t="s">
        <v>48</v>
      </c>
      <c r="AS334" s="1321" t="s">
        <v>49</v>
      </c>
      <c r="AT334" s="1269" t="s">
        <v>3033</v>
      </c>
      <c r="AU334" s="1269" t="s">
        <v>3034</v>
      </c>
      <c r="AV334" s="1279">
        <v>82390987995</v>
      </c>
      <c r="AW334" s="1279" t="s">
        <v>3035</v>
      </c>
      <c r="AX334" s="1279" t="s">
        <v>3036</v>
      </c>
      <c r="AY334" s="1279"/>
      <c r="AZ334" s="1279"/>
      <c r="BA334" s="1279"/>
      <c r="BB334" s="1279" t="s">
        <v>3037</v>
      </c>
      <c r="BC334" s="1482" t="s">
        <v>2986</v>
      </c>
      <c r="BD334" s="1324" t="s">
        <v>2975</v>
      </c>
    </row>
    <row r="335" s="873" customFormat="1" ht="14.1" customHeight="1" spans="2:56">
      <c r="B335" s="1540" t="s">
        <v>806</v>
      </c>
      <c r="C335" s="32" t="s">
        <v>3086</v>
      </c>
      <c r="D335" s="1316" t="s">
        <v>3087</v>
      </c>
      <c r="E335" s="979" t="s">
        <v>3088</v>
      </c>
      <c r="F335" s="1269" t="s">
        <v>43</v>
      </c>
      <c r="G335" s="1317" t="s">
        <v>254</v>
      </c>
      <c r="H335" s="1269" t="s">
        <v>3089</v>
      </c>
      <c r="I335" s="1269" t="s">
        <v>428</v>
      </c>
      <c r="J335" s="1269" t="s">
        <v>3090</v>
      </c>
      <c r="K335" s="1246">
        <v>42833</v>
      </c>
      <c r="L335" s="1246">
        <v>42947</v>
      </c>
      <c r="M335" s="1246">
        <v>43100</v>
      </c>
      <c r="N335" s="1246">
        <v>43159</v>
      </c>
      <c r="O335" s="1246"/>
      <c r="P335" s="1246"/>
      <c r="Q335" s="1246"/>
      <c r="R335" s="1246"/>
      <c r="S335" s="1246"/>
      <c r="T335" s="1246"/>
      <c r="U335" s="1246"/>
      <c r="V335" s="1246"/>
      <c r="W335" s="1246"/>
      <c r="X335" s="1246"/>
      <c r="Y335" s="1246"/>
      <c r="Z335" s="1246"/>
      <c r="AA335" s="1246"/>
      <c r="AB335" s="1246"/>
      <c r="AC335" s="1246"/>
      <c r="AD335" s="1246"/>
      <c r="AE335" s="1246"/>
      <c r="AF335" s="641">
        <v>41.5900621527762</v>
      </c>
      <c r="AG335" s="187" t="s">
        <v>745</v>
      </c>
      <c r="AH335" s="1320">
        <v>4500000</v>
      </c>
      <c r="AI335" s="1320">
        <v>400000</v>
      </c>
      <c r="AJ335" s="1321">
        <v>20000</v>
      </c>
      <c r="AK335" s="1321"/>
      <c r="AL335" s="1321">
        <v>1500000</v>
      </c>
      <c r="AM335" s="1321">
        <v>500000</v>
      </c>
      <c r="AN335" s="1321" t="s">
        <v>583</v>
      </c>
      <c r="AO335" s="1321"/>
      <c r="AP335" s="1321"/>
      <c r="AQ335" s="1321" t="s">
        <v>112</v>
      </c>
      <c r="AR335" s="1321" t="s">
        <v>48</v>
      </c>
      <c r="AS335" s="1321" t="s">
        <v>49</v>
      </c>
      <c r="AT335" s="1269" t="s">
        <v>3091</v>
      </c>
      <c r="AU335" s="1269" t="s">
        <v>3092</v>
      </c>
      <c r="AV335" s="1279" t="s">
        <v>3093</v>
      </c>
      <c r="AW335" s="1279" t="s">
        <v>3094</v>
      </c>
      <c r="AX335" s="1279" t="s">
        <v>3095</v>
      </c>
      <c r="AY335" s="1279" t="s">
        <v>3096</v>
      </c>
      <c r="AZ335" s="1279"/>
      <c r="BA335" s="1279"/>
      <c r="BB335" s="1280" t="s">
        <v>3097</v>
      </c>
      <c r="BC335" s="1246" t="s">
        <v>3085</v>
      </c>
      <c r="BD335" s="1324">
        <v>43159</v>
      </c>
    </row>
    <row r="336" s="873" customFormat="1" ht="14.1" customHeight="1" spans="2:56">
      <c r="B336" s="1540" t="s">
        <v>876</v>
      </c>
      <c r="C336" s="1269" t="s">
        <v>3038</v>
      </c>
      <c r="D336" s="1268" t="s">
        <v>3039</v>
      </c>
      <c r="E336" s="979" t="s">
        <v>3040</v>
      </c>
      <c r="F336" s="1269" t="s">
        <v>43</v>
      </c>
      <c r="G336" s="1317" t="s">
        <v>44</v>
      </c>
      <c r="H336" s="1269" t="s">
        <v>361</v>
      </c>
      <c r="I336" s="1269" t="s">
        <v>3041</v>
      </c>
      <c r="J336" s="1269" t="s">
        <v>3042</v>
      </c>
      <c r="K336" s="1270">
        <v>42522</v>
      </c>
      <c r="L336" s="1270">
        <v>42582</v>
      </c>
      <c r="M336" s="1270">
        <v>42613</v>
      </c>
      <c r="N336" s="1270">
        <v>42643</v>
      </c>
      <c r="O336" s="934">
        <v>42674</v>
      </c>
      <c r="P336" s="934">
        <v>42704</v>
      </c>
      <c r="Q336" s="934">
        <v>42794</v>
      </c>
      <c r="R336" s="1270">
        <v>42825</v>
      </c>
      <c r="S336" s="934">
        <v>42886</v>
      </c>
      <c r="T336" s="1270">
        <v>42916</v>
      </c>
      <c r="U336" s="934">
        <v>43100</v>
      </c>
      <c r="V336" s="1270"/>
      <c r="W336" s="1270"/>
      <c r="X336" s="953"/>
      <c r="Y336" s="1496"/>
      <c r="Z336" s="1496"/>
      <c r="AA336" s="1496"/>
      <c r="AB336" s="1496"/>
      <c r="AC336" s="1496"/>
      <c r="AD336" s="1496"/>
      <c r="AE336" s="1496"/>
      <c r="AF336" s="641">
        <v>-17.4099378472238</v>
      </c>
      <c r="AG336" s="187" t="s">
        <v>2569</v>
      </c>
      <c r="AH336" s="1274">
        <v>3500000</v>
      </c>
      <c r="AI336" s="1274">
        <v>200000</v>
      </c>
      <c r="AJ336" s="1274"/>
      <c r="AK336" s="1274"/>
      <c r="AL336" s="1274"/>
      <c r="AM336" s="1274"/>
      <c r="AN336" s="1274"/>
      <c r="AO336" s="1274"/>
      <c r="AP336" s="1274"/>
      <c r="AQ336" s="958">
        <v>300000</v>
      </c>
      <c r="AR336" s="958" t="s">
        <v>113</v>
      </c>
      <c r="AS336" s="958" t="s">
        <v>49</v>
      </c>
      <c r="AT336" s="1269" t="s">
        <v>3043</v>
      </c>
      <c r="AU336" s="1269" t="s">
        <v>3044</v>
      </c>
      <c r="AV336" s="1540" t="s">
        <v>3045</v>
      </c>
      <c r="AW336" s="1269" t="s">
        <v>3046</v>
      </c>
      <c r="AX336" s="1279" t="s">
        <v>3047</v>
      </c>
      <c r="AY336" s="1279"/>
      <c r="AZ336" s="1279"/>
      <c r="BA336" s="1544" t="s">
        <v>3048</v>
      </c>
      <c r="BB336" s="1269" t="s">
        <v>3049</v>
      </c>
      <c r="BC336" s="1268" t="s">
        <v>2986</v>
      </c>
      <c r="BD336" s="1324" t="s">
        <v>3000</v>
      </c>
    </row>
    <row r="337" s="873" customFormat="1" ht="14.1" customHeight="1" spans="2:56">
      <c r="B337" s="1540" t="s">
        <v>1044</v>
      </c>
      <c r="C337" s="32" t="s">
        <v>3050</v>
      </c>
      <c r="D337" s="1316" t="s">
        <v>3051</v>
      </c>
      <c r="E337" s="979" t="s">
        <v>3052</v>
      </c>
      <c r="F337" s="1044" t="s">
        <v>125</v>
      </c>
      <c r="G337" s="1044" t="s">
        <v>44</v>
      </c>
      <c r="H337" s="1269" t="s">
        <v>3053</v>
      </c>
      <c r="I337" s="1269" t="s">
        <v>770</v>
      </c>
      <c r="J337" s="1269" t="s">
        <v>3054</v>
      </c>
      <c r="K337" s="1246">
        <v>43046</v>
      </c>
      <c r="L337" s="1246">
        <v>43100</v>
      </c>
      <c r="M337" s="1246"/>
      <c r="N337" s="1246"/>
      <c r="O337" s="1246"/>
      <c r="P337" s="1246"/>
      <c r="Q337" s="1246"/>
      <c r="R337" s="1246"/>
      <c r="S337" s="1246"/>
      <c r="T337" s="1246"/>
      <c r="U337" s="1246"/>
      <c r="V337" s="1246"/>
      <c r="W337" s="1246"/>
      <c r="X337" s="1246"/>
      <c r="Y337" s="1246"/>
      <c r="Z337" s="1246"/>
      <c r="AA337" s="1246"/>
      <c r="AB337" s="1246"/>
      <c r="AC337" s="1246"/>
      <c r="AD337" s="1246"/>
      <c r="AE337" s="1246"/>
      <c r="AF337" s="641">
        <v>-17.4099378472238</v>
      </c>
      <c r="AG337" s="187" t="s">
        <v>2569</v>
      </c>
      <c r="AH337" s="1471">
        <v>4000000</v>
      </c>
      <c r="AI337" s="1471">
        <v>200000</v>
      </c>
      <c r="AJ337" s="1321">
        <v>17000</v>
      </c>
      <c r="AK337" s="1274"/>
      <c r="AL337" s="1321"/>
      <c r="AM337" s="1321">
        <v>500000</v>
      </c>
      <c r="AN337" s="1321"/>
      <c r="AO337" s="1321">
        <v>500000</v>
      </c>
      <c r="AP337" s="1321"/>
      <c r="AQ337" s="1321" t="s">
        <v>0</v>
      </c>
      <c r="AR337" s="1321" t="s">
        <v>48</v>
      </c>
      <c r="AS337" s="1321" t="s">
        <v>49</v>
      </c>
      <c r="AT337" s="1269"/>
      <c r="AU337" s="1269" t="s">
        <v>3055</v>
      </c>
      <c r="AV337" s="1545" t="s">
        <v>3056</v>
      </c>
      <c r="AW337" s="1095" t="s">
        <v>3057</v>
      </c>
      <c r="AX337" s="1545" t="s">
        <v>3058</v>
      </c>
      <c r="AY337" s="1095" t="s">
        <v>3059</v>
      </c>
      <c r="AZ337" s="1095" t="s">
        <v>3060</v>
      </c>
      <c r="BA337" s="1095" t="s">
        <v>3061</v>
      </c>
      <c r="BB337" s="229" t="s">
        <v>3062</v>
      </c>
      <c r="BC337" s="1482" t="s">
        <v>2986</v>
      </c>
      <c r="BD337" s="1324" t="s">
        <v>3000</v>
      </c>
    </row>
    <row r="338" s="873" customFormat="1" ht="14.1" customHeight="1" spans="2:56">
      <c r="B338" s="1540" t="s">
        <v>1173</v>
      </c>
      <c r="C338" s="32" t="s">
        <v>3063</v>
      </c>
      <c r="D338" s="1316" t="s">
        <v>3064</v>
      </c>
      <c r="E338" s="979" t="s">
        <v>3065</v>
      </c>
      <c r="F338" s="1269" t="s">
        <v>43</v>
      </c>
      <c r="G338" s="1317" t="s">
        <v>254</v>
      </c>
      <c r="H338" s="1269" t="s">
        <v>665</v>
      </c>
      <c r="I338" s="32" t="s">
        <v>770</v>
      </c>
      <c r="J338" s="1269" t="s">
        <v>61</v>
      </c>
      <c r="K338" s="1246">
        <v>43059</v>
      </c>
      <c r="L338" s="1246">
        <v>43159</v>
      </c>
      <c r="M338" s="980"/>
      <c r="N338" s="1246"/>
      <c r="O338" s="1246"/>
      <c r="P338" s="1246"/>
      <c r="Q338" s="1246"/>
      <c r="R338" s="1246"/>
      <c r="S338" s="1246"/>
      <c r="T338" s="1246"/>
      <c r="U338" s="1246"/>
      <c r="V338" s="1246"/>
      <c r="W338" s="1246"/>
      <c r="X338" s="1246"/>
      <c r="Y338" s="1246"/>
      <c r="Z338" s="1246"/>
      <c r="AA338" s="1246"/>
      <c r="AB338" s="1246"/>
      <c r="AC338" s="1246"/>
      <c r="AD338" s="1246"/>
      <c r="AE338" s="1246"/>
      <c r="AF338" s="641">
        <v>41.5900621527762</v>
      </c>
      <c r="AG338" s="187" t="s">
        <v>745</v>
      </c>
      <c r="AH338" s="1471">
        <v>3000000</v>
      </c>
      <c r="AI338" s="1471">
        <v>200000</v>
      </c>
      <c r="AJ338" s="1468">
        <v>17000</v>
      </c>
      <c r="AK338" s="1468"/>
      <c r="AL338" s="1468"/>
      <c r="AM338" s="1321"/>
      <c r="AN338" s="1468"/>
      <c r="AO338" s="1321"/>
      <c r="AP338" s="1473"/>
      <c r="AQ338" s="1321" t="s">
        <v>0</v>
      </c>
      <c r="AR338" s="1321" t="s">
        <v>48</v>
      </c>
      <c r="AS338" s="1321" t="s">
        <v>49</v>
      </c>
      <c r="AT338" s="1269"/>
      <c r="AU338" s="1269" t="s">
        <v>3066</v>
      </c>
      <c r="AV338" s="1544" t="s">
        <v>3067</v>
      </c>
      <c r="AW338" s="1279" t="s">
        <v>3068</v>
      </c>
      <c r="AX338" s="1279" t="s">
        <v>3069</v>
      </c>
      <c r="AY338" s="1279" t="s">
        <v>3070</v>
      </c>
      <c r="AZ338" s="1279"/>
      <c r="BA338" s="1279"/>
      <c r="BB338" s="1280" t="s">
        <v>3071</v>
      </c>
      <c r="BC338" s="1246" t="s">
        <v>3072</v>
      </c>
      <c r="BD338" s="1324"/>
    </row>
    <row r="339" s="873" customFormat="1" ht="14.1" customHeight="1" spans="2:56">
      <c r="B339" s="1540" t="s">
        <v>1227</v>
      </c>
      <c r="C339" s="32" t="s">
        <v>3098</v>
      </c>
      <c r="D339" s="1316" t="s">
        <v>3099</v>
      </c>
      <c r="E339" s="979" t="s">
        <v>3100</v>
      </c>
      <c r="F339" s="1269" t="s">
        <v>43</v>
      </c>
      <c r="G339" s="1317" t="s">
        <v>44</v>
      </c>
      <c r="H339" s="1269" t="s">
        <v>757</v>
      </c>
      <c r="I339" s="32" t="s">
        <v>770</v>
      </c>
      <c r="J339" s="1269" t="s">
        <v>1550</v>
      </c>
      <c r="K339" s="1246">
        <v>43050</v>
      </c>
      <c r="L339" s="1246">
        <v>43131</v>
      </c>
      <c r="M339" s="1246">
        <v>43281</v>
      </c>
      <c r="N339" s="1246"/>
      <c r="O339" s="1246"/>
      <c r="P339" s="1246"/>
      <c r="Q339" s="1246"/>
      <c r="R339" s="1246"/>
      <c r="S339" s="1246"/>
      <c r="T339" s="1246"/>
      <c r="U339" s="1246"/>
      <c r="V339" s="1246"/>
      <c r="W339" s="1246"/>
      <c r="X339" s="1246"/>
      <c r="Y339" s="1246"/>
      <c r="Z339" s="1246"/>
      <c r="AA339" s="1246"/>
      <c r="AB339" s="1246"/>
      <c r="AC339" s="1246"/>
      <c r="AD339" s="1246"/>
      <c r="AE339" s="1246"/>
      <c r="AF339" s="641">
        <v>163.590062152776</v>
      </c>
      <c r="AG339" s="187" t="s">
        <v>745</v>
      </c>
      <c r="AH339" s="1471">
        <v>3000000</v>
      </c>
      <c r="AI339" s="1471">
        <v>200000</v>
      </c>
      <c r="AJ339" s="1468">
        <v>17000</v>
      </c>
      <c r="AK339" s="1468">
        <v>30000</v>
      </c>
      <c r="AL339" s="1468"/>
      <c r="AM339" s="1321"/>
      <c r="AN339" s="1468"/>
      <c r="AO339" s="1321"/>
      <c r="AP339" s="1473"/>
      <c r="AQ339" s="1321" t="s">
        <v>0</v>
      </c>
      <c r="AR339" s="1321" t="s">
        <v>48</v>
      </c>
      <c r="AS339" s="1321" t="s">
        <v>49</v>
      </c>
      <c r="AT339" s="1269"/>
      <c r="AU339" s="1269" t="s">
        <v>3101</v>
      </c>
      <c r="AV339" s="1544" t="s">
        <v>3102</v>
      </c>
      <c r="AW339" s="1279" t="s">
        <v>3103</v>
      </c>
      <c r="AX339" s="1279"/>
      <c r="AY339" s="1279"/>
      <c r="AZ339" s="1279"/>
      <c r="BA339" s="1279"/>
      <c r="BB339" s="1280" t="s">
        <v>3104</v>
      </c>
      <c r="BC339" s="1246" t="s">
        <v>3085</v>
      </c>
      <c r="BD339" s="1324">
        <v>43281</v>
      </c>
    </row>
    <row r="340" s="873" customFormat="1" ht="14.1" customHeight="1" spans="2:56">
      <c r="B340" s="1540" t="s">
        <v>1237</v>
      </c>
      <c r="C340" s="32" t="s">
        <v>3105</v>
      </c>
      <c r="D340" s="1316" t="s">
        <v>3106</v>
      </c>
      <c r="E340" s="979" t="s">
        <v>3107</v>
      </c>
      <c r="F340" s="1269" t="s">
        <v>43</v>
      </c>
      <c r="G340" s="1317" t="s">
        <v>44</v>
      </c>
      <c r="H340" s="1269" t="s">
        <v>757</v>
      </c>
      <c r="I340" s="32" t="s">
        <v>770</v>
      </c>
      <c r="J340" s="1269" t="s">
        <v>3108</v>
      </c>
      <c r="K340" s="1246">
        <v>43050</v>
      </c>
      <c r="L340" s="1246">
        <v>43131</v>
      </c>
      <c r="M340" s="1246">
        <v>43281</v>
      </c>
      <c r="N340" s="1246"/>
      <c r="O340" s="1246"/>
      <c r="P340" s="1246"/>
      <c r="Q340" s="1246"/>
      <c r="R340" s="1246"/>
      <c r="S340" s="1246"/>
      <c r="T340" s="1246"/>
      <c r="U340" s="1246"/>
      <c r="V340" s="1246"/>
      <c r="W340" s="1246"/>
      <c r="X340" s="1246"/>
      <c r="Y340" s="1246"/>
      <c r="Z340" s="1246"/>
      <c r="AA340" s="1246"/>
      <c r="AB340" s="1246"/>
      <c r="AC340" s="1246"/>
      <c r="AD340" s="1246"/>
      <c r="AE340" s="1246"/>
      <c r="AF340" s="641">
        <v>163.590062152776</v>
      </c>
      <c r="AG340" s="187" t="s">
        <v>745</v>
      </c>
      <c r="AH340" s="1471">
        <v>2765000</v>
      </c>
      <c r="AI340" s="1471">
        <v>150000</v>
      </c>
      <c r="AJ340" s="1468">
        <v>17000</v>
      </c>
      <c r="AK340" s="1468"/>
      <c r="AL340" s="1468"/>
      <c r="AM340" s="1321"/>
      <c r="AN340" s="1468"/>
      <c r="AO340" s="1321"/>
      <c r="AP340" s="1473"/>
      <c r="AQ340" s="1321" t="s">
        <v>0</v>
      </c>
      <c r="AR340" s="1321" t="s">
        <v>48</v>
      </c>
      <c r="AS340" s="1321" t="s">
        <v>49</v>
      </c>
      <c r="AT340" s="1269"/>
      <c r="AU340" s="1269" t="s">
        <v>3109</v>
      </c>
      <c r="AV340" s="1544" t="s">
        <v>3110</v>
      </c>
      <c r="AW340" s="1279" t="s">
        <v>3111</v>
      </c>
      <c r="AX340" s="1279" t="s">
        <v>3112</v>
      </c>
      <c r="AY340" s="1279" t="s">
        <v>2574</v>
      </c>
      <c r="AZ340" s="1279" t="s">
        <v>2574</v>
      </c>
      <c r="BA340" s="1279" t="s">
        <v>2574</v>
      </c>
      <c r="BB340" s="1280" t="s">
        <v>3113</v>
      </c>
      <c r="BC340" s="1246" t="s">
        <v>3085</v>
      </c>
      <c r="BD340" s="1324">
        <v>43281</v>
      </c>
    </row>
    <row r="341" s="873" customFormat="1" ht="14.1" customHeight="1" spans="2:56">
      <c r="B341" s="1540" t="s">
        <v>1248</v>
      </c>
      <c r="C341" s="32" t="s">
        <v>3114</v>
      </c>
      <c r="D341" s="1316" t="s">
        <v>3115</v>
      </c>
      <c r="E341" s="979" t="s">
        <v>3116</v>
      </c>
      <c r="F341" s="1269" t="s">
        <v>43</v>
      </c>
      <c r="G341" s="1317" t="s">
        <v>254</v>
      </c>
      <c r="H341" s="1269" t="s">
        <v>757</v>
      </c>
      <c r="I341" s="32" t="s">
        <v>770</v>
      </c>
      <c r="J341" s="1269" t="s">
        <v>1550</v>
      </c>
      <c r="K341" s="1246">
        <v>43050</v>
      </c>
      <c r="L341" s="1246">
        <v>43131</v>
      </c>
      <c r="M341" s="1246">
        <v>43281</v>
      </c>
      <c r="N341" s="1246"/>
      <c r="O341" s="1246"/>
      <c r="P341" s="1246"/>
      <c r="Q341" s="1246"/>
      <c r="R341" s="1246"/>
      <c r="S341" s="1246"/>
      <c r="T341" s="1246"/>
      <c r="U341" s="1246"/>
      <c r="V341" s="1246"/>
      <c r="W341" s="1246"/>
      <c r="X341" s="1246"/>
      <c r="Y341" s="1246"/>
      <c r="Z341" s="1246"/>
      <c r="AA341" s="1246"/>
      <c r="AB341" s="1246"/>
      <c r="AC341" s="1246"/>
      <c r="AD341" s="1246"/>
      <c r="AE341" s="1246"/>
      <c r="AF341" s="641">
        <v>163.590062152776</v>
      </c>
      <c r="AG341" s="187" t="s">
        <v>745</v>
      </c>
      <c r="AH341" s="1471">
        <v>3000000</v>
      </c>
      <c r="AI341" s="1471">
        <v>200000</v>
      </c>
      <c r="AJ341" s="1468">
        <v>17000</v>
      </c>
      <c r="AK341" s="1468">
        <v>30000</v>
      </c>
      <c r="AL341" s="1468"/>
      <c r="AM341" s="1321"/>
      <c r="AN341" s="1468"/>
      <c r="AO341" s="1321"/>
      <c r="AP341" s="1473"/>
      <c r="AQ341" s="1321" t="s">
        <v>0</v>
      </c>
      <c r="AR341" s="1321" t="s">
        <v>48</v>
      </c>
      <c r="AS341" s="1321" t="s">
        <v>49</v>
      </c>
      <c r="AT341" s="1269"/>
      <c r="AU341" s="1269" t="s">
        <v>3117</v>
      </c>
      <c r="AV341" s="1279"/>
      <c r="AW341" s="1279" t="s">
        <v>3118</v>
      </c>
      <c r="AX341" s="1279" t="s">
        <v>3119</v>
      </c>
      <c r="AY341" s="1279" t="s">
        <v>3120</v>
      </c>
      <c r="AZ341" s="1279"/>
      <c r="BA341" s="1279"/>
      <c r="BB341" s="1280" t="s">
        <v>3121</v>
      </c>
      <c r="BC341" s="1246" t="s">
        <v>3085</v>
      </c>
      <c r="BD341" s="1324">
        <v>43281</v>
      </c>
    </row>
    <row r="342" s="873" customFormat="1" ht="14.1" customHeight="1" spans="2:56">
      <c r="B342" s="1540" t="s">
        <v>1257</v>
      </c>
      <c r="C342" s="32" t="s">
        <v>3122</v>
      </c>
      <c r="D342" s="1316" t="s">
        <v>3123</v>
      </c>
      <c r="E342" s="979" t="s">
        <v>3124</v>
      </c>
      <c r="F342" s="1269" t="s">
        <v>43</v>
      </c>
      <c r="G342" s="1317" t="s">
        <v>96</v>
      </c>
      <c r="H342" s="1269" t="s">
        <v>757</v>
      </c>
      <c r="I342" s="32" t="s">
        <v>770</v>
      </c>
      <c r="J342" s="1269" t="s">
        <v>208</v>
      </c>
      <c r="K342" s="1246">
        <v>43050</v>
      </c>
      <c r="L342" s="1246">
        <v>43131</v>
      </c>
      <c r="M342" s="1246">
        <v>43281</v>
      </c>
      <c r="N342" s="1246"/>
      <c r="O342" s="1246"/>
      <c r="P342" s="1246"/>
      <c r="Q342" s="1246"/>
      <c r="R342" s="1246"/>
      <c r="S342" s="1246"/>
      <c r="T342" s="1246"/>
      <c r="U342" s="1246"/>
      <c r="V342" s="1246"/>
      <c r="W342" s="1246"/>
      <c r="X342" s="1246"/>
      <c r="Y342" s="1246"/>
      <c r="Z342" s="1246"/>
      <c r="AA342" s="1246"/>
      <c r="AB342" s="1246"/>
      <c r="AC342" s="1246"/>
      <c r="AD342" s="1246"/>
      <c r="AE342" s="1246"/>
      <c r="AF342" s="641">
        <v>163.590062152776</v>
      </c>
      <c r="AG342" s="187" t="s">
        <v>745</v>
      </c>
      <c r="AH342" s="1471">
        <v>3700000</v>
      </c>
      <c r="AI342" s="1471">
        <v>250000</v>
      </c>
      <c r="AJ342" s="1468">
        <v>20000</v>
      </c>
      <c r="AK342" s="1468"/>
      <c r="AL342" s="1468"/>
      <c r="AM342" s="1321">
        <v>500000</v>
      </c>
      <c r="AN342" s="1468"/>
      <c r="AO342" s="1321"/>
      <c r="AP342" s="1473"/>
      <c r="AQ342" s="1321" t="s">
        <v>0</v>
      </c>
      <c r="AR342" s="1321" t="s">
        <v>48</v>
      </c>
      <c r="AS342" s="1321" t="s">
        <v>49</v>
      </c>
      <c r="AT342" s="1269"/>
      <c r="AU342" s="1269" t="s">
        <v>3125</v>
      </c>
      <c r="AV342" s="1544" t="s">
        <v>3126</v>
      </c>
      <c r="AW342" s="1279" t="s">
        <v>3127</v>
      </c>
      <c r="AX342" s="1279" t="s">
        <v>3128</v>
      </c>
      <c r="AY342" s="1279" t="s">
        <v>3129</v>
      </c>
      <c r="AZ342" s="1279"/>
      <c r="BA342" s="1279"/>
      <c r="BB342" s="1280" t="s">
        <v>3130</v>
      </c>
      <c r="BC342" s="1246" t="s">
        <v>3085</v>
      </c>
      <c r="BD342" s="1324">
        <v>43281</v>
      </c>
    </row>
    <row r="343" s="873" customFormat="1" ht="14.1" customHeight="1" spans="2:56">
      <c r="B343" s="1540" t="s">
        <v>1348</v>
      </c>
      <c r="C343" s="32" t="s">
        <v>3131</v>
      </c>
      <c r="D343" s="1316" t="s">
        <v>3132</v>
      </c>
      <c r="E343" s="979" t="s">
        <v>3133</v>
      </c>
      <c r="F343" s="1269"/>
      <c r="G343" s="1317"/>
      <c r="H343" s="1269" t="s">
        <v>757</v>
      </c>
      <c r="I343" s="32" t="s">
        <v>770</v>
      </c>
      <c r="J343" s="1269" t="s">
        <v>185</v>
      </c>
      <c r="K343" s="1246">
        <v>43055</v>
      </c>
      <c r="L343" s="1246">
        <v>43190</v>
      </c>
      <c r="M343" s="1246">
        <v>43281</v>
      </c>
      <c r="N343" s="1246"/>
      <c r="O343" s="1246"/>
      <c r="P343" s="1246"/>
      <c r="Q343" s="1246"/>
      <c r="R343" s="1246"/>
      <c r="S343" s="1246"/>
      <c r="T343" s="1246"/>
      <c r="U343" s="1246"/>
      <c r="V343" s="1246"/>
      <c r="W343" s="1246"/>
      <c r="X343" s="1246"/>
      <c r="Y343" s="1246"/>
      <c r="Z343" s="1246"/>
      <c r="AA343" s="1246"/>
      <c r="AB343" s="1246"/>
      <c r="AC343" s="1246"/>
      <c r="AD343" s="1246"/>
      <c r="AE343" s="1246"/>
      <c r="AF343" s="641">
        <v>72.5900621527762</v>
      </c>
      <c r="AG343" s="187" t="s">
        <v>745</v>
      </c>
      <c r="AH343" s="1471">
        <v>2765000</v>
      </c>
      <c r="AI343" s="1471">
        <v>150000</v>
      </c>
      <c r="AJ343" s="1468">
        <v>17000</v>
      </c>
      <c r="AK343" s="1468"/>
      <c r="AL343" s="1468"/>
      <c r="AM343" s="1321"/>
      <c r="AN343" s="1468"/>
      <c r="AO343" s="1321"/>
      <c r="AP343" s="1473"/>
      <c r="AQ343" s="1321"/>
      <c r="AR343" s="1321"/>
      <c r="AS343" s="1321"/>
      <c r="AT343" s="1269"/>
      <c r="AU343" s="1269" t="s">
        <v>3134</v>
      </c>
      <c r="AV343" s="1279"/>
      <c r="AW343" s="1279"/>
      <c r="AX343" s="1279"/>
      <c r="AY343" s="1279"/>
      <c r="AZ343" s="1279"/>
      <c r="BA343" s="1279"/>
      <c r="BB343" s="1280"/>
      <c r="BC343" s="1246" t="s">
        <v>3085</v>
      </c>
      <c r="BD343" s="1324">
        <v>43281</v>
      </c>
    </row>
    <row r="344" s="873" customFormat="1" ht="14.1" customHeight="1" spans="2:56">
      <c r="B344" s="1540" t="s">
        <v>1357</v>
      </c>
      <c r="C344" s="32" t="s">
        <v>3135</v>
      </c>
      <c r="D344" s="1316" t="s">
        <v>3136</v>
      </c>
      <c r="E344" s="979" t="s">
        <v>3137</v>
      </c>
      <c r="F344" s="1269"/>
      <c r="G344" s="1317"/>
      <c r="H344" s="1269" t="s">
        <v>757</v>
      </c>
      <c r="I344" s="32" t="s">
        <v>770</v>
      </c>
      <c r="J344" s="1269" t="s">
        <v>185</v>
      </c>
      <c r="K344" s="1246">
        <v>43055</v>
      </c>
      <c r="L344" s="1246">
        <v>43190</v>
      </c>
      <c r="M344" s="1246">
        <v>43281</v>
      </c>
      <c r="N344" s="1246"/>
      <c r="O344" s="1246"/>
      <c r="P344" s="1246"/>
      <c r="Q344" s="1246"/>
      <c r="R344" s="1246"/>
      <c r="S344" s="1246"/>
      <c r="T344" s="1246"/>
      <c r="U344" s="1246"/>
      <c r="V344" s="1246"/>
      <c r="W344" s="1246"/>
      <c r="X344" s="1246"/>
      <c r="Y344" s="1246"/>
      <c r="Z344" s="1246"/>
      <c r="AA344" s="1246"/>
      <c r="AB344" s="1246"/>
      <c r="AC344" s="1246"/>
      <c r="AD344" s="1246"/>
      <c r="AE344" s="1246"/>
      <c r="AF344" s="641">
        <v>72.5900621527762</v>
      </c>
      <c r="AG344" s="187" t="s">
        <v>745</v>
      </c>
      <c r="AH344" s="1471">
        <v>2765000</v>
      </c>
      <c r="AI344" s="1471">
        <v>150000</v>
      </c>
      <c r="AJ344" s="1468">
        <v>17000</v>
      </c>
      <c r="AK344" s="1468"/>
      <c r="AL344" s="1468"/>
      <c r="AM344" s="1321"/>
      <c r="AN344" s="1468"/>
      <c r="AO344" s="1321"/>
      <c r="AP344" s="1473"/>
      <c r="AQ344" s="1321"/>
      <c r="AR344" s="1321"/>
      <c r="AS344" s="1321"/>
      <c r="AT344" s="1269"/>
      <c r="AU344" s="1269" t="s">
        <v>3138</v>
      </c>
      <c r="AV344" s="1279"/>
      <c r="AW344" s="1279"/>
      <c r="AX344" s="1279"/>
      <c r="AY344" s="1279"/>
      <c r="AZ344" s="1279"/>
      <c r="BA344" s="1279"/>
      <c r="BB344" s="1280"/>
      <c r="BC344" s="1246" t="s">
        <v>3085</v>
      </c>
      <c r="BD344" s="1324">
        <v>43281</v>
      </c>
    </row>
    <row r="345" s="873" customFormat="1" ht="14.1" customHeight="1" spans="2:56">
      <c r="B345" s="1540" t="s">
        <v>3139</v>
      </c>
      <c r="C345" s="32" t="s">
        <v>3140</v>
      </c>
      <c r="D345" s="1316" t="s">
        <v>3141</v>
      </c>
      <c r="E345" s="979" t="s">
        <v>3142</v>
      </c>
      <c r="F345" s="1269" t="s">
        <v>43</v>
      </c>
      <c r="G345" s="1317" t="s">
        <v>44</v>
      </c>
      <c r="H345" s="1269" t="s">
        <v>757</v>
      </c>
      <c r="I345" s="32" t="s">
        <v>770</v>
      </c>
      <c r="J345" s="1269" t="s">
        <v>185</v>
      </c>
      <c r="K345" s="1246">
        <v>43070</v>
      </c>
      <c r="L345" s="1246">
        <v>43190</v>
      </c>
      <c r="M345" s="1246">
        <v>43281</v>
      </c>
      <c r="N345" s="1246"/>
      <c r="O345" s="1246"/>
      <c r="P345" s="1246"/>
      <c r="Q345" s="1246"/>
      <c r="R345" s="1246"/>
      <c r="S345" s="1246"/>
      <c r="T345" s="1246"/>
      <c r="U345" s="1246"/>
      <c r="V345" s="1246"/>
      <c r="W345" s="1246"/>
      <c r="X345" s="1246"/>
      <c r="Y345" s="1246"/>
      <c r="Z345" s="1246"/>
      <c r="AA345" s="1246"/>
      <c r="AB345" s="1246"/>
      <c r="AC345" s="1246"/>
      <c r="AD345" s="1246"/>
      <c r="AE345" s="1246"/>
      <c r="AF345" s="641">
        <v>72.5900621527762</v>
      </c>
      <c r="AG345" s="187" t="s">
        <v>745</v>
      </c>
      <c r="AH345" s="1471">
        <v>2765000</v>
      </c>
      <c r="AI345" s="1471">
        <v>150000</v>
      </c>
      <c r="AJ345" s="1468">
        <v>17000</v>
      </c>
      <c r="AK345" s="1468"/>
      <c r="AL345" s="1468"/>
      <c r="AM345" s="1321"/>
      <c r="AN345" s="1468"/>
      <c r="AO345" s="1321"/>
      <c r="AP345" s="1473"/>
      <c r="AQ345" s="1321"/>
      <c r="AR345" s="1321"/>
      <c r="AS345" s="1321"/>
      <c r="AT345" s="1269"/>
      <c r="AU345" s="1269" t="s">
        <v>3143</v>
      </c>
      <c r="AV345" s="1544" t="s">
        <v>3144</v>
      </c>
      <c r="AW345" s="1279" t="s">
        <v>3145</v>
      </c>
      <c r="AX345" s="1279" t="s">
        <v>3146</v>
      </c>
      <c r="AY345" s="1279"/>
      <c r="AZ345" s="1279"/>
      <c r="BA345" s="1279"/>
      <c r="BB345" s="1280" t="s">
        <v>3147</v>
      </c>
      <c r="BC345" s="1246" t="s">
        <v>3085</v>
      </c>
      <c r="BD345" s="1324">
        <v>43281</v>
      </c>
    </row>
    <row r="346" s="873" customFormat="1" ht="14.1" customHeight="1" spans="2:57">
      <c r="B346" s="1532" t="s">
        <v>816</v>
      </c>
      <c r="C346" s="32" t="s">
        <v>3148</v>
      </c>
      <c r="D346" s="1316" t="s">
        <v>3149</v>
      </c>
      <c r="E346" s="979" t="s">
        <v>3150</v>
      </c>
      <c r="F346" s="1044" t="s">
        <v>43</v>
      </c>
      <c r="G346" s="1044" t="s">
        <v>254</v>
      </c>
      <c r="H346" s="1269" t="s">
        <v>757</v>
      </c>
      <c r="I346" s="1269"/>
      <c r="J346" s="1269" t="s">
        <v>3151</v>
      </c>
      <c r="K346" s="1246">
        <v>43025</v>
      </c>
      <c r="L346" s="1246">
        <v>43100</v>
      </c>
      <c r="M346" s="1246">
        <v>43281</v>
      </c>
      <c r="N346" s="1246"/>
      <c r="O346" s="1246"/>
      <c r="P346" s="1246"/>
      <c r="Q346" s="1246"/>
      <c r="R346" s="1246"/>
      <c r="S346" s="1246"/>
      <c r="T346" s="1246"/>
      <c r="U346" s="1246"/>
      <c r="V346" s="1246"/>
      <c r="W346" s="1246"/>
      <c r="X346" s="1246"/>
      <c r="Y346" s="1246"/>
      <c r="Z346" s="1246"/>
      <c r="AA346" s="1246"/>
      <c r="AB346" s="1246"/>
      <c r="AC346" s="1246"/>
      <c r="AD346" s="1246"/>
      <c r="AE346" s="1246"/>
      <c r="AF346" s="641">
        <v>141.367130902778</v>
      </c>
      <c r="AG346" s="187" t="s">
        <v>745</v>
      </c>
      <c r="AH346" s="1320">
        <v>2765000</v>
      </c>
      <c r="AI346" s="1320">
        <v>150000</v>
      </c>
      <c r="AJ346" s="1321">
        <v>17000</v>
      </c>
      <c r="AK346" s="1321"/>
      <c r="AL346" s="1321"/>
      <c r="AM346" s="1321"/>
      <c r="AN346" s="1321"/>
      <c r="AO346" s="1321"/>
      <c r="AP346" s="1321"/>
      <c r="AQ346" s="1321" t="s">
        <v>112</v>
      </c>
      <c r="AR346" s="1321" t="s">
        <v>48</v>
      </c>
      <c r="AS346" s="1321" t="s">
        <v>49</v>
      </c>
      <c r="AT346" s="1269"/>
      <c r="AU346" s="1269" t="s">
        <v>3152</v>
      </c>
      <c r="AV346" s="1095" t="s">
        <v>3153</v>
      </c>
      <c r="AW346" s="1095" t="s">
        <v>3154</v>
      </c>
      <c r="AX346" s="1545" t="s">
        <v>3155</v>
      </c>
      <c r="AY346" s="1095"/>
      <c r="AZ346" s="1095"/>
      <c r="BA346" s="1095"/>
      <c r="BB346" s="229" t="s">
        <v>3156</v>
      </c>
      <c r="BC346" s="1246" t="s">
        <v>3157</v>
      </c>
      <c r="BD346" s="1324">
        <v>43281</v>
      </c>
      <c r="BE346" s="1022" t="s">
        <v>3158</v>
      </c>
    </row>
    <row r="347" s="873" customFormat="1" ht="14.1" customHeight="1" spans="2:57">
      <c r="B347" s="1532" t="s">
        <v>828</v>
      </c>
      <c r="C347" s="32" t="s">
        <v>3159</v>
      </c>
      <c r="D347" s="1316" t="s">
        <v>3160</v>
      </c>
      <c r="E347" s="979" t="s">
        <v>3161</v>
      </c>
      <c r="F347" s="1044" t="s">
        <v>43</v>
      </c>
      <c r="G347" s="1044" t="s">
        <v>254</v>
      </c>
      <c r="H347" s="1269" t="s">
        <v>757</v>
      </c>
      <c r="I347" s="1269" t="s">
        <v>428</v>
      </c>
      <c r="J347" s="1269" t="s">
        <v>1550</v>
      </c>
      <c r="K347" s="1246">
        <v>43025</v>
      </c>
      <c r="L347" s="1246">
        <v>43100</v>
      </c>
      <c r="M347" s="1246">
        <v>43281</v>
      </c>
      <c r="N347" s="1246"/>
      <c r="O347" s="1246"/>
      <c r="P347" s="1246"/>
      <c r="Q347" s="1246"/>
      <c r="R347" s="1246"/>
      <c r="S347" s="1246"/>
      <c r="T347" s="1246"/>
      <c r="U347" s="1246"/>
      <c r="V347" s="1246"/>
      <c r="W347" s="1246"/>
      <c r="X347" s="1246"/>
      <c r="Y347" s="1246"/>
      <c r="Z347" s="1246"/>
      <c r="AA347" s="1246"/>
      <c r="AB347" s="1246"/>
      <c r="AC347" s="1246"/>
      <c r="AD347" s="1246"/>
      <c r="AE347" s="1246"/>
      <c r="AF347" s="641">
        <v>141.367130902778</v>
      </c>
      <c r="AG347" s="187" t="s">
        <v>745</v>
      </c>
      <c r="AH347" s="1471">
        <v>3000000</v>
      </c>
      <c r="AI347" s="1471">
        <v>200000</v>
      </c>
      <c r="AJ347" s="1321">
        <v>17000</v>
      </c>
      <c r="AK347" s="1274">
        <v>30000</v>
      </c>
      <c r="AL347" s="1321"/>
      <c r="AM347" s="1321"/>
      <c r="AN347" s="1321"/>
      <c r="AO347" s="1321"/>
      <c r="AP347" s="1321"/>
      <c r="AQ347" s="1321" t="s">
        <v>112</v>
      </c>
      <c r="AR347" s="1321" t="s">
        <v>48</v>
      </c>
      <c r="AS347" s="1321" t="s">
        <v>49</v>
      </c>
      <c r="AT347" s="1269"/>
      <c r="AU347" s="1269" t="s">
        <v>3162</v>
      </c>
      <c r="AV347" s="1095" t="s">
        <v>3163</v>
      </c>
      <c r="AW347" s="1095" t="s">
        <v>3164</v>
      </c>
      <c r="AX347" s="1545" t="s">
        <v>3165</v>
      </c>
      <c r="AY347" s="1095"/>
      <c r="AZ347" s="1095"/>
      <c r="BA347" s="1095"/>
      <c r="BB347" s="229" t="s">
        <v>3166</v>
      </c>
      <c r="BC347" s="1246" t="s">
        <v>3157</v>
      </c>
      <c r="BD347" s="1324">
        <v>43281</v>
      </c>
      <c r="BE347" s="1022" t="s">
        <v>3158</v>
      </c>
    </row>
    <row r="348" s="873" customFormat="1" ht="14.1" customHeight="1" spans="2:57">
      <c r="B348" s="1532" t="s">
        <v>837</v>
      </c>
      <c r="C348" s="32" t="s">
        <v>3167</v>
      </c>
      <c r="D348" s="1316" t="s">
        <v>3168</v>
      </c>
      <c r="E348" s="979" t="s">
        <v>3169</v>
      </c>
      <c r="F348" s="1044" t="s">
        <v>43</v>
      </c>
      <c r="G348" s="1044" t="s">
        <v>44</v>
      </c>
      <c r="H348" s="1269" t="s">
        <v>757</v>
      </c>
      <c r="I348" s="1269" t="s">
        <v>428</v>
      </c>
      <c r="J348" s="1269" t="s">
        <v>185</v>
      </c>
      <c r="K348" s="1246">
        <v>43025</v>
      </c>
      <c r="L348" s="1246">
        <v>43100</v>
      </c>
      <c r="M348" s="1246">
        <v>43281</v>
      </c>
      <c r="N348" s="1246"/>
      <c r="O348" s="1246"/>
      <c r="P348" s="1246"/>
      <c r="Q348" s="1246"/>
      <c r="R348" s="1246"/>
      <c r="S348" s="1246"/>
      <c r="T348" s="1246"/>
      <c r="U348" s="1246"/>
      <c r="V348" s="1246"/>
      <c r="W348" s="1246"/>
      <c r="X348" s="1246"/>
      <c r="Y348" s="1246"/>
      <c r="Z348" s="1246"/>
      <c r="AA348" s="1246"/>
      <c r="AB348" s="1246"/>
      <c r="AC348" s="1246"/>
      <c r="AD348" s="1246"/>
      <c r="AE348" s="1246"/>
      <c r="AF348" s="641">
        <v>141.367130902778</v>
      </c>
      <c r="AG348" s="187" t="s">
        <v>745</v>
      </c>
      <c r="AH348" s="1471">
        <v>2765000</v>
      </c>
      <c r="AI348" s="1471">
        <v>150000</v>
      </c>
      <c r="AJ348" s="1321">
        <v>17000</v>
      </c>
      <c r="AK348" s="1468"/>
      <c r="AL348" s="1321"/>
      <c r="AM348" s="1321"/>
      <c r="AN348" s="1321"/>
      <c r="AO348" s="1321"/>
      <c r="AP348" s="1321"/>
      <c r="AQ348" s="1321" t="s">
        <v>112</v>
      </c>
      <c r="AR348" s="1321" t="s">
        <v>48</v>
      </c>
      <c r="AS348" s="1321" t="s">
        <v>49</v>
      </c>
      <c r="AT348" s="1269"/>
      <c r="AU348" s="1269" t="s">
        <v>3170</v>
      </c>
      <c r="AV348" s="1095" t="s">
        <v>3171</v>
      </c>
      <c r="AW348" s="1095" t="s">
        <v>3172</v>
      </c>
      <c r="AX348" s="1545" t="s">
        <v>3173</v>
      </c>
      <c r="AY348" s="1095"/>
      <c r="AZ348" s="1095"/>
      <c r="BA348" s="1095"/>
      <c r="BB348" s="1126"/>
      <c r="BC348" s="1246" t="s">
        <v>3157</v>
      </c>
      <c r="BD348" s="1324">
        <v>43281</v>
      </c>
      <c r="BE348" s="1022" t="s">
        <v>3158</v>
      </c>
    </row>
    <row r="349" s="873" customFormat="1" ht="14.1" customHeight="1" spans="2:57">
      <c r="B349" s="1532" t="s">
        <v>847</v>
      </c>
      <c r="C349" s="32" t="s">
        <v>3174</v>
      </c>
      <c r="D349" s="1316" t="s">
        <v>3175</v>
      </c>
      <c r="E349" s="979" t="s">
        <v>3176</v>
      </c>
      <c r="F349" s="1044" t="s">
        <v>43</v>
      </c>
      <c r="G349" s="1044" t="s">
        <v>44</v>
      </c>
      <c r="H349" s="1269" t="s">
        <v>757</v>
      </c>
      <c r="I349" s="1269" t="s">
        <v>428</v>
      </c>
      <c r="J349" s="1269" t="s">
        <v>1550</v>
      </c>
      <c r="K349" s="1246">
        <v>43025</v>
      </c>
      <c r="L349" s="1246">
        <v>43100</v>
      </c>
      <c r="M349" s="1246">
        <v>43281</v>
      </c>
      <c r="N349" s="1246"/>
      <c r="O349" s="1246"/>
      <c r="P349" s="1246"/>
      <c r="Q349" s="1246"/>
      <c r="R349" s="1246"/>
      <c r="S349" s="1246"/>
      <c r="T349" s="1246"/>
      <c r="U349" s="1246"/>
      <c r="V349" s="1246"/>
      <c r="W349" s="1246"/>
      <c r="X349" s="1246"/>
      <c r="Y349" s="1246"/>
      <c r="Z349" s="1246"/>
      <c r="AA349" s="1246"/>
      <c r="AB349" s="1246"/>
      <c r="AC349" s="1246"/>
      <c r="AD349" s="1246"/>
      <c r="AE349" s="1246"/>
      <c r="AF349" s="641">
        <v>141.367130902778</v>
      </c>
      <c r="AG349" s="187" t="s">
        <v>745</v>
      </c>
      <c r="AH349" s="1471">
        <v>3000000</v>
      </c>
      <c r="AI349" s="1471">
        <v>200000</v>
      </c>
      <c r="AJ349" s="1321">
        <v>17000</v>
      </c>
      <c r="AK349" s="1274">
        <v>30000</v>
      </c>
      <c r="AL349" s="1321"/>
      <c r="AM349" s="1321"/>
      <c r="AN349" s="1321"/>
      <c r="AO349" s="1321"/>
      <c r="AP349" s="1321"/>
      <c r="AQ349" s="1321" t="s">
        <v>112</v>
      </c>
      <c r="AR349" s="1321" t="s">
        <v>48</v>
      </c>
      <c r="AS349" s="1321" t="s">
        <v>49</v>
      </c>
      <c r="AT349" s="1269"/>
      <c r="AU349" s="1269" t="s">
        <v>3177</v>
      </c>
      <c r="AV349" s="1095" t="s">
        <v>3178</v>
      </c>
      <c r="AW349" s="1095" t="s">
        <v>3179</v>
      </c>
      <c r="AX349" s="1545" t="s">
        <v>3180</v>
      </c>
      <c r="AY349" s="1095"/>
      <c r="AZ349" s="1095"/>
      <c r="BA349" s="1095"/>
      <c r="BB349" s="229" t="s">
        <v>3181</v>
      </c>
      <c r="BC349" s="1246" t="s">
        <v>3157</v>
      </c>
      <c r="BD349" s="1324">
        <v>43281</v>
      </c>
      <c r="BE349" s="1022" t="s">
        <v>3158</v>
      </c>
    </row>
    <row r="350" ht="14.1" customHeight="1" spans="2:57">
      <c r="B350" s="1532" t="s">
        <v>858</v>
      </c>
      <c r="C350" s="32" t="s">
        <v>3182</v>
      </c>
      <c r="D350" s="1316" t="s">
        <v>3183</v>
      </c>
      <c r="E350" s="979" t="s">
        <v>3184</v>
      </c>
      <c r="F350" s="1044" t="s">
        <v>43</v>
      </c>
      <c r="G350" s="1044" t="s">
        <v>44</v>
      </c>
      <c r="H350" s="1269" t="s">
        <v>757</v>
      </c>
      <c r="I350" s="1269" t="s">
        <v>428</v>
      </c>
      <c r="J350" s="1269" t="s">
        <v>185</v>
      </c>
      <c r="K350" s="1246">
        <v>43025</v>
      </c>
      <c r="L350" s="1246">
        <v>43100</v>
      </c>
      <c r="M350" s="1246">
        <v>43281</v>
      </c>
      <c r="N350" s="1246"/>
      <c r="O350" s="1246"/>
      <c r="P350" s="1246"/>
      <c r="Q350" s="1246"/>
      <c r="R350" s="1246"/>
      <c r="S350" s="1246"/>
      <c r="T350" s="1246"/>
      <c r="U350" s="1246"/>
      <c r="V350" s="1246"/>
      <c r="W350" s="1246"/>
      <c r="X350" s="1246"/>
      <c r="Y350" s="1246"/>
      <c r="Z350" s="1246"/>
      <c r="AA350" s="1246"/>
      <c r="AB350" s="1246"/>
      <c r="AC350" s="1246"/>
      <c r="AD350" s="1246"/>
      <c r="AE350" s="1246"/>
      <c r="AF350" s="641">
        <v>141.367130902778</v>
      </c>
      <c r="AG350" s="187" t="s">
        <v>745</v>
      </c>
      <c r="AH350" s="1471">
        <v>2765000</v>
      </c>
      <c r="AI350" s="1471">
        <v>150000</v>
      </c>
      <c r="AJ350" s="1321">
        <v>17000</v>
      </c>
      <c r="AK350" s="1468"/>
      <c r="AL350" s="1321"/>
      <c r="AM350" s="1321"/>
      <c r="AN350" s="1321"/>
      <c r="AO350" s="1321"/>
      <c r="AP350" s="1321"/>
      <c r="AQ350" s="1321" t="s">
        <v>112</v>
      </c>
      <c r="AR350" s="1321" t="s">
        <v>48</v>
      </c>
      <c r="AS350" s="1321" t="s">
        <v>49</v>
      </c>
      <c r="AT350" s="1269"/>
      <c r="AU350" s="1269" t="s">
        <v>3185</v>
      </c>
      <c r="AV350" s="1095" t="s">
        <v>3186</v>
      </c>
      <c r="AW350" s="1095" t="s">
        <v>3187</v>
      </c>
      <c r="AX350" s="1545" t="s">
        <v>3188</v>
      </c>
      <c r="AY350" s="1095"/>
      <c r="AZ350" s="1095"/>
      <c r="BA350" s="1095"/>
      <c r="BB350" s="1126"/>
      <c r="BC350" s="1246" t="s">
        <v>3157</v>
      </c>
      <c r="BD350" s="1324">
        <v>43281</v>
      </c>
      <c r="BE350" s="1022" t="s">
        <v>3158</v>
      </c>
    </row>
    <row r="351" ht="14.1" customHeight="1" spans="2:57">
      <c r="B351" s="1532" t="s">
        <v>866</v>
      </c>
      <c r="C351" s="32" t="s">
        <v>3189</v>
      </c>
      <c r="D351" s="1316" t="s">
        <v>3190</v>
      </c>
      <c r="E351" s="979" t="s">
        <v>3191</v>
      </c>
      <c r="F351" s="1044" t="s">
        <v>43</v>
      </c>
      <c r="G351" s="1044" t="s">
        <v>254</v>
      </c>
      <c r="H351" s="1269" t="s">
        <v>757</v>
      </c>
      <c r="I351" s="1269" t="s">
        <v>428</v>
      </c>
      <c r="J351" s="1269" t="s">
        <v>1550</v>
      </c>
      <c r="K351" s="1246">
        <v>43025</v>
      </c>
      <c r="L351" s="1246">
        <v>43100</v>
      </c>
      <c r="M351" s="1246">
        <v>43281</v>
      </c>
      <c r="N351" s="1246"/>
      <c r="O351" s="1246"/>
      <c r="P351" s="1246"/>
      <c r="Q351" s="1246"/>
      <c r="R351" s="1246"/>
      <c r="S351" s="1246"/>
      <c r="T351" s="1246"/>
      <c r="U351" s="1246"/>
      <c r="V351" s="1246"/>
      <c r="W351" s="1246"/>
      <c r="X351" s="1246"/>
      <c r="Y351" s="1246"/>
      <c r="Z351" s="1246"/>
      <c r="AA351" s="1246"/>
      <c r="AB351" s="1246"/>
      <c r="AC351" s="1246"/>
      <c r="AD351" s="1246"/>
      <c r="AE351" s="1246"/>
      <c r="AF351" s="641">
        <v>141.367130902778</v>
      </c>
      <c r="AG351" s="187" t="s">
        <v>745</v>
      </c>
      <c r="AH351" s="1471">
        <v>3000000</v>
      </c>
      <c r="AI351" s="1471">
        <v>200000</v>
      </c>
      <c r="AJ351" s="1321">
        <v>17000</v>
      </c>
      <c r="AK351" s="1274">
        <v>30000</v>
      </c>
      <c r="AL351" s="1321"/>
      <c r="AM351" s="1321"/>
      <c r="AN351" s="1321"/>
      <c r="AO351" s="1321"/>
      <c r="AP351" s="1321"/>
      <c r="AQ351" s="1321" t="s">
        <v>112</v>
      </c>
      <c r="AR351" s="1321" t="s">
        <v>48</v>
      </c>
      <c r="AS351" s="1321" t="s">
        <v>49</v>
      </c>
      <c r="AT351" s="1269"/>
      <c r="AU351" s="1269" t="s">
        <v>3192</v>
      </c>
      <c r="AV351" s="1095" t="s">
        <v>3193</v>
      </c>
      <c r="AW351" s="1095" t="s">
        <v>3194</v>
      </c>
      <c r="AX351" s="1545" t="s">
        <v>3195</v>
      </c>
      <c r="AY351" s="1095"/>
      <c r="AZ351" s="1095"/>
      <c r="BA351" s="1095"/>
      <c r="BB351" s="229" t="s">
        <v>3196</v>
      </c>
      <c r="BC351" s="1246" t="s">
        <v>3157</v>
      </c>
      <c r="BD351" s="1324">
        <v>43281</v>
      </c>
      <c r="BE351" s="1022" t="s">
        <v>3158</v>
      </c>
    </row>
    <row r="352" ht="14.1" customHeight="1" spans="2:57">
      <c r="B352" s="1532" t="s">
        <v>876</v>
      </c>
      <c r="C352" s="32" t="s">
        <v>3197</v>
      </c>
      <c r="D352" s="1316" t="s">
        <v>3198</v>
      </c>
      <c r="E352" s="979" t="s">
        <v>3199</v>
      </c>
      <c r="F352" s="1044" t="s">
        <v>43</v>
      </c>
      <c r="G352" s="1044" t="s">
        <v>44</v>
      </c>
      <c r="H352" s="1269" t="s">
        <v>757</v>
      </c>
      <c r="I352" s="1269" t="s">
        <v>428</v>
      </c>
      <c r="J352" s="1269" t="s">
        <v>185</v>
      </c>
      <c r="K352" s="1246">
        <v>43025</v>
      </c>
      <c r="L352" s="1246">
        <v>43100</v>
      </c>
      <c r="M352" s="1246">
        <v>43281</v>
      </c>
      <c r="N352" s="1246"/>
      <c r="O352" s="1246"/>
      <c r="P352" s="1246"/>
      <c r="Q352" s="1246"/>
      <c r="R352" s="1246"/>
      <c r="S352" s="1246"/>
      <c r="T352" s="1246"/>
      <c r="U352" s="1246"/>
      <c r="V352" s="1246"/>
      <c r="W352" s="1246"/>
      <c r="X352" s="1246"/>
      <c r="Y352" s="1246"/>
      <c r="Z352" s="1246"/>
      <c r="AA352" s="1246"/>
      <c r="AB352" s="1246"/>
      <c r="AC352" s="1246"/>
      <c r="AD352" s="1246"/>
      <c r="AE352" s="1246"/>
      <c r="AF352" s="641">
        <v>141.367130902778</v>
      </c>
      <c r="AG352" s="187" t="s">
        <v>745</v>
      </c>
      <c r="AH352" s="1471">
        <v>2765000</v>
      </c>
      <c r="AI352" s="1471">
        <v>150000</v>
      </c>
      <c r="AJ352" s="1321">
        <v>17000</v>
      </c>
      <c r="AK352" s="1468"/>
      <c r="AL352" s="1321"/>
      <c r="AM352" s="1321"/>
      <c r="AN352" s="1321"/>
      <c r="AO352" s="1321"/>
      <c r="AP352" s="1321"/>
      <c r="AQ352" s="1321" t="s">
        <v>112</v>
      </c>
      <c r="AR352" s="1321" t="s">
        <v>48</v>
      </c>
      <c r="AS352" s="1321" t="s">
        <v>49</v>
      </c>
      <c r="AT352" s="1269"/>
      <c r="AU352" s="1269" t="s">
        <v>3200</v>
      </c>
      <c r="AV352" s="1095" t="s">
        <v>3201</v>
      </c>
      <c r="AW352" s="1095" t="s">
        <v>3202</v>
      </c>
      <c r="AX352" s="1545" t="s">
        <v>3203</v>
      </c>
      <c r="AY352" s="1095"/>
      <c r="AZ352" s="1095"/>
      <c r="BA352" s="1095"/>
      <c r="BB352" s="229" t="s">
        <v>3204</v>
      </c>
      <c r="BC352" s="1246" t="s">
        <v>3157</v>
      </c>
      <c r="BD352" s="1324">
        <v>43281</v>
      </c>
      <c r="BE352" s="1022" t="s">
        <v>3158</v>
      </c>
    </row>
    <row r="353" ht="14.1" customHeight="1" spans="2:57">
      <c r="B353" s="1532" t="s">
        <v>916</v>
      </c>
      <c r="C353" s="32" t="s">
        <v>3205</v>
      </c>
      <c r="D353" s="1316" t="s">
        <v>3206</v>
      </c>
      <c r="E353" s="979" t="s">
        <v>3207</v>
      </c>
      <c r="F353" s="1044" t="s">
        <v>43</v>
      </c>
      <c r="G353" s="1044" t="s">
        <v>60</v>
      </c>
      <c r="H353" s="1269" t="s">
        <v>757</v>
      </c>
      <c r="I353" s="1269" t="s">
        <v>428</v>
      </c>
      <c r="J353" s="1269" t="s">
        <v>208</v>
      </c>
      <c r="K353" s="1246">
        <v>43032</v>
      </c>
      <c r="L353" s="1246">
        <v>43100</v>
      </c>
      <c r="M353" s="1246">
        <v>43281</v>
      </c>
      <c r="N353" s="1246"/>
      <c r="O353" s="1246"/>
      <c r="P353" s="1246"/>
      <c r="Q353" s="1246"/>
      <c r="R353" s="1246"/>
      <c r="S353" s="1246"/>
      <c r="T353" s="1246"/>
      <c r="U353" s="1246"/>
      <c r="V353" s="1246"/>
      <c r="W353" s="1246"/>
      <c r="X353" s="1246"/>
      <c r="Y353" s="1246"/>
      <c r="Z353" s="1246"/>
      <c r="AA353" s="1246"/>
      <c r="AB353" s="1246"/>
      <c r="AC353" s="1246"/>
      <c r="AD353" s="1246"/>
      <c r="AE353" s="1246"/>
      <c r="AF353" s="641">
        <v>141.367130902778</v>
      </c>
      <c r="AG353" s="187" t="s">
        <v>745</v>
      </c>
      <c r="AH353" s="1471">
        <v>4200000</v>
      </c>
      <c r="AI353" s="1471">
        <v>250000</v>
      </c>
      <c r="AJ353" s="1321">
        <v>20000</v>
      </c>
      <c r="AK353" s="1274"/>
      <c r="AL353" s="1321"/>
      <c r="AM353" s="1321"/>
      <c r="AN353" s="1321"/>
      <c r="AO353" s="1321"/>
      <c r="AP353" s="1321"/>
      <c r="AQ353" s="1321" t="s">
        <v>0</v>
      </c>
      <c r="AR353" s="1321" t="s">
        <v>48</v>
      </c>
      <c r="AS353" s="1321" t="s">
        <v>49</v>
      </c>
      <c r="AT353" s="1269"/>
      <c r="AU353" s="1269" t="s">
        <v>3208</v>
      </c>
      <c r="AV353" s="1095" t="s">
        <v>3209</v>
      </c>
      <c r="AW353" s="1095" t="s">
        <v>3210</v>
      </c>
      <c r="AX353" s="1545" t="s">
        <v>3211</v>
      </c>
      <c r="AY353" s="1095"/>
      <c r="AZ353" s="1095"/>
      <c r="BA353" s="1095" t="s">
        <v>3212</v>
      </c>
      <c r="BB353" s="229" t="s">
        <v>3213</v>
      </c>
      <c r="BC353" s="1246" t="s">
        <v>3157</v>
      </c>
      <c r="BD353" s="1324">
        <v>43281</v>
      </c>
      <c r="BE353" s="1022" t="s">
        <v>3158</v>
      </c>
    </row>
    <row r="354" ht="14.1" customHeight="1" spans="2:57">
      <c r="B354" s="1540" t="s">
        <v>3214</v>
      </c>
      <c r="C354" s="32" t="s">
        <v>3215</v>
      </c>
      <c r="D354" s="1316" t="s">
        <v>3216</v>
      </c>
      <c r="E354" s="979" t="s">
        <v>3217</v>
      </c>
      <c r="F354" s="1044" t="s">
        <v>43</v>
      </c>
      <c r="G354" s="1044" t="s">
        <v>60</v>
      </c>
      <c r="H354" s="1269" t="s">
        <v>757</v>
      </c>
      <c r="I354" s="32" t="s">
        <v>770</v>
      </c>
      <c r="J354" s="1269" t="s">
        <v>1069</v>
      </c>
      <c r="K354" s="1246">
        <v>43022</v>
      </c>
      <c r="L354" s="1246">
        <v>43190</v>
      </c>
      <c r="M354" s="1246">
        <v>43281</v>
      </c>
      <c r="N354" s="1246"/>
      <c r="O354" s="1246"/>
      <c r="P354" s="1246"/>
      <c r="Q354" s="1246"/>
      <c r="R354" s="1246"/>
      <c r="S354" s="1246"/>
      <c r="T354" s="1246"/>
      <c r="U354" s="1246"/>
      <c r="V354" s="1246"/>
      <c r="W354" s="1246"/>
      <c r="X354" s="1246"/>
      <c r="Y354" s="1246"/>
      <c r="Z354" s="1246"/>
      <c r="AA354" s="1246"/>
      <c r="AB354" s="1246"/>
      <c r="AC354" s="1246"/>
      <c r="AD354" s="1246"/>
      <c r="AE354" s="1246"/>
      <c r="AF354" s="641">
        <v>50.3671309027777</v>
      </c>
      <c r="AG354" s="187" t="s">
        <v>745</v>
      </c>
      <c r="AH354" s="1471">
        <v>5500000</v>
      </c>
      <c r="AI354" s="1471">
        <v>750000</v>
      </c>
      <c r="AJ354" s="1468"/>
      <c r="AK354" s="1468"/>
      <c r="AL354" s="1468">
        <v>1000000</v>
      </c>
      <c r="AM354" s="1321">
        <v>500000</v>
      </c>
      <c r="AN354" s="1468"/>
      <c r="AO354" s="1468">
        <v>1250000</v>
      </c>
      <c r="AP354" s="1473"/>
      <c r="AQ354" s="1321" t="s">
        <v>0</v>
      </c>
      <c r="AR354" s="1321" t="s">
        <v>48</v>
      </c>
      <c r="AS354" s="1321" t="s">
        <v>49</v>
      </c>
      <c r="AT354" s="1269"/>
      <c r="AU354" s="1269" t="s">
        <v>3218</v>
      </c>
      <c r="AV354" s="1095" t="s">
        <v>3219</v>
      </c>
      <c r="AW354" s="1095" t="s">
        <v>3220</v>
      </c>
      <c r="AX354" s="1545" t="s">
        <v>3221</v>
      </c>
      <c r="AY354" s="1095" t="s">
        <v>3222</v>
      </c>
      <c r="AZ354" s="1095" t="s">
        <v>3223</v>
      </c>
      <c r="BA354" s="1095" t="s">
        <v>3224</v>
      </c>
      <c r="BB354" s="1126" t="s">
        <v>3225</v>
      </c>
      <c r="BC354" s="1246" t="s">
        <v>3157</v>
      </c>
      <c r="BD354" s="1324">
        <v>43281</v>
      </c>
      <c r="BE354" s="1022" t="s">
        <v>3158</v>
      </c>
    </row>
    <row r="355" ht="14.1" customHeight="1" spans="2:57">
      <c r="B355" s="1540" t="s">
        <v>1077</v>
      </c>
      <c r="C355" s="32" t="s">
        <v>3226</v>
      </c>
      <c r="D355" s="1316" t="s">
        <v>3227</v>
      </c>
      <c r="E355" s="979" t="s">
        <v>3228</v>
      </c>
      <c r="F355" s="1269" t="s">
        <v>43</v>
      </c>
      <c r="G355" s="1317" t="s">
        <v>254</v>
      </c>
      <c r="H355" s="1269" t="s">
        <v>757</v>
      </c>
      <c r="I355" s="32" t="s">
        <v>770</v>
      </c>
      <c r="J355" s="1269" t="s">
        <v>3108</v>
      </c>
      <c r="K355" s="1246">
        <v>43050</v>
      </c>
      <c r="L355" s="1246">
        <v>43131</v>
      </c>
      <c r="M355" s="1246">
        <v>43281</v>
      </c>
      <c r="N355" s="1246"/>
      <c r="O355" s="1246"/>
      <c r="P355" s="1246"/>
      <c r="Q355" s="1246"/>
      <c r="R355" s="1246"/>
      <c r="S355" s="1246"/>
      <c r="T355" s="1246"/>
      <c r="U355" s="1246"/>
      <c r="V355" s="1246"/>
      <c r="W355" s="1246"/>
      <c r="X355" s="1246"/>
      <c r="Y355" s="1246"/>
      <c r="Z355" s="1246"/>
      <c r="AA355" s="1246"/>
      <c r="AB355" s="1246"/>
      <c r="AC355" s="1246"/>
      <c r="AD355" s="1246"/>
      <c r="AE355" s="1246"/>
      <c r="AF355" s="641">
        <v>141.367130902778</v>
      </c>
      <c r="AG355" s="187" t="s">
        <v>745</v>
      </c>
      <c r="AH355" s="1471">
        <v>2765000</v>
      </c>
      <c r="AI355" s="1471">
        <v>150000</v>
      </c>
      <c r="AJ355" s="1468">
        <v>17000</v>
      </c>
      <c r="AK355" s="1468"/>
      <c r="AL355" s="1468"/>
      <c r="AM355" s="1321"/>
      <c r="AN355" s="1468"/>
      <c r="AO355" s="1321"/>
      <c r="AP355" s="1473"/>
      <c r="AQ355" s="1321" t="s">
        <v>0</v>
      </c>
      <c r="AR355" s="1321" t="s">
        <v>48</v>
      </c>
      <c r="AS355" s="1321" t="s">
        <v>49</v>
      </c>
      <c r="AT355" s="1269"/>
      <c r="AU355" s="1269" t="s">
        <v>3229</v>
      </c>
      <c r="AV355" s="1544" t="s">
        <v>3230</v>
      </c>
      <c r="AW355" s="1279" t="s">
        <v>3231</v>
      </c>
      <c r="AX355" s="1544" t="s">
        <v>3232</v>
      </c>
      <c r="AY355" s="1279"/>
      <c r="AZ355" s="1279"/>
      <c r="BA355" s="1279"/>
      <c r="BB355" s="1280" t="s">
        <v>3233</v>
      </c>
      <c r="BC355" s="1246" t="s">
        <v>3234</v>
      </c>
      <c r="BD355" s="1324">
        <v>43281</v>
      </c>
      <c r="BE355" s="1022" t="s">
        <v>3158</v>
      </c>
    </row>
    <row r="356" ht="14.1" customHeight="1" spans="2:57">
      <c r="B356" s="1532" t="s">
        <v>1086</v>
      </c>
      <c r="C356" s="32" t="s">
        <v>3235</v>
      </c>
      <c r="D356" s="1316" t="s">
        <v>1547</v>
      </c>
      <c r="E356" s="979" t="s">
        <v>3236</v>
      </c>
      <c r="F356" s="1269" t="s">
        <v>43</v>
      </c>
      <c r="G356" s="1317" t="s">
        <v>404</v>
      </c>
      <c r="H356" s="1269" t="s">
        <v>757</v>
      </c>
      <c r="I356" s="32" t="s">
        <v>770</v>
      </c>
      <c r="J356" s="1269" t="s">
        <v>1550</v>
      </c>
      <c r="K356" s="1246">
        <v>43050</v>
      </c>
      <c r="L356" s="1246">
        <v>43131</v>
      </c>
      <c r="M356" s="1246">
        <v>43281</v>
      </c>
      <c r="N356" s="1246"/>
      <c r="O356" s="1246"/>
      <c r="P356" s="1246"/>
      <c r="Q356" s="1246"/>
      <c r="R356" s="1246"/>
      <c r="S356" s="1246"/>
      <c r="T356" s="1246"/>
      <c r="U356" s="1246"/>
      <c r="V356" s="1246"/>
      <c r="W356" s="1246"/>
      <c r="X356" s="1246"/>
      <c r="Y356" s="1246"/>
      <c r="Z356" s="1246"/>
      <c r="AA356" s="1246"/>
      <c r="AB356" s="1246"/>
      <c r="AC356" s="1246"/>
      <c r="AD356" s="1246"/>
      <c r="AE356" s="1246"/>
      <c r="AF356" s="641">
        <v>141.367130902778</v>
      </c>
      <c r="AG356" s="187" t="s">
        <v>745</v>
      </c>
      <c r="AH356" s="1471">
        <v>3000000</v>
      </c>
      <c r="AI356" s="1471">
        <v>200000</v>
      </c>
      <c r="AJ356" s="1468">
        <v>17000</v>
      </c>
      <c r="AK356" s="1468">
        <v>30000</v>
      </c>
      <c r="AL356" s="1468"/>
      <c r="AM356" s="1321"/>
      <c r="AN356" s="1468"/>
      <c r="AO356" s="1321"/>
      <c r="AP356" s="1473"/>
      <c r="AQ356" s="1321" t="s">
        <v>0</v>
      </c>
      <c r="AR356" s="1321" t="s">
        <v>48</v>
      </c>
      <c r="AS356" s="1321" t="s">
        <v>49</v>
      </c>
      <c r="AT356" s="1269"/>
      <c r="AU356" s="1269" t="s">
        <v>1551</v>
      </c>
      <c r="AV356" s="1544" t="s">
        <v>3237</v>
      </c>
      <c r="AW356" s="1279" t="s">
        <v>1553</v>
      </c>
      <c r="AX356" s="1279" t="s">
        <v>1554</v>
      </c>
      <c r="AY356" s="1279"/>
      <c r="AZ356" s="1279"/>
      <c r="BA356" s="1279"/>
      <c r="BB356" s="1280" t="s">
        <v>3238</v>
      </c>
      <c r="BC356" s="1246" t="s">
        <v>3234</v>
      </c>
      <c r="BD356" s="1324">
        <v>43281</v>
      </c>
      <c r="BE356" s="1022" t="s">
        <v>3158</v>
      </c>
    </row>
    <row r="357" ht="14.1" customHeight="1" spans="2:57">
      <c r="B357" s="1540" t="s">
        <v>39</v>
      </c>
      <c r="C357" s="32" t="s">
        <v>3239</v>
      </c>
      <c r="D357" s="1316" t="s">
        <v>3240</v>
      </c>
      <c r="E357" s="979" t="s">
        <v>3241</v>
      </c>
      <c r="F357" s="1269" t="s">
        <v>43</v>
      </c>
      <c r="G357" s="1317" t="s">
        <v>44</v>
      </c>
      <c r="H357" s="1269" t="s">
        <v>45</v>
      </c>
      <c r="I357" s="1269" t="s">
        <v>46</v>
      </c>
      <c r="J357" s="1269" t="s">
        <v>3242</v>
      </c>
      <c r="K357" s="1246">
        <v>42114</v>
      </c>
      <c r="L357" s="1246">
        <v>42490</v>
      </c>
      <c r="M357" s="1246">
        <v>42674</v>
      </c>
      <c r="N357" s="1246">
        <v>42735</v>
      </c>
      <c r="O357" s="1246">
        <v>42825</v>
      </c>
      <c r="P357" s="1246">
        <v>42844</v>
      </c>
      <c r="Q357" s="1246"/>
      <c r="R357" s="1246"/>
      <c r="S357" s="1246"/>
      <c r="T357" s="1246"/>
      <c r="U357" s="1246"/>
      <c r="V357" s="1246">
        <v>42845</v>
      </c>
      <c r="W357" s="1246">
        <v>42947</v>
      </c>
      <c r="X357" s="1246">
        <v>43008</v>
      </c>
      <c r="Y357" s="1246">
        <v>43100</v>
      </c>
      <c r="Z357" s="1246">
        <v>43131</v>
      </c>
      <c r="AA357" s="1246"/>
      <c r="AB357" s="1246"/>
      <c r="AC357" s="1246"/>
      <c r="AD357" s="1246"/>
      <c r="AE357" s="1246"/>
      <c r="AF357" s="641">
        <v>-8.63357974537212</v>
      </c>
      <c r="AG357" s="187" t="s">
        <v>2569</v>
      </c>
      <c r="AH357" s="1320">
        <v>3200000</v>
      </c>
      <c r="AI357" s="1320">
        <v>200000</v>
      </c>
      <c r="AJ357" s="1321">
        <v>17000</v>
      </c>
      <c r="AK357" s="1321"/>
      <c r="AL357" s="1321"/>
      <c r="AM357" s="1321">
        <v>500000</v>
      </c>
      <c r="AN357" s="1321"/>
      <c r="AO357" s="1321"/>
      <c r="AP357" s="1321">
        <v>300000</v>
      </c>
      <c r="AQ357" s="1321" t="s">
        <v>0</v>
      </c>
      <c r="AR357" s="1321" t="s">
        <v>48</v>
      </c>
      <c r="AS357" s="1321" t="s">
        <v>49</v>
      </c>
      <c r="AT357" s="1269" t="s">
        <v>3243</v>
      </c>
      <c r="AU357" s="1269" t="s">
        <v>3244</v>
      </c>
      <c r="AV357" s="1544" t="s">
        <v>3245</v>
      </c>
      <c r="AW357" s="1279" t="s">
        <v>3246</v>
      </c>
      <c r="AX357" s="1279" t="s">
        <v>3247</v>
      </c>
      <c r="AY357" s="1279" t="s">
        <v>3248</v>
      </c>
      <c r="AZ357" s="1279"/>
      <c r="BA357" s="1279" t="s">
        <v>3249</v>
      </c>
      <c r="BB357" s="1279" t="s">
        <v>3250</v>
      </c>
      <c r="BC357" s="1511" t="s">
        <v>3251</v>
      </c>
      <c r="BD357" s="1324">
        <v>43131</v>
      </c>
      <c r="BE357" s="1314"/>
    </row>
    <row r="358" ht="14.1" customHeight="1" spans="2:57">
      <c r="B358" s="1532" t="s">
        <v>261</v>
      </c>
      <c r="C358" s="32" t="s">
        <v>3252</v>
      </c>
      <c r="D358" s="1316" t="s">
        <v>3253</v>
      </c>
      <c r="E358" s="979" t="s">
        <v>3254</v>
      </c>
      <c r="F358" s="1269" t="s">
        <v>43</v>
      </c>
      <c r="G358" s="1317" t="s">
        <v>44</v>
      </c>
      <c r="H358" s="1269" t="s">
        <v>45</v>
      </c>
      <c r="I358" s="1269" t="s">
        <v>46</v>
      </c>
      <c r="J358" s="1269" t="s">
        <v>185</v>
      </c>
      <c r="K358" s="1246">
        <v>42277</v>
      </c>
      <c r="L358" s="1246">
        <v>42367</v>
      </c>
      <c r="M358" s="1246">
        <v>42429</v>
      </c>
      <c r="N358" s="1246">
        <v>42490</v>
      </c>
      <c r="O358" s="1246">
        <v>42582</v>
      </c>
      <c r="P358" s="1246">
        <v>42674</v>
      </c>
      <c r="Q358" s="1246">
        <v>42735</v>
      </c>
      <c r="R358" s="1246">
        <v>42825</v>
      </c>
      <c r="S358" s="1246">
        <v>42886</v>
      </c>
      <c r="T358" s="1246">
        <v>43007</v>
      </c>
      <c r="U358" s="1246"/>
      <c r="V358" s="1246">
        <v>43008</v>
      </c>
      <c r="W358" s="1246">
        <v>43039</v>
      </c>
      <c r="X358" s="1246">
        <v>43100</v>
      </c>
      <c r="Y358" s="1246">
        <v>43281</v>
      </c>
      <c r="Z358" s="1246"/>
      <c r="AA358" s="1246"/>
      <c r="AB358" s="1246"/>
      <c r="AC358" s="1246"/>
      <c r="AD358" s="1246"/>
      <c r="AE358" s="1246"/>
      <c r="AF358" s="641">
        <v>141.366420254628</v>
      </c>
      <c r="AG358" s="187" t="s">
        <v>745</v>
      </c>
      <c r="AH358" s="1320">
        <v>2780000</v>
      </c>
      <c r="AI358" s="1320">
        <v>150000</v>
      </c>
      <c r="AJ358" s="1321">
        <v>17000</v>
      </c>
      <c r="AK358" s="1321"/>
      <c r="AL358" s="1321"/>
      <c r="AM358" s="1321"/>
      <c r="AN358" s="1321"/>
      <c r="AO358" s="1321"/>
      <c r="AP358" s="1321"/>
      <c r="AQ358" s="1321" t="s">
        <v>112</v>
      </c>
      <c r="AR358" s="1321" t="s">
        <v>113</v>
      </c>
      <c r="AS358" s="1321" t="s">
        <v>49</v>
      </c>
      <c r="AT358" s="1269" t="s">
        <v>151</v>
      </c>
      <c r="AU358" s="1269" t="s">
        <v>3255</v>
      </c>
      <c r="AV358" s="1544" t="s">
        <v>3256</v>
      </c>
      <c r="AW358" s="1279" t="s">
        <v>3257</v>
      </c>
      <c r="AX358" s="1279" t="s">
        <v>3258</v>
      </c>
      <c r="AY358" s="1279" t="s">
        <v>3259</v>
      </c>
      <c r="AZ358" s="1279">
        <v>0</v>
      </c>
      <c r="BA358" s="1279" t="s">
        <v>3260</v>
      </c>
      <c r="BB358" s="1279" t="s">
        <v>3261</v>
      </c>
      <c r="BC358" s="1246" t="s">
        <v>3262</v>
      </c>
      <c r="BD358" s="1324">
        <v>43281</v>
      </c>
      <c r="BE358" s="1314"/>
    </row>
    <row r="359" ht="14.1" customHeight="1" spans="2:57">
      <c r="B359" s="1532" t="s">
        <v>514</v>
      </c>
      <c r="C359" s="32" t="s">
        <v>3263</v>
      </c>
      <c r="D359" s="1316" t="s">
        <v>3264</v>
      </c>
      <c r="E359" s="979" t="s">
        <v>3265</v>
      </c>
      <c r="F359" s="1269" t="s">
        <v>43</v>
      </c>
      <c r="G359" s="1317" t="s">
        <v>60</v>
      </c>
      <c r="H359" s="1269" t="s">
        <v>361</v>
      </c>
      <c r="I359" s="1269" t="s">
        <v>428</v>
      </c>
      <c r="J359" s="1269" t="s">
        <v>208</v>
      </c>
      <c r="K359" s="1246">
        <v>42699</v>
      </c>
      <c r="L359" s="1246">
        <v>42794</v>
      </c>
      <c r="M359" s="1246">
        <v>42855</v>
      </c>
      <c r="N359" s="1246">
        <v>43100</v>
      </c>
      <c r="O359" s="1246">
        <v>43281</v>
      </c>
      <c r="P359" s="1246"/>
      <c r="Q359" s="1246"/>
      <c r="R359" s="1246"/>
      <c r="S359" s="1246"/>
      <c r="T359" s="1246"/>
      <c r="U359" s="1246"/>
      <c r="V359" s="1246"/>
      <c r="W359" s="1246"/>
      <c r="X359" s="1246"/>
      <c r="Y359" s="1246"/>
      <c r="Z359" s="1246"/>
      <c r="AA359" s="1246"/>
      <c r="AB359" s="1246"/>
      <c r="AC359" s="1246"/>
      <c r="AD359" s="1246"/>
      <c r="AE359" s="1246"/>
      <c r="AF359" s="641">
        <v>141.366420254628</v>
      </c>
      <c r="AG359" s="187" t="s">
        <v>745</v>
      </c>
      <c r="AH359" s="1320">
        <v>4200000</v>
      </c>
      <c r="AI359" s="1320">
        <v>250000</v>
      </c>
      <c r="AJ359" s="1321">
        <v>20000</v>
      </c>
      <c r="AK359" s="1321">
        <v>30000</v>
      </c>
      <c r="AL359" s="1321"/>
      <c r="AM359" s="1321">
        <v>500000</v>
      </c>
      <c r="AN359" s="1321"/>
      <c r="AO359" s="1321"/>
      <c r="AP359" s="1321"/>
      <c r="AQ359" s="1321" t="s">
        <v>112</v>
      </c>
      <c r="AR359" s="1321" t="s">
        <v>48</v>
      </c>
      <c r="AS359" s="1321" t="s">
        <v>49</v>
      </c>
      <c r="AT359" s="1269" t="s">
        <v>3266</v>
      </c>
      <c r="AU359" s="1269" t="s">
        <v>3267</v>
      </c>
      <c r="AV359" s="1544" t="s">
        <v>3268</v>
      </c>
      <c r="AW359" s="1279" t="s">
        <v>3269</v>
      </c>
      <c r="AX359" s="1279" t="s">
        <v>3270</v>
      </c>
      <c r="AY359" s="1279" t="s">
        <v>3271</v>
      </c>
      <c r="AZ359" s="1279">
        <v>0</v>
      </c>
      <c r="BA359" s="1279" t="s">
        <v>3272</v>
      </c>
      <c r="BB359" s="1279" t="s">
        <v>3273</v>
      </c>
      <c r="BC359" s="1246" t="s">
        <v>3274</v>
      </c>
      <c r="BD359" s="1324">
        <v>43281</v>
      </c>
      <c r="BE359" s="1314"/>
    </row>
    <row r="360" ht="14.1" customHeight="1" spans="2:57">
      <c r="B360" s="1540" t="s">
        <v>790</v>
      </c>
      <c r="C360" s="1483" t="s">
        <v>3275</v>
      </c>
      <c r="D360" s="1268" t="s">
        <v>3276</v>
      </c>
      <c r="E360" s="979" t="s">
        <v>3277</v>
      </c>
      <c r="F360" s="1269" t="s">
        <v>43</v>
      </c>
      <c r="G360" s="1317" t="s">
        <v>254</v>
      </c>
      <c r="H360" s="1269" t="s">
        <v>3278</v>
      </c>
      <c r="I360" s="1269" t="s">
        <v>428</v>
      </c>
      <c r="J360" s="1269" t="s">
        <v>1069</v>
      </c>
      <c r="K360" s="1270">
        <v>42968</v>
      </c>
      <c r="L360" s="1270">
        <v>43100</v>
      </c>
      <c r="M360" s="1246">
        <v>43131</v>
      </c>
      <c r="N360" s="1270"/>
      <c r="O360" s="934"/>
      <c r="P360" s="934"/>
      <c r="Q360" s="934"/>
      <c r="R360" s="1270"/>
      <c r="S360" s="934"/>
      <c r="T360" s="1270"/>
      <c r="U360" s="934"/>
      <c r="V360" s="1270"/>
      <c r="W360" s="1270"/>
      <c r="X360" s="953"/>
      <c r="Y360" s="1496"/>
      <c r="Z360" s="1496"/>
      <c r="AA360" s="1496"/>
      <c r="AB360" s="1496"/>
      <c r="AC360" s="1496"/>
      <c r="AD360" s="1496"/>
      <c r="AE360" s="1496"/>
      <c r="AF360" s="641">
        <v>-8.63357974537212</v>
      </c>
      <c r="AG360" s="187" t="s">
        <v>2569</v>
      </c>
      <c r="AH360" s="1274">
        <v>6000000</v>
      </c>
      <c r="AI360" s="1274">
        <v>750000</v>
      </c>
      <c r="AJ360" s="1274"/>
      <c r="AK360" s="1274"/>
      <c r="AL360" s="1274">
        <v>1000000</v>
      </c>
      <c r="AM360" s="1274">
        <v>500000</v>
      </c>
      <c r="AN360" s="1274"/>
      <c r="AO360" s="1274">
        <v>1250000</v>
      </c>
      <c r="AP360" s="1274"/>
      <c r="AQ360" s="1321" t="s">
        <v>112</v>
      </c>
      <c r="AR360" s="1321" t="s">
        <v>48</v>
      </c>
      <c r="AS360" s="1321" t="s">
        <v>49</v>
      </c>
      <c r="AT360" s="1269"/>
      <c r="AU360" s="1269" t="s">
        <v>3279</v>
      </c>
      <c r="AV360" s="1269">
        <v>81350009899</v>
      </c>
      <c r="AW360" s="1269" t="s">
        <v>3280</v>
      </c>
      <c r="AX360" s="1279" t="s">
        <v>3281</v>
      </c>
      <c r="AY360" s="1279" t="s">
        <v>3282</v>
      </c>
      <c r="AZ360" s="1279" t="s">
        <v>3283</v>
      </c>
      <c r="BA360" s="1544" t="s">
        <v>3284</v>
      </c>
      <c r="BB360" s="1512" t="s">
        <v>3285</v>
      </c>
      <c r="BC360" s="1511" t="s">
        <v>3251</v>
      </c>
      <c r="BD360" s="1324">
        <v>43131</v>
      </c>
      <c r="BE360" s="1022"/>
    </row>
    <row r="361" ht="14.1" customHeight="1" spans="2:57">
      <c r="B361" s="1532" t="s">
        <v>988</v>
      </c>
      <c r="C361" s="32" t="s">
        <v>3286</v>
      </c>
      <c r="D361" s="1316" t="s">
        <v>3287</v>
      </c>
      <c r="E361" s="979" t="s">
        <v>3288</v>
      </c>
      <c r="F361" s="1269" t="s">
        <v>125</v>
      </c>
      <c r="G361" s="1317" t="s">
        <v>44</v>
      </c>
      <c r="H361" s="1269" t="s">
        <v>757</v>
      </c>
      <c r="I361" s="32" t="s">
        <v>770</v>
      </c>
      <c r="J361" s="1269" t="s">
        <v>781</v>
      </c>
      <c r="K361" s="1246">
        <v>43042</v>
      </c>
      <c r="L361" s="1246">
        <v>43131</v>
      </c>
      <c r="M361" s="1246">
        <v>43281</v>
      </c>
      <c r="N361" s="1246"/>
      <c r="O361" s="1246"/>
      <c r="P361" s="1246"/>
      <c r="Q361" s="1246"/>
      <c r="R361" s="1246"/>
      <c r="S361" s="1246"/>
      <c r="T361" s="1246"/>
      <c r="U361" s="1246"/>
      <c r="V361" s="1246"/>
      <c r="W361" s="1246"/>
      <c r="X361" s="1246"/>
      <c r="Y361" s="1246"/>
      <c r="Z361" s="1246"/>
      <c r="AA361" s="1246"/>
      <c r="AB361" s="1246"/>
      <c r="AC361" s="1246"/>
      <c r="AD361" s="1246"/>
      <c r="AE361" s="1246"/>
      <c r="AF361" s="641">
        <v>141.366420254628</v>
      </c>
      <c r="AG361" s="187" t="s">
        <v>745</v>
      </c>
      <c r="AH361" s="1471">
        <v>3100000</v>
      </c>
      <c r="AI361" s="1471">
        <v>100000</v>
      </c>
      <c r="AJ361" s="1468">
        <v>17000</v>
      </c>
      <c r="AK361" s="1468"/>
      <c r="AL361" s="1468"/>
      <c r="AM361" s="1321">
        <v>500000</v>
      </c>
      <c r="AN361" s="1468"/>
      <c r="AO361" s="1468"/>
      <c r="AP361" s="1473"/>
      <c r="AQ361" s="1321" t="s">
        <v>0</v>
      </c>
      <c r="AR361" s="1321" t="s">
        <v>48</v>
      </c>
      <c r="AS361" s="1321" t="s">
        <v>49</v>
      </c>
      <c r="AT361" s="1269"/>
      <c r="AU361" s="1269" t="s">
        <v>3289</v>
      </c>
      <c r="AV361" s="1544" t="s">
        <v>3290</v>
      </c>
      <c r="AW361" s="1279" t="s">
        <v>3291</v>
      </c>
      <c r="AX361" s="1279" t="s">
        <v>3292</v>
      </c>
      <c r="AY361" s="1279" t="s">
        <v>3293</v>
      </c>
      <c r="AZ361" s="1279"/>
      <c r="BA361" s="1279" t="s">
        <v>3294</v>
      </c>
      <c r="BB361" s="1280" t="s">
        <v>3295</v>
      </c>
      <c r="BC361" s="1246" t="s">
        <v>3296</v>
      </c>
      <c r="BD361" s="1324">
        <v>43281</v>
      </c>
      <c r="BE361" s="1022" t="s">
        <v>3297</v>
      </c>
    </row>
    <row r="362" s="1400" customFormat="1" ht="13.5" customHeight="1" spans="2:57">
      <c r="B362" s="1546" t="s">
        <v>1006</v>
      </c>
      <c r="C362" s="1485" t="s">
        <v>3298</v>
      </c>
      <c r="D362" s="1486" t="s">
        <v>3299</v>
      </c>
      <c r="E362" s="1490" t="s">
        <v>3300</v>
      </c>
      <c r="F362" s="1484" t="s">
        <v>43</v>
      </c>
      <c r="G362" s="1491" t="s">
        <v>44</v>
      </c>
      <c r="H362" s="1484" t="s">
        <v>757</v>
      </c>
      <c r="I362" s="1485" t="s">
        <v>770</v>
      </c>
      <c r="J362" s="1484" t="s">
        <v>3301</v>
      </c>
      <c r="K362" s="1494">
        <v>43049</v>
      </c>
      <c r="L362" s="1494">
        <v>43131</v>
      </c>
      <c r="M362" s="1494">
        <v>43281</v>
      </c>
      <c r="N362" s="1494"/>
      <c r="O362" s="1494"/>
      <c r="P362" s="1494"/>
      <c r="Q362" s="1494"/>
      <c r="R362" s="1494"/>
      <c r="S362" s="1494"/>
      <c r="T362" s="1494"/>
      <c r="U362" s="1494"/>
      <c r="V362" s="1494"/>
      <c r="W362" s="1494"/>
      <c r="X362" s="1494"/>
      <c r="Y362" s="1494"/>
      <c r="Z362" s="1494"/>
      <c r="AA362" s="1494"/>
      <c r="AB362" s="1494"/>
      <c r="AC362" s="1494"/>
      <c r="AD362" s="1494"/>
      <c r="AE362" s="1494"/>
      <c r="AF362" s="1497">
        <v>141.366420254628</v>
      </c>
      <c r="AG362" s="1499" t="s">
        <v>745</v>
      </c>
      <c r="AH362" s="1500">
        <v>3000000</v>
      </c>
      <c r="AI362" s="1500">
        <v>150000</v>
      </c>
      <c r="AJ362" s="1501">
        <v>17000</v>
      </c>
      <c r="AK362" s="1501">
        <v>30000</v>
      </c>
      <c r="AL362" s="1501"/>
      <c r="AM362" s="1501"/>
      <c r="AN362" s="1501"/>
      <c r="AO362" s="1501"/>
      <c r="AP362" s="1503"/>
      <c r="AQ362" s="1504" t="s">
        <v>0</v>
      </c>
      <c r="AR362" s="1504" t="s">
        <v>48</v>
      </c>
      <c r="AS362" s="1504" t="s">
        <v>49</v>
      </c>
      <c r="AT362" s="1484"/>
      <c r="AU362" s="1484" t="s">
        <v>3302</v>
      </c>
      <c r="AV362" s="1547" t="s">
        <v>3303</v>
      </c>
      <c r="AW362" s="1506" t="s">
        <v>3304</v>
      </c>
      <c r="AX362" s="1506" t="s">
        <v>3305</v>
      </c>
      <c r="AY362" s="1506"/>
      <c r="AZ362" s="1506"/>
      <c r="BA362" s="1506"/>
      <c r="BB362" s="1513" t="s">
        <v>3306</v>
      </c>
      <c r="BC362" s="1494" t="s">
        <v>3251</v>
      </c>
      <c r="BD362" s="1514">
        <v>43281</v>
      </c>
      <c r="BE362" s="1515" t="s">
        <v>3158</v>
      </c>
    </row>
    <row r="363" ht="14.1" customHeight="1" spans="2:56">
      <c r="B363" s="1548" t="s">
        <v>1044</v>
      </c>
      <c r="C363" s="1487" t="s">
        <v>3307</v>
      </c>
      <c r="D363" s="1487" t="s">
        <v>3308</v>
      </c>
      <c r="E363" s="1492" t="s">
        <v>3309</v>
      </c>
      <c r="F363" s="1493" t="s">
        <v>43</v>
      </c>
      <c r="G363" s="1493" t="s">
        <v>404</v>
      </c>
      <c r="H363" s="918" t="s">
        <v>920</v>
      </c>
      <c r="I363" s="918" t="s">
        <v>428</v>
      </c>
      <c r="J363" s="918" t="s">
        <v>208</v>
      </c>
      <c r="K363" s="1246">
        <v>43083</v>
      </c>
      <c r="L363" s="1246">
        <v>43190</v>
      </c>
      <c r="M363" s="989"/>
      <c r="N363" s="989"/>
      <c r="O363" s="989"/>
      <c r="P363" s="989"/>
      <c r="Q363" s="989"/>
      <c r="R363" s="1246"/>
      <c r="S363" s="1246"/>
      <c r="T363" s="1246"/>
      <c r="U363" s="1246"/>
      <c r="V363" s="989"/>
      <c r="W363" s="989"/>
      <c r="X363" s="989"/>
      <c r="Y363" s="989"/>
      <c r="Z363" s="1246"/>
      <c r="AA363" s="1246"/>
      <c r="AB363" s="989"/>
      <c r="AC363" s="989"/>
      <c r="AD363" s="989"/>
      <c r="AE363" s="989"/>
      <c r="AF363" s="1498">
        <f ca="1">SUM(L363-NOW())</f>
        <v>-82.38453703704</v>
      </c>
      <c r="AG363" s="590" t="str">
        <f ca="1">IF(AF363&lt;=40,"WARNING","ACTIVE")</f>
        <v>WARNING</v>
      </c>
      <c r="AH363" s="1502">
        <v>3700000</v>
      </c>
      <c r="AI363" s="1502">
        <v>250000</v>
      </c>
      <c r="AJ363" s="1502">
        <v>20000</v>
      </c>
      <c r="AK363" s="1468"/>
      <c r="AL363" s="1468"/>
      <c r="AM363" s="1468">
        <v>500000</v>
      </c>
      <c r="AN363" s="1321"/>
      <c r="AO363" s="1468"/>
      <c r="AP363" s="1321"/>
      <c r="AQ363" s="1473" t="s">
        <v>0</v>
      </c>
      <c r="AR363" s="1505" t="s">
        <v>48</v>
      </c>
      <c r="AS363" s="1505" t="s">
        <v>49</v>
      </c>
      <c r="AT363" s="918"/>
      <c r="AU363" s="1507" t="s">
        <v>3310</v>
      </c>
      <c r="AV363" s="1549" t="s">
        <v>3311</v>
      </c>
      <c r="AW363" s="1509" t="s">
        <v>3312</v>
      </c>
      <c r="AX363" s="1550" t="s">
        <v>3313</v>
      </c>
      <c r="AY363" s="1510"/>
      <c r="AZ363" s="1510"/>
      <c r="BA363" s="1510"/>
      <c r="BB363" s="1508" t="s">
        <v>3314</v>
      </c>
      <c r="BC363" s="1487" t="s">
        <v>3315</v>
      </c>
      <c r="BD363" s="1324" t="s">
        <v>3316</v>
      </c>
    </row>
    <row r="364" ht="14.1" customHeight="1" spans="2:56">
      <c r="B364" s="1540" t="s">
        <v>598</v>
      </c>
      <c r="C364" s="32" t="s">
        <v>3317</v>
      </c>
      <c r="D364" s="1316" t="s">
        <v>3318</v>
      </c>
      <c r="E364" s="979" t="s">
        <v>3319</v>
      </c>
      <c r="F364" s="1269" t="s">
        <v>43</v>
      </c>
      <c r="G364" s="1317" t="s">
        <v>44</v>
      </c>
      <c r="H364" s="1269" t="s">
        <v>361</v>
      </c>
      <c r="I364" s="1269" t="s">
        <v>428</v>
      </c>
      <c r="J364" s="1269" t="s">
        <v>185</v>
      </c>
      <c r="K364" s="1246">
        <v>42751</v>
      </c>
      <c r="L364" s="1246">
        <v>42825</v>
      </c>
      <c r="M364" s="1246">
        <v>42886</v>
      </c>
      <c r="N364" s="1246">
        <v>43039</v>
      </c>
      <c r="O364" s="1246">
        <v>43100</v>
      </c>
      <c r="P364" s="1246">
        <v>43281</v>
      </c>
      <c r="Q364" s="1246" t="s">
        <v>583</v>
      </c>
      <c r="R364" s="1246" t="s">
        <v>583</v>
      </c>
      <c r="S364" s="1246"/>
      <c r="T364" s="1246"/>
      <c r="U364" s="1246"/>
      <c r="V364" s="1246"/>
      <c r="W364" s="1246"/>
      <c r="X364" s="1246"/>
      <c r="Y364" s="1246"/>
      <c r="Z364" s="1246"/>
      <c r="AA364" s="1246"/>
      <c r="AB364" s="1246"/>
      <c r="AC364" s="1246"/>
      <c r="AD364" s="1246"/>
      <c r="AE364" s="1246"/>
      <c r="AF364" s="641">
        <v>115.303730092593</v>
      </c>
      <c r="AG364" s="187" t="s">
        <v>745</v>
      </c>
      <c r="AH364" s="1320">
        <v>2765000</v>
      </c>
      <c r="AI364" s="1320">
        <v>150000</v>
      </c>
      <c r="AJ364" s="1321">
        <v>17000</v>
      </c>
      <c r="AK364" s="1321"/>
      <c r="AL364" s="1321"/>
      <c r="AM364" s="1321" t="s">
        <v>583</v>
      </c>
      <c r="AN364" s="1321"/>
      <c r="AO364" s="1321"/>
      <c r="AP364" s="1321"/>
      <c r="AQ364" s="1321" t="s">
        <v>112</v>
      </c>
      <c r="AR364" s="1321" t="s">
        <v>48</v>
      </c>
      <c r="AS364" s="1321" t="s">
        <v>49</v>
      </c>
      <c r="AT364" s="1269"/>
      <c r="AU364" s="1269" t="s">
        <v>3320</v>
      </c>
      <c r="AV364" s="1544" t="s">
        <v>3321</v>
      </c>
      <c r="AW364" s="1279" t="s">
        <v>3322</v>
      </c>
      <c r="AX364" s="1279" t="s">
        <v>3323</v>
      </c>
      <c r="AY364" s="1279"/>
      <c r="AZ364" s="1279"/>
      <c r="BA364" s="1279"/>
      <c r="BB364" s="1279" t="s">
        <v>3324</v>
      </c>
      <c r="BC364" s="1246" t="s">
        <v>3325</v>
      </c>
      <c r="BD364" s="1324" t="s">
        <v>3326</v>
      </c>
    </row>
    <row r="365" ht="14.1" customHeight="1" spans="2:56">
      <c r="B365" s="1540" t="s">
        <v>651</v>
      </c>
      <c r="C365" s="32" t="s">
        <v>3327</v>
      </c>
      <c r="D365" s="1316" t="s">
        <v>3328</v>
      </c>
      <c r="E365" s="979">
        <v>31658</v>
      </c>
      <c r="F365" s="1269" t="s">
        <v>43</v>
      </c>
      <c r="G365" s="1317" t="s">
        <v>254</v>
      </c>
      <c r="H365" s="1269" t="s">
        <v>361</v>
      </c>
      <c r="I365" s="1269" t="s">
        <v>428</v>
      </c>
      <c r="J365" s="1269" t="s">
        <v>208</v>
      </c>
      <c r="K365" s="1246">
        <v>42723</v>
      </c>
      <c r="L365" s="1246">
        <v>42794</v>
      </c>
      <c r="M365" s="1246">
        <v>42886</v>
      </c>
      <c r="N365" s="1246">
        <v>43100</v>
      </c>
      <c r="O365" s="1246">
        <v>43281</v>
      </c>
      <c r="P365" s="1246"/>
      <c r="Q365" s="1246"/>
      <c r="R365" s="1246"/>
      <c r="S365" s="1246"/>
      <c r="T365" s="1246"/>
      <c r="U365" s="1246"/>
      <c r="V365" s="1246"/>
      <c r="W365" s="1246"/>
      <c r="X365" s="1246"/>
      <c r="Y365" s="1246"/>
      <c r="Z365" s="1246"/>
      <c r="AA365" s="1246"/>
      <c r="AB365" s="1246"/>
      <c r="AC365" s="1246"/>
      <c r="AD365" s="1246"/>
      <c r="AE365" s="1246"/>
      <c r="AF365" s="641">
        <v>115.303730092593</v>
      </c>
      <c r="AG365" s="187" t="s">
        <v>745</v>
      </c>
      <c r="AH365" s="1320">
        <v>4200000</v>
      </c>
      <c r="AI365" s="1320">
        <v>250000</v>
      </c>
      <c r="AJ365" s="1321">
        <v>20000</v>
      </c>
      <c r="AK365" s="1321"/>
      <c r="AL365" s="1321"/>
      <c r="AM365" s="1321">
        <v>500000</v>
      </c>
      <c r="AN365" s="1321"/>
      <c r="AO365" s="1321"/>
      <c r="AP365" s="1321">
        <v>800000</v>
      </c>
      <c r="AQ365" s="1321" t="s">
        <v>112</v>
      </c>
      <c r="AR365" s="1321" t="s">
        <v>48</v>
      </c>
      <c r="AS365" s="1321" t="s">
        <v>49</v>
      </c>
      <c r="AT365" s="1269" t="s">
        <v>3329</v>
      </c>
      <c r="AU365" s="1269" t="s">
        <v>3330</v>
      </c>
      <c r="AV365" s="1544" t="s">
        <v>3331</v>
      </c>
      <c r="AW365" s="1279" t="s">
        <v>3332</v>
      </c>
      <c r="AX365" s="1279" t="s">
        <v>3333</v>
      </c>
      <c r="AY365" s="1279"/>
      <c r="AZ365" s="1279"/>
      <c r="BA365" s="1279"/>
      <c r="BB365" s="1279" t="s">
        <v>3334</v>
      </c>
      <c r="BC365" s="1246" t="s">
        <v>3335</v>
      </c>
      <c r="BD365" s="1324" t="s">
        <v>3336</v>
      </c>
    </row>
    <row r="366" ht="14.1" customHeight="1" spans="2:56">
      <c r="B366" s="1540" t="s">
        <v>777</v>
      </c>
      <c r="C366" s="32" t="s">
        <v>3337</v>
      </c>
      <c r="D366" s="1316" t="s">
        <v>3338</v>
      </c>
      <c r="E366" s="979" t="s">
        <v>3339</v>
      </c>
      <c r="F366" s="1044" t="s">
        <v>43</v>
      </c>
      <c r="G366" s="1044" t="s">
        <v>44</v>
      </c>
      <c r="H366" s="1269" t="s">
        <v>757</v>
      </c>
      <c r="I366" s="1269" t="s">
        <v>3340</v>
      </c>
      <c r="J366" s="1269" t="s">
        <v>3108</v>
      </c>
      <c r="K366" s="1246">
        <v>43022</v>
      </c>
      <c r="L366" s="1246">
        <v>43100</v>
      </c>
      <c r="M366" s="1246">
        <v>43281</v>
      </c>
      <c r="N366" s="1246"/>
      <c r="O366" s="1246"/>
      <c r="P366" s="1246"/>
      <c r="Q366" s="1246"/>
      <c r="R366" s="1246"/>
      <c r="S366" s="1246"/>
      <c r="T366" s="1246"/>
      <c r="U366" s="1246"/>
      <c r="V366" s="1246"/>
      <c r="W366" s="1246"/>
      <c r="X366" s="1246"/>
      <c r="Y366" s="1246"/>
      <c r="Z366" s="1246"/>
      <c r="AA366" s="1246"/>
      <c r="AB366" s="1246"/>
      <c r="AC366" s="1246"/>
      <c r="AD366" s="1246"/>
      <c r="AE366" s="1246"/>
      <c r="AF366" s="641">
        <v>115.303730092593</v>
      </c>
      <c r="AG366" s="187" t="s">
        <v>745</v>
      </c>
      <c r="AH366" s="1471">
        <v>2765000</v>
      </c>
      <c r="AI366" s="1471">
        <v>150000</v>
      </c>
      <c r="AJ366" s="1321">
        <v>17000</v>
      </c>
      <c r="AK366" s="1468"/>
      <c r="AL366" s="1321"/>
      <c r="AM366" s="1321"/>
      <c r="AN366" s="1321"/>
      <c r="AO366" s="1321"/>
      <c r="AP366" s="1321"/>
      <c r="AQ366" s="1321" t="s">
        <v>112</v>
      </c>
      <c r="AR366" s="1321" t="s">
        <v>48</v>
      </c>
      <c r="AS366" s="1321" t="s">
        <v>49</v>
      </c>
      <c r="AT366" s="1269"/>
      <c r="AU366" s="1269" t="s">
        <v>3341</v>
      </c>
      <c r="AV366" s="1095" t="s">
        <v>3342</v>
      </c>
      <c r="AW366" s="1095" t="s">
        <v>3343</v>
      </c>
      <c r="AX366" s="1545" t="s">
        <v>3344</v>
      </c>
      <c r="AY366" s="1095"/>
      <c r="AZ366" s="1095"/>
      <c r="BA366" s="1095"/>
      <c r="BB366" s="1126"/>
      <c r="BC366" s="1246" t="s">
        <v>3345</v>
      </c>
      <c r="BD366" s="1324" t="s">
        <v>3346</v>
      </c>
    </row>
    <row r="367" ht="14.1" customHeight="1" spans="2:56">
      <c r="B367" s="1532" t="s">
        <v>3347</v>
      </c>
      <c r="C367" s="164" t="s">
        <v>3348</v>
      </c>
      <c r="D367" s="168" t="s">
        <v>3349</v>
      </c>
      <c r="E367" s="979" t="s">
        <v>3350</v>
      </c>
      <c r="F367" s="922" t="s">
        <v>43</v>
      </c>
      <c r="G367" s="922"/>
      <c r="H367" s="927" t="s">
        <v>1068</v>
      </c>
      <c r="I367" s="927" t="s">
        <v>428</v>
      </c>
      <c r="J367" s="927" t="s">
        <v>185</v>
      </c>
      <c r="K367" s="1246">
        <v>43132</v>
      </c>
      <c r="L367" s="1246">
        <v>43281</v>
      </c>
      <c r="M367" s="934"/>
      <c r="N367" s="934"/>
      <c r="O367" s="934"/>
      <c r="P367" s="934"/>
      <c r="Q367" s="934"/>
      <c r="R367" s="1246"/>
      <c r="S367" s="1246"/>
      <c r="T367" s="1246"/>
      <c r="U367" s="1246"/>
      <c r="V367" s="934"/>
      <c r="W367" s="934"/>
      <c r="X367" s="934"/>
      <c r="Y367" s="989"/>
      <c r="Z367" s="1246"/>
      <c r="AA367" s="1246"/>
      <c r="AB367" s="989"/>
      <c r="AC367" s="989"/>
      <c r="AD367" s="989"/>
      <c r="AE367" s="989"/>
      <c r="AF367" s="641">
        <v>115.303730092593</v>
      </c>
      <c r="AG367" s="187" t="s">
        <v>745</v>
      </c>
      <c r="AH367" s="1006">
        <v>2700000</v>
      </c>
      <c r="AI367" s="1006">
        <v>250000</v>
      </c>
      <c r="AJ367" s="1006"/>
      <c r="AK367" s="1468"/>
      <c r="AL367" s="1468"/>
      <c r="AM367" s="1468"/>
      <c r="AN367" s="1321"/>
      <c r="AO367" s="1468">
        <v>715000</v>
      </c>
      <c r="AP367" s="1321"/>
      <c r="AQ367" s="1321" t="s">
        <v>0</v>
      </c>
      <c r="AR367" s="1321" t="s">
        <v>48</v>
      </c>
      <c r="AS367" s="1321" t="s">
        <v>49</v>
      </c>
      <c r="AT367" s="927"/>
      <c r="AU367" s="290" t="s">
        <v>3351</v>
      </c>
      <c r="AV367" s="962"/>
      <c r="AW367" s="1014"/>
      <c r="AX367" s="963"/>
      <c r="AY367" s="963"/>
      <c r="AZ367" s="963"/>
      <c r="BA367" s="963"/>
      <c r="BB367" s="229"/>
      <c r="BC367" s="168" t="s">
        <v>2253</v>
      </c>
      <c r="BD367" s="1402" t="s">
        <v>2253</v>
      </c>
    </row>
    <row r="368" ht="14.1" customHeight="1" spans="2:56">
      <c r="B368" s="1532" t="s">
        <v>1395</v>
      </c>
      <c r="C368" s="164" t="s">
        <v>3352</v>
      </c>
      <c r="D368" s="168" t="s">
        <v>3353</v>
      </c>
      <c r="E368" s="979" t="s">
        <v>3354</v>
      </c>
      <c r="F368" s="922"/>
      <c r="G368" s="922"/>
      <c r="H368" s="927" t="s">
        <v>1343</v>
      </c>
      <c r="I368" s="927"/>
      <c r="J368" s="927" t="s">
        <v>61</v>
      </c>
      <c r="K368" s="1246">
        <v>43144</v>
      </c>
      <c r="L368" s="1246">
        <v>43281</v>
      </c>
      <c r="M368" s="934"/>
      <c r="N368" s="934"/>
      <c r="O368" s="934"/>
      <c r="P368" s="934"/>
      <c r="Q368" s="934"/>
      <c r="R368" s="1246"/>
      <c r="S368" s="1246"/>
      <c r="T368" s="1246"/>
      <c r="U368" s="1246"/>
      <c r="V368" s="934"/>
      <c r="W368" s="934"/>
      <c r="X368" s="934"/>
      <c r="Y368" s="989"/>
      <c r="Z368" s="1246"/>
      <c r="AA368" s="1246"/>
      <c r="AB368" s="989"/>
      <c r="AC368" s="989"/>
      <c r="AD368" s="989"/>
      <c r="AE368" s="989"/>
      <c r="AF368" s="641">
        <v>115.303730092593</v>
      </c>
      <c r="AG368" s="187" t="s">
        <v>745</v>
      </c>
      <c r="AH368" s="1006">
        <v>3100000</v>
      </c>
      <c r="AI368" s="1006">
        <v>250000</v>
      </c>
      <c r="AJ368" s="1006"/>
      <c r="AK368" s="1468"/>
      <c r="AL368" s="1468"/>
      <c r="AM368" s="1468"/>
      <c r="AN368" s="1321"/>
      <c r="AO368" s="1468">
        <v>780000</v>
      </c>
      <c r="AP368" s="1321"/>
      <c r="AQ368" s="1321" t="s">
        <v>0</v>
      </c>
      <c r="AR368" s="1321" t="s">
        <v>48</v>
      </c>
      <c r="AS368" s="1321" t="s">
        <v>49</v>
      </c>
      <c r="AT368" s="927"/>
      <c r="AU368" s="290" t="s">
        <v>3355</v>
      </c>
      <c r="AV368" s="962"/>
      <c r="AW368" s="1014"/>
      <c r="AX368" s="963"/>
      <c r="AY368" s="963"/>
      <c r="AZ368" s="963"/>
      <c r="BA368" s="963"/>
      <c r="BB368" s="229"/>
      <c r="BC368" s="168" t="s">
        <v>2253</v>
      </c>
      <c r="BD368" s="1402" t="s">
        <v>2253</v>
      </c>
    </row>
    <row r="369" ht="14.1" customHeight="1" spans="2:56">
      <c r="B369" s="1540" t="s">
        <v>1446</v>
      </c>
      <c r="C369" s="168" t="s">
        <v>3356</v>
      </c>
      <c r="D369" s="168" t="s">
        <v>3357</v>
      </c>
      <c r="E369" s="979" t="s">
        <v>3358</v>
      </c>
      <c r="F369" s="922" t="s">
        <v>125</v>
      </c>
      <c r="G369" s="922" t="s">
        <v>404</v>
      </c>
      <c r="H369" s="927" t="s">
        <v>1300</v>
      </c>
      <c r="I369" s="927"/>
      <c r="J369" s="927" t="s">
        <v>1571</v>
      </c>
      <c r="K369" s="1246">
        <v>43146</v>
      </c>
      <c r="L369" s="1246">
        <v>43281</v>
      </c>
      <c r="M369" s="934"/>
      <c r="N369" s="934"/>
      <c r="O369" s="934"/>
      <c r="P369" s="934"/>
      <c r="Q369" s="934"/>
      <c r="R369" s="1246"/>
      <c r="S369" s="1246"/>
      <c r="T369" s="1246"/>
      <c r="U369" s="1246"/>
      <c r="V369" s="934"/>
      <c r="W369" s="934"/>
      <c r="X369" s="934"/>
      <c r="Y369" s="989"/>
      <c r="Z369" s="1246"/>
      <c r="AA369" s="1246"/>
      <c r="AB369" s="989"/>
      <c r="AC369" s="989"/>
      <c r="AD369" s="989"/>
      <c r="AE369" s="989"/>
      <c r="AF369" s="641">
        <v>115.303730092593</v>
      </c>
      <c r="AG369" s="187" t="s">
        <v>745</v>
      </c>
      <c r="AH369" s="1006">
        <v>3900000</v>
      </c>
      <c r="AI369" s="1006">
        <v>250000</v>
      </c>
      <c r="AJ369" s="1006"/>
      <c r="AK369" s="1468"/>
      <c r="AL369" s="1468"/>
      <c r="AM369" s="1468">
        <v>500000</v>
      </c>
      <c r="AN369" s="1321"/>
      <c r="AO369" s="1468"/>
      <c r="AP369" s="1321"/>
      <c r="AQ369" s="1321" t="s">
        <v>0</v>
      </c>
      <c r="AR369" s="1321" t="s">
        <v>48</v>
      </c>
      <c r="AS369" s="1321" t="s">
        <v>49</v>
      </c>
      <c r="AT369" s="927"/>
      <c r="AU369" s="290" t="s">
        <v>3359</v>
      </c>
      <c r="AV369" s="1541" t="s">
        <v>3360</v>
      </c>
      <c r="AW369" s="1014" t="s">
        <v>3361</v>
      </c>
      <c r="AX369" s="1542" t="s">
        <v>3362</v>
      </c>
      <c r="AY369" s="963" t="s">
        <v>3363</v>
      </c>
      <c r="AZ369" s="963"/>
      <c r="BA369" s="963"/>
      <c r="BB369" s="229" t="s">
        <v>3364</v>
      </c>
      <c r="BC369" s="168" t="s">
        <v>3365</v>
      </c>
      <c r="BD369" s="1324" t="s">
        <v>3366</v>
      </c>
    </row>
    <row r="370" ht="14.1" customHeight="1" spans="2:56">
      <c r="B370" s="1540" t="s">
        <v>1509</v>
      </c>
      <c r="C370" s="168" t="s">
        <v>3367</v>
      </c>
      <c r="D370" s="168" t="s">
        <v>3368</v>
      </c>
      <c r="E370" s="979" t="s">
        <v>3369</v>
      </c>
      <c r="F370" s="922" t="s">
        <v>43</v>
      </c>
      <c r="G370" s="922" t="s">
        <v>254</v>
      </c>
      <c r="H370" s="927" t="s">
        <v>1343</v>
      </c>
      <c r="I370" s="927" t="s">
        <v>770</v>
      </c>
      <c r="J370" s="927" t="s">
        <v>61</v>
      </c>
      <c r="K370" s="1246">
        <v>43150</v>
      </c>
      <c r="L370" s="1246">
        <v>43281</v>
      </c>
      <c r="M370" s="934"/>
      <c r="N370" s="934"/>
      <c r="O370" s="934"/>
      <c r="P370" s="934"/>
      <c r="Q370" s="934"/>
      <c r="R370" s="1246"/>
      <c r="S370" s="1246"/>
      <c r="T370" s="1246"/>
      <c r="U370" s="1246"/>
      <c r="V370" s="934"/>
      <c r="W370" s="934"/>
      <c r="X370" s="934"/>
      <c r="Y370" s="989"/>
      <c r="Z370" s="1246"/>
      <c r="AA370" s="1246"/>
      <c r="AB370" s="989"/>
      <c r="AC370" s="989"/>
      <c r="AD370" s="989"/>
      <c r="AE370" s="989"/>
      <c r="AF370" s="641">
        <v>115.303730092593</v>
      </c>
      <c r="AG370" s="187" t="s">
        <v>745</v>
      </c>
      <c r="AH370" s="1006">
        <v>3100000</v>
      </c>
      <c r="AI370" s="1006">
        <v>250000</v>
      </c>
      <c r="AJ370" s="1006"/>
      <c r="AK370" s="1468"/>
      <c r="AL370" s="1468"/>
      <c r="AM370" s="1468"/>
      <c r="AN370" s="1321"/>
      <c r="AO370" s="1468">
        <v>780000</v>
      </c>
      <c r="AP370" s="1321"/>
      <c r="AQ370" s="1321" t="s">
        <v>0</v>
      </c>
      <c r="AR370" s="1321" t="s">
        <v>48</v>
      </c>
      <c r="AS370" s="1321" t="s">
        <v>49</v>
      </c>
      <c r="AT370" s="927"/>
      <c r="AU370" s="290" t="s">
        <v>3370</v>
      </c>
      <c r="AV370" s="1541" t="s">
        <v>3371</v>
      </c>
      <c r="AW370" s="1014" t="s">
        <v>3372</v>
      </c>
      <c r="AX370" s="1542" t="s">
        <v>3373</v>
      </c>
      <c r="AY370" s="963" t="s">
        <v>3374</v>
      </c>
      <c r="AZ370" s="963"/>
      <c r="BA370" s="963"/>
      <c r="BB370" s="229" t="s">
        <v>3375</v>
      </c>
      <c r="BC370" s="168" t="s">
        <v>3376</v>
      </c>
      <c r="BD370" s="1324" t="s">
        <v>3377</v>
      </c>
    </row>
    <row r="371" s="1022" customFormat="1" ht="14.1" customHeight="1" spans="2:58">
      <c r="B371" s="1540" t="s">
        <v>790</v>
      </c>
      <c r="C371" s="32" t="s">
        <v>3378</v>
      </c>
      <c r="D371" s="1316" t="s">
        <v>3379</v>
      </c>
      <c r="E371" s="979" t="s">
        <v>3380</v>
      </c>
      <c r="F371" s="1044" t="s">
        <v>43</v>
      </c>
      <c r="G371" s="1044" t="s">
        <v>44</v>
      </c>
      <c r="H371" s="1269" t="s">
        <v>757</v>
      </c>
      <c r="I371" s="1269" t="s">
        <v>3340</v>
      </c>
      <c r="J371" s="1269" t="s">
        <v>3381</v>
      </c>
      <c r="K371" s="1246">
        <v>43022</v>
      </c>
      <c r="L371" s="1246">
        <v>43100</v>
      </c>
      <c r="M371" s="1246">
        <v>43281</v>
      </c>
      <c r="N371" s="1246"/>
      <c r="O371" s="1246"/>
      <c r="P371" s="1246"/>
      <c r="Q371" s="1246"/>
      <c r="R371" s="1246"/>
      <c r="S371" s="1246"/>
      <c r="T371" s="1246"/>
      <c r="U371" s="1246"/>
      <c r="V371" s="1246"/>
      <c r="W371" s="1246"/>
      <c r="X371" s="1246"/>
      <c r="Y371" s="1246"/>
      <c r="Z371" s="1246"/>
      <c r="AA371" s="1246"/>
      <c r="AB371" s="1246"/>
      <c r="AC371" s="1246"/>
      <c r="AD371" s="1246"/>
      <c r="AE371" s="1246"/>
      <c r="AF371" s="641">
        <f ca="1">SUM(M371-NOW())</f>
        <v>8.61546296296001</v>
      </c>
      <c r="AG371" s="187" t="str">
        <f ca="1" t="shared" ref="AG371:AG373" si="33">IF(AF371&lt;=40,"WARNING","ACTIVE")</f>
        <v>WARNING</v>
      </c>
      <c r="AH371" s="1471">
        <v>3700000</v>
      </c>
      <c r="AI371" s="1471">
        <v>250000</v>
      </c>
      <c r="AJ371" s="1321">
        <v>20000</v>
      </c>
      <c r="AK371" s="1274">
        <v>30000</v>
      </c>
      <c r="AL371" s="1321"/>
      <c r="AM371" s="1321"/>
      <c r="AN371" s="1321"/>
      <c r="AO371" s="1321"/>
      <c r="AP371" s="1321"/>
      <c r="AQ371" s="1321" t="s">
        <v>112</v>
      </c>
      <c r="AR371" s="1321" t="s">
        <v>48</v>
      </c>
      <c r="AS371" s="1321" t="s">
        <v>49</v>
      </c>
      <c r="AT371" s="1269" t="s">
        <v>3382</v>
      </c>
      <c r="AU371" s="1269" t="s">
        <v>3341</v>
      </c>
      <c r="AV371" s="1095" t="s">
        <v>3383</v>
      </c>
      <c r="AW371" s="1095" t="s">
        <v>3384</v>
      </c>
      <c r="AX371" s="1545" t="s">
        <v>3385</v>
      </c>
      <c r="AY371" s="1095"/>
      <c r="AZ371" s="1095"/>
      <c r="BA371" s="1095"/>
      <c r="BB371" s="229" t="s">
        <v>3386</v>
      </c>
      <c r="BC371" s="1246" t="s">
        <v>3387</v>
      </c>
      <c r="BD371" s="1324" t="s">
        <v>55</v>
      </c>
      <c r="BF371" s="1314"/>
    </row>
    <row r="372" s="1022" customFormat="1" ht="14.1" customHeight="1" spans="2:58">
      <c r="B372" s="1540" t="s">
        <v>1378</v>
      </c>
      <c r="C372" s="168" t="s">
        <v>3388</v>
      </c>
      <c r="D372" s="168" t="s">
        <v>3389</v>
      </c>
      <c r="E372" s="979" t="s">
        <v>3390</v>
      </c>
      <c r="F372" s="922" t="s">
        <v>43</v>
      </c>
      <c r="G372" s="922" t="s">
        <v>254</v>
      </c>
      <c r="H372" s="927" t="s">
        <v>1343</v>
      </c>
      <c r="I372" s="927"/>
      <c r="J372" s="927" t="s">
        <v>1069</v>
      </c>
      <c r="K372" s="1246">
        <v>43143</v>
      </c>
      <c r="L372" s="1246">
        <v>43281</v>
      </c>
      <c r="M372" s="934"/>
      <c r="N372" s="934"/>
      <c r="O372" s="934"/>
      <c r="P372" s="934"/>
      <c r="Q372" s="934"/>
      <c r="R372" s="1246"/>
      <c r="S372" s="1246"/>
      <c r="T372" s="1246"/>
      <c r="U372" s="1246"/>
      <c r="V372" s="934"/>
      <c r="W372" s="934"/>
      <c r="X372" s="934"/>
      <c r="Y372" s="989"/>
      <c r="Z372" s="1246"/>
      <c r="AA372" s="1246"/>
      <c r="AB372" s="989"/>
      <c r="AC372" s="989"/>
      <c r="AD372" s="989"/>
      <c r="AE372" s="989"/>
      <c r="AF372" s="641">
        <f ca="1">SUM(L372-NOW())</f>
        <v>8.61546296296001</v>
      </c>
      <c r="AG372" s="187" t="str">
        <f ca="1" t="shared" si="33"/>
        <v>WARNING</v>
      </c>
      <c r="AH372" s="1006">
        <v>5500000</v>
      </c>
      <c r="AI372" s="1006">
        <v>750000</v>
      </c>
      <c r="AJ372" s="1006"/>
      <c r="AK372" s="1468"/>
      <c r="AL372" s="1468">
        <v>1000000</v>
      </c>
      <c r="AM372" s="1468">
        <v>500000</v>
      </c>
      <c r="AN372" s="1321"/>
      <c r="AO372" s="1468">
        <v>1170000</v>
      </c>
      <c r="AP372" s="1321">
        <v>1000000</v>
      </c>
      <c r="AQ372" s="1321" t="s">
        <v>0</v>
      </c>
      <c r="AR372" s="1321" t="s">
        <v>48</v>
      </c>
      <c r="AS372" s="1321" t="s">
        <v>49</v>
      </c>
      <c r="AT372" s="927"/>
      <c r="AU372" s="290" t="s">
        <v>3391</v>
      </c>
      <c r="AV372" s="1541" t="s">
        <v>3392</v>
      </c>
      <c r="AW372" s="1014" t="s">
        <v>3393</v>
      </c>
      <c r="AX372" s="1542" t="s">
        <v>3394</v>
      </c>
      <c r="AY372" s="963" t="s">
        <v>3395</v>
      </c>
      <c r="AZ372" s="963"/>
      <c r="BA372" s="1542" t="s">
        <v>3396</v>
      </c>
      <c r="BB372" s="229" t="s">
        <v>3397</v>
      </c>
      <c r="BC372" s="168" t="s">
        <v>3398</v>
      </c>
      <c r="BD372" s="1324" t="s">
        <v>55</v>
      </c>
      <c r="BF372" s="1314"/>
    </row>
    <row r="373" s="1022" customFormat="1" ht="14.1" customHeight="1" spans="2:58">
      <c r="B373" s="1540" t="s">
        <v>1479</v>
      </c>
      <c r="C373" s="168" t="s">
        <v>3399</v>
      </c>
      <c r="D373" s="168" t="s">
        <v>3400</v>
      </c>
      <c r="E373" s="979" t="s">
        <v>3401</v>
      </c>
      <c r="F373" s="922" t="s">
        <v>43</v>
      </c>
      <c r="G373" s="922" t="s">
        <v>404</v>
      </c>
      <c r="H373" s="927" t="s">
        <v>757</v>
      </c>
      <c r="I373" s="927" t="s">
        <v>770</v>
      </c>
      <c r="J373" s="927" t="s">
        <v>2291</v>
      </c>
      <c r="K373" s="1246">
        <v>43143</v>
      </c>
      <c r="L373" s="1246">
        <v>43231</v>
      </c>
      <c r="M373" s="1495">
        <v>43373</v>
      </c>
      <c r="N373" s="934"/>
      <c r="O373" s="934"/>
      <c r="P373" s="934"/>
      <c r="Q373" s="934"/>
      <c r="R373" s="1246"/>
      <c r="S373" s="1246"/>
      <c r="T373" s="1246"/>
      <c r="U373" s="1246"/>
      <c r="V373" s="934"/>
      <c r="W373" s="934"/>
      <c r="X373" s="934"/>
      <c r="Y373" s="989"/>
      <c r="Z373" s="1246"/>
      <c r="AA373" s="1246"/>
      <c r="AB373" s="989"/>
      <c r="AC373" s="989"/>
      <c r="AD373" s="989"/>
      <c r="AE373" s="989"/>
      <c r="AF373" s="641">
        <f ca="1">SUM(M373-NOW())</f>
        <v>100.61546296296</v>
      </c>
      <c r="AG373" s="187" t="str">
        <f ca="1" t="shared" si="33"/>
        <v>ACTIVE</v>
      </c>
      <c r="AH373" s="1006">
        <v>2765000</v>
      </c>
      <c r="AI373" s="1006">
        <v>150000</v>
      </c>
      <c r="AJ373" s="1006">
        <v>17000</v>
      </c>
      <c r="AK373" s="1468">
        <v>30000</v>
      </c>
      <c r="AL373" s="1468"/>
      <c r="AM373" s="1468"/>
      <c r="AN373" s="1321"/>
      <c r="AO373" s="1468"/>
      <c r="AP373" s="1321"/>
      <c r="AQ373" s="1321" t="s">
        <v>0</v>
      </c>
      <c r="AR373" s="1321" t="s">
        <v>48</v>
      </c>
      <c r="AS373" s="1321" t="s">
        <v>49</v>
      </c>
      <c r="AT373" s="927"/>
      <c r="AU373" s="290" t="s">
        <v>3402</v>
      </c>
      <c r="AV373" s="1541" t="s">
        <v>3403</v>
      </c>
      <c r="AW373" s="1014" t="s">
        <v>3404</v>
      </c>
      <c r="AX373" s="1542" t="s">
        <v>3405</v>
      </c>
      <c r="AY373" s="963"/>
      <c r="AZ373" s="963"/>
      <c r="BA373" s="963"/>
      <c r="BB373" s="229" t="s">
        <v>3406</v>
      </c>
      <c r="BC373" s="168" t="s">
        <v>3407</v>
      </c>
      <c r="BD373" s="1324" t="s">
        <v>729</v>
      </c>
      <c r="BF373" s="1314"/>
    </row>
    <row r="374" s="1022" customFormat="1" ht="14.1" customHeight="1" spans="2:58">
      <c r="B374" s="1540" t="s">
        <v>1658</v>
      </c>
      <c r="C374" s="168" t="s">
        <v>3408</v>
      </c>
      <c r="D374" s="168" t="s">
        <v>3409</v>
      </c>
      <c r="E374" s="979" t="s">
        <v>3410</v>
      </c>
      <c r="F374" s="922" t="s">
        <v>43</v>
      </c>
      <c r="G374" s="922" t="s">
        <v>44</v>
      </c>
      <c r="H374" s="927" t="s">
        <v>1300</v>
      </c>
      <c r="I374" s="168" t="s">
        <v>770</v>
      </c>
      <c r="J374" s="927" t="s">
        <v>185</v>
      </c>
      <c r="K374" s="1246">
        <v>43145</v>
      </c>
      <c r="L374" s="1246">
        <v>43281</v>
      </c>
      <c r="M374" s="1270"/>
      <c r="N374" s="934"/>
      <c r="O374" s="934"/>
      <c r="P374" s="934"/>
      <c r="Q374" s="934"/>
      <c r="R374" s="1246"/>
      <c r="S374" s="1246"/>
      <c r="T374" s="1246"/>
      <c r="U374" s="1246"/>
      <c r="V374" s="934"/>
      <c r="W374" s="934"/>
      <c r="X374" s="934"/>
      <c r="Y374" s="989"/>
      <c r="Z374" s="1246"/>
      <c r="AA374" s="1246"/>
      <c r="AB374" s="989"/>
      <c r="AC374" s="989"/>
      <c r="AD374" s="989"/>
      <c r="AE374" s="989"/>
      <c r="AF374" s="641">
        <v>84.6274261574072</v>
      </c>
      <c r="AG374" s="187" t="s">
        <v>745</v>
      </c>
      <c r="AH374" s="1006">
        <v>2250000</v>
      </c>
      <c r="AI374" s="1006">
        <v>250000</v>
      </c>
      <c r="AJ374" s="1006"/>
      <c r="AK374" s="1468"/>
      <c r="AL374" s="1468"/>
      <c r="AM374" s="1468"/>
      <c r="AN374" s="1321"/>
      <c r="AO374" s="1468"/>
      <c r="AP374" s="1321"/>
      <c r="AQ374" s="1321" t="s">
        <v>0</v>
      </c>
      <c r="AR374" s="1321" t="s">
        <v>48</v>
      </c>
      <c r="AS374" s="1321" t="s">
        <v>49</v>
      </c>
      <c r="AT374" s="927"/>
      <c r="AU374" s="290" t="s">
        <v>3411</v>
      </c>
      <c r="AV374" s="1541" t="s">
        <v>3412</v>
      </c>
      <c r="AW374" s="1014"/>
      <c r="AX374" s="1542" t="s">
        <v>3413</v>
      </c>
      <c r="AY374" s="963"/>
      <c r="AZ374" s="963"/>
      <c r="BA374" s="963"/>
      <c r="BB374" s="229" t="s">
        <v>3414</v>
      </c>
      <c r="BC374" s="168" t="s">
        <v>3415</v>
      </c>
      <c r="BD374" s="1324"/>
      <c r="BF374" s="1314"/>
    </row>
    <row r="375" s="1022" customFormat="1" ht="14.1" customHeight="1" spans="2:58">
      <c r="B375" s="1540" t="s">
        <v>1694</v>
      </c>
      <c r="C375" s="168" t="s">
        <v>3416</v>
      </c>
      <c r="D375" s="168" t="s">
        <v>3417</v>
      </c>
      <c r="E375" s="979" t="s">
        <v>3418</v>
      </c>
      <c r="F375" s="922" t="s">
        <v>43</v>
      </c>
      <c r="G375" s="922" t="s">
        <v>254</v>
      </c>
      <c r="H375" s="927" t="s">
        <v>1343</v>
      </c>
      <c r="I375" s="168" t="s">
        <v>770</v>
      </c>
      <c r="J375" s="927" t="s">
        <v>1533</v>
      </c>
      <c r="K375" s="1246">
        <v>43150</v>
      </c>
      <c r="L375" s="1246">
        <v>43281</v>
      </c>
      <c r="M375" s="1270"/>
      <c r="N375" s="934"/>
      <c r="O375" s="934"/>
      <c r="P375" s="934"/>
      <c r="Q375" s="934"/>
      <c r="R375" s="1246"/>
      <c r="S375" s="1246"/>
      <c r="T375" s="1246"/>
      <c r="U375" s="1246"/>
      <c r="V375" s="934"/>
      <c r="W375" s="934"/>
      <c r="X375" s="934"/>
      <c r="Y375" s="989"/>
      <c r="Z375" s="1246"/>
      <c r="AA375" s="1246"/>
      <c r="AB375" s="989"/>
      <c r="AC375" s="989"/>
      <c r="AD375" s="989"/>
      <c r="AE375" s="989"/>
      <c r="AF375" s="641">
        <v>84.6274261574072</v>
      </c>
      <c r="AG375" s="187" t="s">
        <v>745</v>
      </c>
      <c r="AH375" s="1006">
        <v>2800000</v>
      </c>
      <c r="AI375" s="1006">
        <v>200000</v>
      </c>
      <c r="AJ375" s="1006"/>
      <c r="AK375" s="1468"/>
      <c r="AL375" s="1468"/>
      <c r="AM375" s="1468"/>
      <c r="AN375" s="1321"/>
      <c r="AO375" s="1468"/>
      <c r="AP375" s="1321"/>
      <c r="AQ375" s="1321" t="s">
        <v>0</v>
      </c>
      <c r="AR375" s="1321" t="s">
        <v>48</v>
      </c>
      <c r="AS375" s="1321" t="s">
        <v>49</v>
      </c>
      <c r="AT375" s="927"/>
      <c r="AU375" s="290" t="s">
        <v>3419</v>
      </c>
      <c r="AV375" s="962"/>
      <c r="AW375" s="1014" t="s">
        <v>3420</v>
      </c>
      <c r="AX375" s="963"/>
      <c r="AY375" s="963" t="s">
        <v>3421</v>
      </c>
      <c r="AZ375" s="963"/>
      <c r="BA375" s="1542" t="s">
        <v>3422</v>
      </c>
      <c r="BB375" s="229"/>
      <c r="BC375" s="168" t="s">
        <v>3423</v>
      </c>
      <c r="BD375" s="1324"/>
      <c r="BF375" s="1314"/>
    </row>
    <row r="376" s="1022" customFormat="1" ht="14.1" customHeight="1" spans="2:58">
      <c r="B376" s="1540" t="s">
        <v>1801</v>
      </c>
      <c r="C376" s="168"/>
      <c r="D376" s="168" t="s">
        <v>3424</v>
      </c>
      <c r="E376" s="979" t="s">
        <v>3425</v>
      </c>
      <c r="F376" s="922"/>
      <c r="G376" s="922"/>
      <c r="H376" s="927" t="s">
        <v>1300</v>
      </c>
      <c r="I376" s="927" t="s">
        <v>428</v>
      </c>
      <c r="J376" s="927" t="s">
        <v>208</v>
      </c>
      <c r="K376" s="1246">
        <v>43192</v>
      </c>
      <c r="L376" s="1246">
        <v>43281</v>
      </c>
      <c r="M376" s="1270"/>
      <c r="N376" s="934"/>
      <c r="O376" s="934"/>
      <c r="P376" s="934"/>
      <c r="Q376" s="934"/>
      <c r="R376" s="1246"/>
      <c r="S376" s="1246"/>
      <c r="T376" s="1246"/>
      <c r="U376" s="1246"/>
      <c r="V376" s="934"/>
      <c r="W376" s="934"/>
      <c r="X376" s="934"/>
      <c r="Y376" s="989"/>
      <c r="Z376" s="1246"/>
      <c r="AA376" s="1246"/>
      <c r="AB376" s="989"/>
      <c r="AC376" s="989"/>
      <c r="AD376" s="989"/>
      <c r="AE376" s="989"/>
      <c r="AF376" s="641">
        <f ca="1">SUM(L376-NOW())</f>
        <v>8.61546296296001</v>
      </c>
      <c r="AG376" s="187" t="str">
        <f ca="1" t="shared" ref="AG376" si="34">IF(AF376&lt;=40,"WARNING","ACTIVE")</f>
        <v>WARNING</v>
      </c>
      <c r="AH376" s="1006">
        <v>4000000</v>
      </c>
      <c r="AI376" s="1006">
        <v>400000</v>
      </c>
      <c r="AJ376" s="1006"/>
      <c r="AK376" s="1468"/>
      <c r="AL376" s="1468"/>
      <c r="AM376" s="1468">
        <v>500000</v>
      </c>
      <c r="AN376" s="1321"/>
      <c r="AO376" s="1468"/>
      <c r="AP376" s="1321"/>
      <c r="AQ376" s="1321" t="s">
        <v>0</v>
      </c>
      <c r="AR376" s="1321" t="s">
        <v>48</v>
      </c>
      <c r="AS376" s="1321" t="s">
        <v>49</v>
      </c>
      <c r="AT376" s="927"/>
      <c r="AU376" s="290" t="s">
        <v>3426</v>
      </c>
      <c r="AV376" s="962"/>
      <c r="AW376" s="1014"/>
      <c r="AX376" s="963"/>
      <c r="AY376" s="963"/>
      <c r="AZ376" s="963"/>
      <c r="BA376" s="963"/>
      <c r="BB376" s="229"/>
      <c r="BC376" s="168" t="s">
        <v>2253</v>
      </c>
      <c r="BD376" s="1324"/>
      <c r="BF376" s="1314"/>
    </row>
    <row r="377" ht="14.1" customHeight="1" spans="2:56">
      <c r="B377" s="1540" t="s">
        <v>3214</v>
      </c>
      <c r="C377" s="32" t="s">
        <v>3427</v>
      </c>
      <c r="D377" s="1316" t="s">
        <v>3428</v>
      </c>
      <c r="E377" s="979">
        <v>36271</v>
      </c>
      <c r="F377" s="1269" t="s">
        <v>43</v>
      </c>
      <c r="G377" s="1317"/>
      <c r="H377" s="1269" t="s">
        <v>757</v>
      </c>
      <c r="I377" s="32" t="s">
        <v>770</v>
      </c>
      <c r="J377" s="1269" t="s">
        <v>185</v>
      </c>
      <c r="K377" s="1246">
        <v>43070</v>
      </c>
      <c r="L377" s="1246">
        <v>43159</v>
      </c>
      <c r="M377" s="1246">
        <v>43281</v>
      </c>
      <c r="N377" s="1246"/>
      <c r="O377" s="1246"/>
      <c r="P377" s="1246"/>
      <c r="Q377" s="1246"/>
      <c r="R377" s="1246"/>
      <c r="S377" s="1246"/>
      <c r="T377" s="1246"/>
      <c r="U377" s="1246"/>
      <c r="V377" s="1246"/>
      <c r="W377" s="1246"/>
      <c r="X377" s="1246"/>
      <c r="Y377" s="1246"/>
      <c r="Z377" s="1246"/>
      <c r="AA377" s="1246"/>
      <c r="AB377" s="1246"/>
      <c r="AC377" s="1246"/>
      <c r="AD377" s="1246"/>
      <c r="AE377" s="1246"/>
      <c r="AF377" s="641">
        <v>46.5555137731499</v>
      </c>
      <c r="AG377" s="187" t="s">
        <v>745</v>
      </c>
      <c r="AH377" s="1471">
        <v>2765000</v>
      </c>
      <c r="AI377" s="1471">
        <v>150000</v>
      </c>
      <c r="AJ377" s="1468">
        <v>17000</v>
      </c>
      <c r="AK377" s="1468"/>
      <c r="AL377" s="1468"/>
      <c r="AM377" s="1321"/>
      <c r="AN377" s="1468"/>
      <c r="AO377" s="1321"/>
      <c r="AP377" s="1473"/>
      <c r="AQ377" s="1321" t="s">
        <v>0</v>
      </c>
      <c r="AR377" s="1321" t="s">
        <v>48</v>
      </c>
      <c r="AS377" s="1321" t="s">
        <v>49</v>
      </c>
      <c r="AT377" s="1269"/>
      <c r="AU377" s="1269" t="s">
        <v>3429</v>
      </c>
      <c r="AV377" s="1544" t="s">
        <v>3430</v>
      </c>
      <c r="AW377" s="1279" t="s">
        <v>3431</v>
      </c>
      <c r="AX377" s="1279" t="s">
        <v>3432</v>
      </c>
      <c r="AY377" s="1279"/>
      <c r="AZ377" s="1279"/>
      <c r="BA377" s="1279"/>
      <c r="BB377" s="1280" t="s">
        <v>3433</v>
      </c>
      <c r="BC377" s="1246" t="s">
        <v>3434</v>
      </c>
      <c r="BD377" s="1324" t="s">
        <v>55</v>
      </c>
    </row>
    <row r="378" ht="14.1" customHeight="1" spans="2:56">
      <c r="B378" s="1540" t="s">
        <v>3347</v>
      </c>
      <c r="C378" s="168" t="s">
        <v>3435</v>
      </c>
      <c r="D378" s="168" t="s">
        <v>3436</v>
      </c>
      <c r="E378" s="979" t="s">
        <v>3437</v>
      </c>
      <c r="F378" s="922" t="s">
        <v>43</v>
      </c>
      <c r="G378" s="922" t="s">
        <v>254</v>
      </c>
      <c r="H378" s="927" t="s">
        <v>1300</v>
      </c>
      <c r="I378" s="927" t="s">
        <v>428</v>
      </c>
      <c r="J378" s="927" t="s">
        <v>1241</v>
      </c>
      <c r="K378" s="1246">
        <v>43141</v>
      </c>
      <c r="L378" s="1246">
        <v>43281</v>
      </c>
      <c r="M378" s="934"/>
      <c r="N378" s="934"/>
      <c r="O378" s="934"/>
      <c r="P378" s="934"/>
      <c r="Q378" s="934"/>
      <c r="R378" s="1246"/>
      <c r="S378" s="1246"/>
      <c r="T378" s="1246"/>
      <c r="U378" s="1246"/>
      <c r="V378" s="934"/>
      <c r="W378" s="934"/>
      <c r="X378" s="934"/>
      <c r="Y378" s="989"/>
      <c r="Z378" s="1246"/>
      <c r="AA378" s="1246"/>
      <c r="AB378" s="989"/>
      <c r="AC378" s="989"/>
      <c r="AD378" s="989"/>
      <c r="AE378" s="989"/>
      <c r="AF378" s="641">
        <v>46.5555137731499</v>
      </c>
      <c r="AG378" s="187" t="s">
        <v>745</v>
      </c>
      <c r="AH378" s="1006">
        <v>4500000</v>
      </c>
      <c r="AI378" s="1006">
        <v>400000</v>
      </c>
      <c r="AJ378" s="1006">
        <v>20000</v>
      </c>
      <c r="AK378" s="1468"/>
      <c r="AL378" s="1468">
        <v>500000</v>
      </c>
      <c r="AM378" s="1468">
        <v>500000</v>
      </c>
      <c r="AN378" s="1321"/>
      <c r="AO378" s="1468"/>
      <c r="AP378" s="1321"/>
      <c r="AQ378" s="1321" t="s">
        <v>0</v>
      </c>
      <c r="AR378" s="1321" t="s">
        <v>48</v>
      </c>
      <c r="AS378" s="1321" t="s">
        <v>49</v>
      </c>
      <c r="AT378" s="927"/>
      <c r="AU378" s="290" t="s">
        <v>3438</v>
      </c>
      <c r="AV378" s="962"/>
      <c r="AW378" s="1014" t="s">
        <v>3439</v>
      </c>
      <c r="AX378" s="1542" t="s">
        <v>3440</v>
      </c>
      <c r="AY378" s="963" t="s">
        <v>3441</v>
      </c>
      <c r="AZ378" s="963"/>
      <c r="BA378" s="963"/>
      <c r="BB378" s="229" t="s">
        <v>3442</v>
      </c>
      <c r="BC378" s="168" t="s">
        <v>3443</v>
      </c>
      <c r="BD378" s="1324" t="s">
        <v>55</v>
      </c>
    </row>
    <row r="379" ht="14.1" customHeight="1" spans="2:56">
      <c r="B379" s="1540" t="s">
        <v>3139</v>
      </c>
      <c r="C379" s="168" t="s">
        <v>3444</v>
      </c>
      <c r="D379" s="168" t="s">
        <v>3445</v>
      </c>
      <c r="E379" s="979" t="s">
        <v>3446</v>
      </c>
      <c r="F379" s="922" t="s">
        <v>43</v>
      </c>
      <c r="G379" s="922" t="s">
        <v>44</v>
      </c>
      <c r="H379" s="927" t="s">
        <v>1068</v>
      </c>
      <c r="I379" s="927" t="s">
        <v>428</v>
      </c>
      <c r="J379" s="927" t="s">
        <v>185</v>
      </c>
      <c r="K379" s="1246">
        <v>43132</v>
      </c>
      <c r="L379" s="1246">
        <v>43281</v>
      </c>
      <c r="M379" s="934"/>
      <c r="N379" s="934"/>
      <c r="O379" s="934"/>
      <c r="P379" s="934"/>
      <c r="Q379" s="934"/>
      <c r="R379" s="1246"/>
      <c r="S379" s="1246"/>
      <c r="T379" s="1246"/>
      <c r="U379" s="1246"/>
      <c r="V379" s="934"/>
      <c r="W379" s="934"/>
      <c r="X379" s="934"/>
      <c r="Y379" s="989"/>
      <c r="Z379" s="1246"/>
      <c r="AA379" s="1246"/>
      <c r="AB379" s="989"/>
      <c r="AC379" s="989"/>
      <c r="AD379" s="989"/>
      <c r="AE379" s="989"/>
      <c r="AF379" s="641">
        <v>46.5555137731499</v>
      </c>
      <c r="AG379" s="187" t="s">
        <v>745</v>
      </c>
      <c r="AH379" s="1006">
        <v>2500000</v>
      </c>
      <c r="AI379" s="1006">
        <v>250000</v>
      </c>
      <c r="AJ379" s="1006"/>
      <c r="AK379" s="1468"/>
      <c r="AL379" s="1468"/>
      <c r="AM379" s="1468"/>
      <c r="AN379" s="1321"/>
      <c r="AO379" s="1468">
        <v>715000</v>
      </c>
      <c r="AP379" s="1321"/>
      <c r="AQ379" s="1321" t="s">
        <v>0</v>
      </c>
      <c r="AR379" s="1321" t="s">
        <v>48</v>
      </c>
      <c r="AS379" s="1321" t="s">
        <v>49</v>
      </c>
      <c r="AT379" s="927"/>
      <c r="AU379" s="290" t="s">
        <v>3447</v>
      </c>
      <c r="AV379" s="1541" t="s">
        <v>3448</v>
      </c>
      <c r="AW379" s="1014" t="s">
        <v>3449</v>
      </c>
      <c r="AX379" s="1542" t="s">
        <v>3450</v>
      </c>
      <c r="AY379" s="963"/>
      <c r="AZ379" s="963"/>
      <c r="BA379" s="963"/>
      <c r="BB379" s="229" t="s">
        <v>3451</v>
      </c>
      <c r="BC379" s="168" t="s">
        <v>3434</v>
      </c>
      <c r="BD379" s="1324" t="s">
        <v>55</v>
      </c>
    </row>
    <row r="380" ht="14.1" customHeight="1" spans="2:56">
      <c r="B380" s="1540" t="s">
        <v>3452</v>
      </c>
      <c r="C380" s="168" t="s">
        <v>3453</v>
      </c>
      <c r="D380" s="168" t="s">
        <v>3454</v>
      </c>
      <c r="E380" s="979" t="s">
        <v>3455</v>
      </c>
      <c r="F380" s="922" t="s">
        <v>43</v>
      </c>
      <c r="G380" s="922" t="s">
        <v>44</v>
      </c>
      <c r="H380" s="927" t="s">
        <v>1068</v>
      </c>
      <c r="I380" s="927" t="s">
        <v>428</v>
      </c>
      <c r="J380" s="927" t="s">
        <v>1533</v>
      </c>
      <c r="K380" s="1246">
        <v>43176</v>
      </c>
      <c r="L380" s="1246">
        <v>43373</v>
      </c>
      <c r="M380" s="1270"/>
      <c r="N380" s="934"/>
      <c r="O380" s="934"/>
      <c r="P380" s="934"/>
      <c r="Q380" s="934"/>
      <c r="R380" s="1246" t="s">
        <v>583</v>
      </c>
      <c r="S380" s="1246"/>
      <c r="T380" s="1246"/>
      <c r="U380" s="1246"/>
      <c r="V380" s="934"/>
      <c r="W380" s="934"/>
      <c r="X380" s="934"/>
      <c r="Y380" s="989"/>
      <c r="Z380" s="1246"/>
      <c r="AA380" s="1246"/>
      <c r="AB380" s="989"/>
      <c r="AC380" s="989"/>
      <c r="AD380" s="989"/>
      <c r="AE380" s="989"/>
      <c r="AF380" s="641">
        <v>138.55551377315</v>
      </c>
      <c r="AG380" s="187" t="s">
        <v>745</v>
      </c>
      <c r="AH380" s="1006">
        <v>2800000</v>
      </c>
      <c r="AI380" s="1006">
        <v>200000</v>
      </c>
      <c r="AJ380" s="1006" t="s">
        <v>583</v>
      </c>
      <c r="AK380" s="1468" t="s">
        <v>583</v>
      </c>
      <c r="AL380" s="1468" t="s">
        <v>583</v>
      </c>
      <c r="AM380" s="1468" t="s">
        <v>583</v>
      </c>
      <c r="AN380" s="1321" t="s">
        <v>583</v>
      </c>
      <c r="AO380" s="1468"/>
      <c r="AP380" s="1321"/>
      <c r="AQ380" s="1321" t="s">
        <v>0</v>
      </c>
      <c r="AR380" s="1321" t="s">
        <v>48</v>
      </c>
      <c r="AS380" s="1321" t="s">
        <v>49</v>
      </c>
      <c r="AT380" s="927"/>
      <c r="AU380" s="290" t="s">
        <v>3456</v>
      </c>
      <c r="AV380" s="1541" t="s">
        <v>3457</v>
      </c>
      <c r="AW380" s="1014" t="s">
        <v>3458</v>
      </c>
      <c r="AX380" s="1542" t="s">
        <v>3459</v>
      </c>
      <c r="AY380" s="963"/>
      <c r="AZ380" s="963"/>
      <c r="BA380" s="963"/>
      <c r="BB380" s="229"/>
      <c r="BC380" s="168" t="s">
        <v>3460</v>
      </c>
      <c r="BD380" s="1324"/>
    </row>
    <row r="381" ht="14.1" customHeight="1" spans="2:56">
      <c r="B381" s="1532" t="s">
        <v>3461</v>
      </c>
      <c r="C381" s="168" t="s">
        <v>3462</v>
      </c>
      <c r="D381" s="168" t="s">
        <v>3463</v>
      </c>
      <c r="E381" s="979" t="s">
        <v>3464</v>
      </c>
      <c r="F381" s="922" t="s">
        <v>43</v>
      </c>
      <c r="G381" s="922" t="s">
        <v>43</v>
      </c>
      <c r="H381" s="927" t="s">
        <v>1343</v>
      </c>
      <c r="I381" s="927" t="s">
        <v>428</v>
      </c>
      <c r="J381" s="927" t="s">
        <v>208</v>
      </c>
      <c r="K381" s="1246">
        <v>43190</v>
      </c>
      <c r="L381" s="1246">
        <v>43281</v>
      </c>
      <c r="M381" s="1270"/>
      <c r="N381" s="934"/>
      <c r="O381" s="934"/>
      <c r="P381" s="934"/>
      <c r="Q381" s="934"/>
      <c r="R381" s="1246"/>
      <c r="S381" s="1246"/>
      <c r="T381" s="1246"/>
      <c r="U381" s="1246"/>
      <c r="V381" s="934"/>
      <c r="W381" s="934"/>
      <c r="X381" s="934"/>
      <c r="Y381" s="989"/>
      <c r="Z381" s="1246"/>
      <c r="AA381" s="1246"/>
      <c r="AB381" s="989"/>
      <c r="AC381" s="989"/>
      <c r="AD381" s="989"/>
      <c r="AE381" s="989"/>
      <c r="AF381" s="641">
        <v>46.5555137731499</v>
      </c>
      <c r="AG381" s="187" t="s">
        <v>745</v>
      </c>
      <c r="AH381" s="1006">
        <v>4500000</v>
      </c>
      <c r="AI381" s="1006">
        <v>400000</v>
      </c>
      <c r="AJ381" s="1006" t="s">
        <v>583</v>
      </c>
      <c r="AK381" s="1468"/>
      <c r="AL381" s="1468"/>
      <c r="AM381" s="1468">
        <v>500000</v>
      </c>
      <c r="AN381" s="1321" t="s">
        <v>583</v>
      </c>
      <c r="AO381" s="1468">
        <v>715000</v>
      </c>
      <c r="AP381" s="1321" t="s">
        <v>583</v>
      </c>
      <c r="AQ381" s="1321" t="s">
        <v>0</v>
      </c>
      <c r="AR381" s="1321" t="s">
        <v>48</v>
      </c>
      <c r="AS381" s="1321" t="s">
        <v>49</v>
      </c>
      <c r="AT381" s="927"/>
      <c r="AU381" s="290" t="s">
        <v>3465</v>
      </c>
      <c r="AV381" s="962"/>
      <c r="AW381" s="1014"/>
      <c r="AX381" s="1542" t="s">
        <v>3466</v>
      </c>
      <c r="AY381" s="963"/>
      <c r="AZ381" s="963"/>
      <c r="BA381" s="963"/>
      <c r="BB381" s="229"/>
      <c r="BC381" s="168" t="s">
        <v>3467</v>
      </c>
      <c r="BD381" s="1324"/>
    </row>
    <row r="382" spans="4:16">
      <c r="D382" s="1488"/>
      <c r="E382"/>
      <c r="F382"/>
      <c r="G382"/>
      <c r="H382"/>
      <c r="I382"/>
      <c r="J382"/>
      <c r="K382"/>
      <c r="L382"/>
      <c r="M382"/>
      <c r="N382"/>
      <c r="O382"/>
      <c r="P382"/>
    </row>
    <row r="383" spans="4:17">
      <c r="D383" s="1489"/>
      <c r="E383"/>
      <c r="F383"/>
      <c r="G383"/>
      <c r="H383"/>
      <c r="I383"/>
      <c r="J383"/>
      <c r="K383"/>
      <c r="L383"/>
      <c r="M383"/>
      <c r="N383"/>
      <c r="O383"/>
      <c r="P383"/>
      <c r="Q383"/>
    </row>
    <row r="384" spans="4:17">
      <c r="D384"/>
      <c r="E384"/>
      <c r="F384"/>
      <c r="G384"/>
      <c r="H384"/>
      <c r="I384"/>
      <c r="J384"/>
      <c r="K384"/>
      <c r="L384"/>
      <c r="M384"/>
      <c r="N384"/>
      <c r="O384"/>
      <c r="P384"/>
      <c r="Q384"/>
    </row>
    <row r="385" ht="36.75" spans="4:17">
      <c r="D385" s="1516" t="s">
        <v>2</v>
      </c>
      <c r="E385" s="1522" t="s">
        <v>8</v>
      </c>
      <c r="F385" s="1522" t="s">
        <v>6</v>
      </c>
      <c r="G385" s="1523" t="s">
        <v>3468</v>
      </c>
      <c r="H385" s="1523" t="s">
        <v>3469</v>
      </c>
      <c r="I385" s="1523" t="s">
        <v>3470</v>
      </c>
      <c r="J385" s="1523" t="s">
        <v>3471</v>
      </c>
      <c r="K385" s="1523" t="s">
        <v>3472</v>
      </c>
      <c r="L385" s="1523" t="s">
        <v>3473</v>
      </c>
      <c r="M385" s="1523" t="s">
        <v>3474</v>
      </c>
      <c r="N385" s="1523" t="s">
        <v>3475</v>
      </c>
      <c r="O385" s="1523" t="s">
        <v>3476</v>
      </c>
      <c r="P385" s="1523" t="s">
        <v>3477</v>
      </c>
      <c r="Q385" s="1523" t="s">
        <v>3478</v>
      </c>
    </row>
    <row r="386" ht="24.75" spans="3:17">
      <c r="C386" s="1517" t="s">
        <v>3479</v>
      </c>
      <c r="D386" s="1518" t="s">
        <v>1490</v>
      </c>
      <c r="E386" s="1524" t="s">
        <v>208</v>
      </c>
      <c r="F386" s="1524" t="s">
        <v>920</v>
      </c>
      <c r="G386" s="1524">
        <v>3603201904950000</v>
      </c>
      <c r="H386" s="1524">
        <v>82110614676</v>
      </c>
      <c r="I386" s="1527" t="s">
        <v>3480</v>
      </c>
      <c r="J386" s="1528" t="s">
        <v>3481</v>
      </c>
      <c r="K386" s="1528" t="s">
        <v>3482</v>
      </c>
      <c r="L386" s="1524" t="s">
        <v>3483</v>
      </c>
      <c r="M386" s="1524" t="s">
        <v>3484</v>
      </c>
      <c r="N386" s="1524" t="s">
        <v>3485</v>
      </c>
      <c r="O386" s="1530">
        <v>4590000</v>
      </c>
      <c r="P386" s="1531">
        <v>43154</v>
      </c>
      <c r="Q386" s="1524" t="s">
        <v>3486</v>
      </c>
    </row>
    <row r="387" ht="36.75" spans="4:17">
      <c r="D387" s="1518" t="s">
        <v>1912</v>
      </c>
      <c r="E387" s="1524" t="s">
        <v>1503</v>
      </c>
      <c r="F387" s="1524" t="s">
        <v>3487</v>
      </c>
      <c r="G387" s="1524">
        <v>1671016106820000</v>
      </c>
      <c r="H387" s="1524">
        <v>81297971884</v>
      </c>
      <c r="I387" s="1527" t="s">
        <v>1921</v>
      </c>
      <c r="J387" s="1528" t="s">
        <v>3488</v>
      </c>
      <c r="K387" s="1528" t="s">
        <v>3489</v>
      </c>
      <c r="L387" s="1524" t="s">
        <v>3490</v>
      </c>
      <c r="M387" s="1530">
        <v>500000</v>
      </c>
      <c r="N387" s="1524" t="s">
        <v>3491</v>
      </c>
      <c r="O387" s="1530">
        <v>4474000</v>
      </c>
      <c r="P387" s="1531">
        <v>43153</v>
      </c>
      <c r="Q387" s="1524" t="s">
        <v>3486</v>
      </c>
    </row>
    <row r="388" spans="4:17">
      <c r="D388"/>
      <c r="E388"/>
      <c r="F388"/>
      <c r="G388"/>
      <c r="H388"/>
      <c r="I388"/>
      <c r="J388"/>
      <c r="K388"/>
      <c r="L388"/>
      <c r="M388"/>
      <c r="N388"/>
      <c r="O388"/>
      <c r="P388"/>
      <c r="Q388"/>
    </row>
    <row r="389" spans="4:17">
      <c r="D389" s="1489"/>
      <c r="E389"/>
      <c r="F389"/>
      <c r="G389"/>
      <c r="H389"/>
      <c r="I389"/>
      <c r="J389"/>
      <c r="K389"/>
      <c r="L389"/>
      <c r="M389"/>
      <c r="N389"/>
      <c r="O389"/>
      <c r="P389"/>
      <c r="Q389"/>
    </row>
    <row r="390" spans="4:9">
      <c r="D390" s="1519"/>
      <c r="E390"/>
      <c r="F390"/>
      <c r="G390"/>
      <c r="H390"/>
      <c r="I390"/>
    </row>
    <row r="391" spans="4:9">
      <c r="D391"/>
      <c r="E391"/>
      <c r="F391"/>
      <c r="G391"/>
      <c r="H391"/>
      <c r="I391"/>
    </row>
    <row r="392" spans="4:9">
      <c r="D392" s="1520" t="s">
        <v>3492</v>
      </c>
      <c r="E392" s="1525" t="s">
        <v>3493</v>
      </c>
      <c r="F392" s="1525" t="s">
        <v>3494</v>
      </c>
      <c r="G392" s="1525" t="s">
        <v>3495</v>
      </c>
      <c r="H392" s="1525" t="s">
        <v>3496</v>
      </c>
      <c r="I392" s="1525" t="s">
        <v>3497</v>
      </c>
    </row>
    <row r="393" spans="4:9">
      <c r="D393" s="1521" t="s">
        <v>3498</v>
      </c>
      <c r="E393" s="1526" t="s">
        <v>3499</v>
      </c>
      <c r="F393" s="1526">
        <v>82152762888</v>
      </c>
      <c r="G393" s="1526" t="s">
        <v>1068</v>
      </c>
      <c r="H393" s="1526" t="s">
        <v>3500</v>
      </c>
      <c r="I393" s="1529" t="s">
        <v>3501</v>
      </c>
    </row>
    <row r="394" spans="4:9">
      <c r="D394" s="1521" t="s">
        <v>1350</v>
      </c>
      <c r="E394" s="1526" t="s">
        <v>3499</v>
      </c>
      <c r="F394" s="1526">
        <v>85820266226</v>
      </c>
      <c r="G394" s="1526" t="s">
        <v>1068</v>
      </c>
      <c r="H394" s="1526" t="s">
        <v>3500</v>
      </c>
      <c r="I394" s="1529" t="s">
        <v>3501</v>
      </c>
    </row>
    <row r="395" spans="4:9">
      <c r="D395" s="1521" t="s">
        <v>1165</v>
      </c>
      <c r="E395" s="1526" t="s">
        <v>3499</v>
      </c>
      <c r="F395" s="1526">
        <v>85750013719</v>
      </c>
      <c r="G395" s="1526" t="s">
        <v>1068</v>
      </c>
      <c r="H395" s="1526" t="s">
        <v>3500</v>
      </c>
      <c r="I395" s="1529" t="s">
        <v>3501</v>
      </c>
    </row>
    <row r="396" spans="4:9">
      <c r="D396" s="1521" t="s">
        <v>1088</v>
      </c>
      <c r="E396" s="1526" t="s">
        <v>1550</v>
      </c>
      <c r="F396" s="1526">
        <v>85787419066</v>
      </c>
      <c r="G396" s="1526" t="s">
        <v>1068</v>
      </c>
      <c r="H396" s="1526" t="s">
        <v>3500</v>
      </c>
      <c r="I396" s="1529" t="s">
        <v>3501</v>
      </c>
    </row>
    <row r="397" spans="3:8">
      <c r="C397"/>
      <c r="D397"/>
      <c r="E397"/>
      <c r="F397"/>
      <c r="G397"/>
      <c r="H397"/>
    </row>
    <row r="398" spans="3:8">
      <c r="C398" s="1519"/>
      <c r="D398"/>
      <c r="E398"/>
      <c r="F398"/>
      <c r="G398"/>
      <c r="H398"/>
    </row>
  </sheetData>
  <sortState ref="C166:T184">
    <sortCondition ref="C166:C184"/>
  </sortState>
  <mergeCells count="39">
    <mergeCell ref="K3:L3"/>
    <mergeCell ref="M3:U3"/>
    <mergeCell ref="V3:W3"/>
    <mergeCell ref="X3:AA3"/>
    <mergeCell ref="AB3:AC3"/>
    <mergeCell ref="AD3:AE3"/>
    <mergeCell ref="B3:B4"/>
    <mergeCell ref="C3:C4"/>
    <mergeCell ref="D3:D4"/>
    <mergeCell ref="E3:E4"/>
    <mergeCell ref="F3:F4"/>
    <mergeCell ref="G3:G4"/>
    <mergeCell ref="H3:H4"/>
    <mergeCell ref="I3:I4"/>
    <mergeCell ref="J3:J4"/>
    <mergeCell ref="AF3:AF4"/>
    <mergeCell ref="AG3:AG4"/>
    <mergeCell ref="AH3:AH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s>
  <conditionalFormatting sqref="BC270;P270:U270;N280;BC277:BC280;P274:U288;P67:U67;O41;BC67;BC307;M307:N307;P307:U308;N53;BC7:BC14;N42:N51;W18:W23;Q61:U61;N58:N59;M49:M55;BC17:BC59;P5:U60;W5:W14">
    <cfRule type="expression" dxfId="0" priority="1" stopIfTrue="1">
      <formula>IF(OR(#REF!="not",#REF!="resign",#REF!="permanent",#REF!="terminated"),"true","false")</formula>
    </cfRule>
  </conditionalFormatting>
  <conditionalFormatting sqref="AG3:AG4">
    <cfRule type="expression" dxfId="1" priority="2" stopIfTrue="1">
      <formula>NOT(ISERROR(SEARCH("warning",AG3)))</formula>
    </cfRule>
  </conditionalFormatting>
  <conditionalFormatting sqref="BG56;BG47;BG44;BG29:BG30;BG32:BG38;AJ60:AJ61;AJ308;L60:L61;L308;I308;AQ60:AS62;AQ308:AS308;C89:C90;AM89:AM90;J89:L90;N89:AE90;AQ70:AS73;I60:I61;BG49:BG50;BG8:BG27;BG5:BG6;BD363;BG53:BG54;AQ132:AS138;C91:H91;I89:I91;AK89:AL91;AN89:AN91;AP89:AP91;BD1:BD141">
    <cfRule type="expression" dxfId="2" priority="3" stopIfTrue="1">
      <formula>IF(OR(#REF!="not",#REF!="resign",#REF!="resign",#REF!="end",#REF!="terminated",#REF!="permanent"),"TRUE","FALSE")</formula>
    </cfRule>
  </conditionalFormatting>
  <conditionalFormatting sqref="F63:F65;AQ63:AS65;AJ63:AJ65;M63:M65">
    <cfRule type="expression" dxfId="3" priority="4" stopIfTrue="1">
      <formula>IF(OR(#REF!="not",#REF!="resign",#REF!="resign",#REF!="end",#REF!="terminated",#REF!="permanent"),"TRUE","FALSE")</formula>
    </cfRule>
  </conditionalFormatting>
  <conditionalFormatting sqref="BC274">
    <cfRule type="expression" dxfId="4" priority="5" stopIfTrue="1">
      <formula>IF(OR(#REF!="not",#REF!="resign",#REF!="permanent",#REF!="terminated"),"true","false")</formula>
    </cfRule>
  </conditionalFormatting>
  <conditionalFormatting sqref="AH286;C281:AE285;AH281:BB285;AQ60:AS61;AQ308:AS308;C60:G61;C308:G308;I60:I61;I308">
    <cfRule type="expression" dxfId="5" priority="6" stopIfTrue="1">
      <formula>IF(OR(#REF!="not",#REF!="resign",#REF!="resign",#REF!="end",#REF!="terminated",#REF!="permanent"),"TRUE","FALSE")</formula>
    </cfRule>
  </conditionalFormatting>
  <conditionalFormatting sqref="AQ281:AS281;AH286:AP286;AH60:AP61;M60">
    <cfRule type="expression" dxfId="6" priority="7" stopIfTrue="1">
      <formula>IF(OR(#REF!="not",#REF!="resign",#REF!="resign",#REF!="end",#REF!="terminated",#REF!="permanent"),"TRUE","FALSE")</formula>
    </cfRule>
  </conditionalFormatting>
  <conditionalFormatting sqref="M286:AE286;C286:G286;AK286:BB286;C287:H289;AH287:BB289;J287:AE289;AH273:AR273;D273:H273;J273:AE273;AT273:BC273;AH63:AR65;D63:H65;J63:L65;AT63:BC65;F62;AK60:BC60;H308;AH308:BC308;AK61:BB61;J308:L308;N308:AE308;P60:V60;Q61:V61;Q65:V65;P63:V64;X63:AE65;X60:AE61">
    <cfRule type="expression" dxfId="7" priority="8" stopIfTrue="1">
      <formula>IF(OR(#REF!="not",#REF!="resign",#REF!="resign",#REF!="end",#REF!="terminated",#REF!="permanent"),"TRUE","FALSE")</formula>
    </cfRule>
  </conditionalFormatting>
  <conditionalFormatting sqref="P286:U288;M308">
    <cfRule type="expression" dxfId="8" priority="9" stopIfTrue="1">
      <formula>IF(OR(#REF!="not",#REF!="resign",#REF!="permanent",#REF!="terminated"),"true","false")</formula>
    </cfRule>
  </conditionalFormatting>
  <conditionalFormatting sqref="AQ286:AS288;M308">
    <cfRule type="expression" dxfId="9" priority="10" stopIfTrue="1">
      <formula>IF(OR(#REF!="not",#REF!="resign",#REF!="resign",#REF!="end",#REF!="terminated",#REF!="permanent"),"TRUE","FALSE")</formula>
    </cfRule>
  </conditionalFormatting>
  <conditionalFormatting sqref="I286:I288">
    <cfRule type="expression" dxfId="10" priority="11" stopIfTrue="1">
      <formula>IF(OR(#REF!="not",#REF!="resign",#REF!="resign",#REF!="end",#REF!="terminated",#REF!="permanent"),"TRUE","FALSE")</formula>
    </cfRule>
  </conditionalFormatting>
  <conditionalFormatting sqref="I63:I65;F62:F65">
    <cfRule type="expression" dxfId="11" priority="12" stopIfTrue="1">
      <formula>IF(OR(#REF!="not",#REF!="resign",#REF!="resign",#REF!="end",#REF!="terminated",#REF!="permanent"),"TRUE","FALSE")</formula>
    </cfRule>
  </conditionalFormatting>
  <conditionalFormatting sqref="Q62:U62">
    <cfRule type="expression" dxfId="12" priority="13" stopIfTrue="1">
      <formula>IF(OR(#REF!="not",#REF!="resign",#REF!="permanent",#REF!="terminated"),"true","false")</formula>
    </cfRule>
  </conditionalFormatting>
  <conditionalFormatting sqref="AQ289:AR289;C62:H62;J62:L62;Q62:V62;AH62:BA62;X62:AE62">
    <cfRule type="expression" dxfId="13" priority="14" stopIfTrue="1">
      <formula>IF(OR(#REF!="not",#REF!="resign",#REF!="resign",#REF!="end",#REF!="terminated",#REF!="permanent"),"TRUE","FALSE")</formula>
    </cfRule>
  </conditionalFormatting>
  <conditionalFormatting sqref="I289;I62;R98:U98;K98:L98;AQ97:AS98;AX98;E98;Z98:AA98;BD142:BD259;BD261:BD313">
    <cfRule type="expression" dxfId="14" priority="15" stopIfTrue="1">
      <formula>IF(OR(#REF!="not",#REF!="resign",#REF!="resign",#REF!="end",#REF!="terminated",#REF!="permanent"),"TRUE","FALSE")</formula>
    </cfRule>
  </conditionalFormatting>
  <conditionalFormatting sqref="AR324:AS324;C324:N324;AH324:AP324;AU324:BC324;U324;C66:H66;J66:L66;N66;AH63:AP66;AT66:BC66;R66:W66;M75;M88;M93;M95:M96;M98;M108;M115;M118:M120;M127;M191;M132;AK69:AK73;AR336:AS336;C336:N336;AH336:AP336;AU336:BC336;U336;J360:L360;N360;AH360:AP360;AU360:BC360;U360;M208:M217;M100:M106;M141:M185;M260">
    <cfRule type="expression" dxfId="15" priority="16" stopIfTrue="1">
      <formula>IF(OR($BF63="not",$BF63="resign",$BF63="resign",$BF63="end",$BF63="terminated",$BF63="permanent"),"TRUE","FALSE")</formula>
    </cfRule>
  </conditionalFormatting>
  <conditionalFormatting sqref="X6;P70:U73;BC70:BC73">
    <cfRule type="expression" dxfId="16" priority="17" stopIfTrue="1">
      <formula>IF(OR(#REF!="not",#REF!="resign",#REF!="permanent",#REF!="terminated"),"true","false")</formula>
    </cfRule>
  </conditionalFormatting>
  <conditionalFormatting sqref="BC281:BC289;P271:U271;X12">
    <cfRule type="expression" dxfId="17" priority="18" stopIfTrue="1">
      <formula>IF(OR(#REF!="not",#REF!="resign",#REF!="permanent",#REF!="terminated"),"true","false")</formula>
    </cfRule>
  </conditionalFormatting>
  <conditionalFormatting sqref="C63:C65;AT70:AU73;J70:K73;C70:E73;BC70:BC73;AH70:AI73;AK70:AP73">
    <cfRule type="expression" dxfId="18" priority="19" stopIfTrue="1">
      <formula>IF(OR(#REF!="not",#REF!="resign",#REF!="resign",#REF!="end",#REF!="terminated",#REF!="permanent"),"TRUE","FALSE")</formula>
    </cfRule>
  </conditionalFormatting>
  <conditionalFormatting sqref="BC282:BC289;AJ271;AM271;I271:I272;F272;AQ272:AS273;BC61">
    <cfRule type="expression" dxfId="19" priority="20" stopIfTrue="1">
      <formula>IF(OR(#REF!="not",#REF!="resign",#REF!="resign",#REF!="end",#REF!="terminated",#REF!="permanent"),"TRUE","FALSE")</formula>
    </cfRule>
  </conditionalFormatting>
  <conditionalFormatting sqref="C271:H271;J271:AE271;C272:AE272;AH271:BC272">
    <cfRule type="expression" dxfId="20" priority="21" stopIfTrue="1">
      <formula>IF(OR(#REF!="not",#REF!="resign",#REF!="resign",#REF!="end",#REF!="terminated",#REF!="permanent"),"TRUE","FALSE")</formula>
    </cfRule>
  </conditionalFormatting>
  <conditionalFormatting sqref="P271:U271">
    <cfRule type="expression" dxfId="21" priority="22" stopIfTrue="1">
      <formula>IF(OR(#REF!="not",#REF!="resign",#REF!="permanent",#REF!="terminated"),"true","false")</formula>
    </cfRule>
  </conditionalFormatting>
  <conditionalFormatting sqref="F271:F272">
    <cfRule type="expression" dxfId="22" priority="23" stopIfTrue="1">
      <formula>IF(OR(#REF!="not",#REF!="resign",#REF!="resign",#REF!="end",#REF!="terminated",#REF!="permanent"),"TRUE","FALSE")</formula>
    </cfRule>
  </conditionalFormatting>
  <conditionalFormatting sqref="AQ271:AS271;AQ273:AS273;AQ272:AR272">
    <cfRule type="expression" dxfId="23" priority="24" stopIfTrue="1">
      <formula>IF(OR(#REF!="not",#REF!="resign",#REF!="resign",#REF!="end",#REF!="terminated",#REF!="permanent"),"TRUE","FALSE")</formula>
    </cfRule>
  </conditionalFormatting>
  <conditionalFormatting sqref="L271;AQ271:AS271;AS272:AS273;BC62">
    <cfRule type="expression" dxfId="24" priority="25" stopIfTrue="1">
      <formula>IF(OR(#REF!="not",#REF!="resign",#REF!="resign",#REF!="end",#REF!="terminated",#REF!="permanent"),"TRUE","FALSE")</formula>
    </cfRule>
  </conditionalFormatting>
  <conditionalFormatting sqref="I273">
    <cfRule type="expression" dxfId="25" priority="26" stopIfTrue="1">
      <formula>IF(OR(#REF!="not",#REF!="resign",#REF!="resign",#REF!="end",#REF!="terminated",#REF!="permanent"),"TRUE","FALSE")</formula>
    </cfRule>
  </conditionalFormatting>
  <conditionalFormatting sqref="AQ273:AR273;F273">
    <cfRule type="expression" dxfId="26" priority="27" stopIfTrue="1">
      <formula>IF(OR(#REF!="not",#REF!="resign",#REF!="resign",#REF!="end",#REF!="terminated",#REF!="permanent"),"TRUE","FALSE")</formula>
    </cfRule>
  </conditionalFormatting>
  <conditionalFormatting sqref="F273">
    <cfRule type="expression" dxfId="27" priority="28" stopIfTrue="1">
      <formula>IF(OR(#REF!="not",#REF!="resign",#REF!="resign",#REF!="end",#REF!="terminated",#REF!="permanent"),"TRUE","FALSE")</formula>
    </cfRule>
  </conditionalFormatting>
  <conditionalFormatting sqref="C273">
    <cfRule type="expression" dxfId="28" priority="29" stopIfTrue="1">
      <formula>IF(OR(#REF!="not",#REF!="resign",#REF!="resign",#REF!="end",#REF!="terminated",#REF!="permanent"),"TRUE","FALSE")</formula>
    </cfRule>
  </conditionalFormatting>
  <conditionalFormatting sqref="I66">
    <cfRule type="expression" dxfId="29" priority="30" stopIfTrue="1">
      <formula>IF(OR(#REF!="not",#REF!="resign",#REF!="resign",#REF!="end",#REF!="terminated",#REF!="permanent"),"TRUE","FALSE")</formula>
    </cfRule>
  </conditionalFormatting>
  <conditionalFormatting sqref="AQ66:AS66">
    <cfRule type="expression" dxfId="30" priority="31" stopIfTrue="1">
      <formula>IF(OR(#REF!="not",#REF!="resign",#REF!="resign",#REF!="end",#REF!="terminated",#REF!="permanent"),"TRUE","FALSE")</formula>
    </cfRule>
  </conditionalFormatting>
  <conditionalFormatting sqref="P290:U291">
    <cfRule type="expression" dxfId="31" priority="32" stopIfTrue="1">
      <formula>IF(OR(#REF!="not",#REF!="resign",#REF!="permanent",#REF!="terminated"),"true","false")</formula>
    </cfRule>
    <cfRule type="expression" dxfId="32" priority="33" stopIfTrue="1">
      <formula>IF(OR(#REF!="not",#REF!="resign",#REF!="permanent",#REF!="terminated"),"true","false")</formula>
    </cfRule>
    <cfRule type="expression" dxfId="33" priority="34" stopIfTrue="1">
      <formula>IF(OR(#REF!="not",#REF!="resign",#REF!="permanent",#REF!="terminated"),"true","false")</formula>
    </cfRule>
  </conditionalFormatting>
  <conditionalFormatting sqref="M291;N290;BC290:BC291">
    <cfRule type="expression" dxfId="34" priority="35" stopIfTrue="1">
      <formula>IF(OR(#REF!="not",#REF!="resign",#REF!="permanent",#REF!="terminated"),"true","false")</formula>
    </cfRule>
  </conditionalFormatting>
  <conditionalFormatting sqref="AH290:BC291;C290:AE291">
    <cfRule type="expression" dxfId="35" priority="36" stopIfTrue="1">
      <formula>IF(OR(#REF!="not",#REF!="resign",#REF!="resign",#REF!="end",#REF!="terminated",#REF!="permanent"),"TRUE","FALSE")</formula>
    </cfRule>
  </conditionalFormatting>
  <conditionalFormatting sqref="F292:F294;AQ292:AS294;AJ292:AJ294;M292:M294">
    <cfRule type="expression" dxfId="36" priority="37" stopIfTrue="1">
      <formula>IF(OR(#REF!="not",#REF!="resign",#REF!="resign",#REF!="end",#REF!="terminated",#REF!="permanent"),"TRUE","FALSE")</formula>
    </cfRule>
  </conditionalFormatting>
  <conditionalFormatting sqref="I292:I294">
    <cfRule type="expression" dxfId="37" priority="38" stopIfTrue="1">
      <formula>IF(OR(#REF!="not",#REF!="resign",#REF!="resign",#REF!="end",#REF!="terminated",#REF!="permanent"),"TRUE","FALSE")</formula>
    </cfRule>
  </conditionalFormatting>
  <conditionalFormatting sqref="C292:C294">
    <cfRule type="expression" dxfId="38" priority="39" stopIfTrue="1">
      <formula>IF(OR(#REF!="not",#REF!="resign",#REF!="resign",#REF!="end",#REF!="terminated",#REF!="permanent"),"TRUE","FALSE")</formula>
    </cfRule>
  </conditionalFormatting>
  <conditionalFormatting sqref="BC68;P68:U68">
    <cfRule type="expression" dxfId="39" priority="40" stopIfTrue="1">
      <formula>IF(OR(#REF!="not",#REF!="resign",#REF!="permanent",#REF!="terminated"),"true","false")</formula>
    </cfRule>
  </conditionalFormatting>
  <conditionalFormatting sqref="BC296:BC297;P295:U298">
    <cfRule type="expression" dxfId="40" priority="41" stopIfTrue="1">
      <formula>IF(OR(#REF!="not",#REF!="resign",#REF!="permanent",#REF!="terminated"),"true","false")</formula>
    </cfRule>
  </conditionalFormatting>
  <conditionalFormatting sqref="O295:O297;BC295;W295;M298">
    <cfRule type="expression" dxfId="41" priority="42" stopIfTrue="1">
      <formula>IF(OR(#REF!="not",#REF!="resign",#REF!="permanent",#REF!="terminated"),"true","false")</formula>
    </cfRule>
  </conditionalFormatting>
  <conditionalFormatting sqref="AH295:BC297;AH298:BB298;C295:AE298">
    <cfRule type="expression" dxfId="42" priority="43" stopIfTrue="1">
      <formula>IF(OR(#REF!="not",#REF!="resign",#REF!="resign",#REF!="end",#REF!="terminated",#REF!="permanent"),"TRUE","FALSE")</formula>
    </cfRule>
  </conditionalFormatting>
  <conditionalFormatting sqref="P295:U298">
    <cfRule type="expression" dxfId="43" priority="44" stopIfTrue="1">
      <formula>IF(OR(#REF!="not",#REF!="resign",#REF!="permanent",#REF!="terminated"),"true","false")</formula>
    </cfRule>
    <cfRule type="expression" dxfId="44" priority="45" stopIfTrue="1">
      <formula>IF(OR(#REF!="not",#REF!="resign",#REF!="permanent",#REF!="terminated"),"true","false")</formula>
    </cfRule>
  </conditionalFormatting>
  <conditionalFormatting sqref="F299;AQ299:AS299;M299;AS300">
    <cfRule type="expression" dxfId="45" priority="46" stopIfTrue="1">
      <formula>IF(OR(#REF!="not",#REF!="resign",#REF!="resign",#REF!="end",#REF!="terminated",#REF!="permanent"),"TRUE","FALSE")</formula>
    </cfRule>
  </conditionalFormatting>
  <conditionalFormatting sqref="P299:U299">
    <cfRule type="expression" dxfId="46" priority="47" stopIfTrue="1">
      <formula>IF(OR(#REF!="not",#REF!="resign",#REF!="permanent",#REF!="terminated"),"true","false")</formula>
    </cfRule>
  </conditionalFormatting>
  <conditionalFormatting sqref="J299:K299;C299:H299;AH299:BC299;N299:AE299">
    <cfRule type="expression" dxfId="47" priority="48" stopIfTrue="1">
      <formula>IF(OR(#REF!="not",#REF!="resign",#REF!="resign",#REF!="end",#REF!="terminated",#REF!="permanent"),"TRUE","FALSE")</formula>
    </cfRule>
  </conditionalFormatting>
  <conditionalFormatting sqref="F299">
    <cfRule type="expression" dxfId="48" priority="49" stopIfTrue="1">
      <formula>IF(OR(#REF!="not",#REF!="resign",#REF!="resign",#REF!="end",#REF!="terminated",#REF!="permanent"),"TRUE","FALSE")</formula>
    </cfRule>
  </conditionalFormatting>
  <conditionalFormatting sqref="AQ299:AR299;AH300:AR300;C300:H300;J300:AE300;AT300:BB300">
    <cfRule type="expression" dxfId="49" priority="50" stopIfTrue="1">
      <formula>IF(OR(#REF!="not",#REF!="resign",#REF!="resign",#REF!="end",#REF!="terminated",#REF!="permanent"),"TRUE","FALSE")</formula>
    </cfRule>
  </conditionalFormatting>
  <conditionalFormatting sqref="L299">
    <cfRule type="expression" dxfId="50" priority="51" stopIfTrue="1">
      <formula>IF(OR(#REF!="not",#REF!="resign",#REF!="resign",#REF!="end",#REF!="terminated",#REF!="permanent"),"TRUE","FALSE")</formula>
    </cfRule>
  </conditionalFormatting>
  <conditionalFormatting sqref="BC300;AK174:AP185;AK217:AP217;Z217:AA217;AX217;AX168:AX185;Z168:AA185">
    <cfRule type="expression" dxfId="51" priority="52" stopIfTrue="1">
      <formula>IF(OR(#REF!="not",#REF!="resign",#REF!="resign",#REF!="end",#REF!="terminated",#REF!="permanent"),"TRUE","FALSE")</formula>
    </cfRule>
  </conditionalFormatting>
  <conditionalFormatting sqref="C68;AQ69:AR69">
    <cfRule type="expression" dxfId="52" priority="53" stopIfTrue="1">
      <formula>IF(OR(#REF!="not",#REF!="resign",#REF!="resign",#REF!="end",#REF!="terminated",#REF!="permanent"),"TRUE","FALSE")</formula>
    </cfRule>
  </conditionalFormatting>
  <conditionalFormatting sqref="N305;BC304:BC305;P301:U306">
    <cfRule type="expression" dxfId="53" priority="54" stopIfTrue="1">
      <formula>IF(OR(#REF!="not",#REF!="resign",#REF!="permanent",#REF!="terminated"),"true","false")</formula>
    </cfRule>
  </conditionalFormatting>
  <conditionalFormatting sqref="AG301:AG306">
    <cfRule type="expression" dxfId="54" priority="55" stopIfTrue="1">
      <formula>NOT(ISERROR(SEARCH("warning",AG301)))</formula>
    </cfRule>
  </conditionalFormatting>
  <conditionalFormatting sqref="BC302">
    <cfRule type="expression" dxfId="55" priority="56" stopIfTrue="1">
      <formula>IF(OR(#REF!="not",#REF!="resign",#REF!="permanent",#REF!="terminated"),"true","false")</formula>
    </cfRule>
  </conditionalFormatting>
  <conditionalFormatting sqref="N304">
    <cfRule type="expression" dxfId="56" priority="57" stopIfTrue="1">
      <formula>IF(OR(#REF!="not",#REF!="resign",#REF!="permanent",#REF!="terminated"),"true","false")</formula>
    </cfRule>
  </conditionalFormatting>
  <conditionalFormatting sqref="F306;AM306;I306;AQ306:AS306">
    <cfRule type="expression" dxfId="57" priority="58" stopIfTrue="1">
      <formula>IF(OR(#REF!="not",#REF!="resign",#REF!="resign",#REF!="end",#REF!="terminated",#REF!="permanent"),"TRUE","FALSE")</formula>
    </cfRule>
  </conditionalFormatting>
  <conditionalFormatting sqref="AH306:BC306;C306:AE306">
    <cfRule type="expression" dxfId="58" priority="59" stopIfTrue="1">
      <formula>IF(OR(#REF!="not",#REF!="resign",#REF!="resign",#REF!="end",#REF!="terminated",#REF!="permanent"),"TRUE","FALSE")</formula>
    </cfRule>
  </conditionalFormatting>
  <conditionalFormatting sqref="N61">
    <cfRule type="expression" dxfId="59" priority="60" stopIfTrue="1">
      <formula>IF(OR(#REF!="not",#REF!="resign",#REF!="resign",#REF!="end",#REF!="terminated",#REF!="permanent"),"TRUE","FALSE")</formula>
    </cfRule>
  </conditionalFormatting>
  <conditionalFormatting sqref="N62">
    <cfRule type="expression" dxfId="60" priority="61" stopIfTrue="1">
      <formula>IF(OR(#REF!="not",#REF!="resign",#REF!="resign",#REF!="end",#REF!="terminated",#REF!="permanent"),"TRUE","FALSE")</formula>
    </cfRule>
  </conditionalFormatting>
  <conditionalFormatting sqref="N65">
    <cfRule type="expression" dxfId="61" priority="62" stopIfTrue="1">
      <formula>IF(OR(#REF!="not",#REF!="resign",#REF!="resign",#REF!="end",#REF!="terminated",#REF!="permanent"),"TRUE","FALSE")</formula>
    </cfRule>
  </conditionalFormatting>
  <conditionalFormatting sqref="L69">
    <cfRule type="expression" dxfId="62" priority="63" stopIfTrue="1">
      <formula>IF(OR(#REF!="not",#REF!="resign",#REF!="resign",#REF!="end",#REF!="terminated",#REF!="permanent"),"TRUE","FALSE")</formula>
    </cfRule>
  </conditionalFormatting>
  <conditionalFormatting sqref="H69:I69">
    <cfRule type="expression" dxfId="63" priority="64" stopIfTrue="1">
      <formula>IF(OR(#REF!="not",#REF!="resign",#REF!="resign",#REF!="end",#REF!="terminated",#REF!="permanent"),"TRUE","FALSE")</formula>
    </cfRule>
  </conditionalFormatting>
  <conditionalFormatting sqref="BC69;P69:U69">
    <cfRule type="expression" dxfId="64" priority="65" stopIfTrue="1">
      <formula>IF(OR(#REF!="not",#REF!="resign",#REF!="permanent",#REF!="terminated"),"true","false")</formula>
    </cfRule>
  </conditionalFormatting>
  <conditionalFormatting sqref="C69">
    <cfRule type="expression" dxfId="65" priority="66" stopIfTrue="1">
      <formula>IF(OR(#REF!="not",#REF!="resign",#REF!="resign",#REF!="end",#REF!="terminated",#REF!="permanent"),"TRUE","FALSE")</formula>
    </cfRule>
  </conditionalFormatting>
  <conditionalFormatting sqref="AJ69">
    <cfRule type="expression" dxfId="66" priority="67" stopIfTrue="1">
      <formula>IF(OR(#REF!="not",#REF!="resign",#REF!="resign",#REF!="end",#REF!="terminated",#REF!="permanent"),"TRUE","FALSE")</formula>
    </cfRule>
  </conditionalFormatting>
  <conditionalFormatting sqref="AS69">
    <cfRule type="expression" dxfId="67" priority="68" stopIfTrue="1">
      <formula>IF(OR(#REF!="not",#REF!="resign",#REF!="resign",#REF!="end",#REF!="terminated",#REF!="permanent"),"TRUE","FALSE")</formula>
    </cfRule>
  </conditionalFormatting>
  <conditionalFormatting sqref="AJ70">
    <cfRule type="expression" dxfId="68" priority="69" stopIfTrue="1">
      <formula>IF(OR(#REF!="not",#REF!="resign",#REF!="resign",#REF!="end",#REF!="terminated",#REF!="permanent"),"TRUE","FALSE")</formula>
    </cfRule>
  </conditionalFormatting>
  <conditionalFormatting sqref="N70:N73">
    <cfRule type="expression" dxfId="69" priority="70" stopIfTrue="1">
      <formula>IF(OR(#REF!="not",#REF!="resign",#REF!="permanent",#REF!="terminated"),"true","false")</formula>
    </cfRule>
  </conditionalFormatting>
  <conditionalFormatting sqref="N70:AE73">
    <cfRule type="expression" dxfId="70" priority="71" stopIfTrue="1">
      <formula>IF(OR(#REF!="not",#REF!="resign",#REF!="resign",#REF!="end",#REF!="terminated",#REF!="permanent"),"TRUE","FALSE")</formula>
    </cfRule>
  </conditionalFormatting>
  <conditionalFormatting sqref="AJ71">
    <cfRule type="expression" dxfId="71" priority="72" stopIfTrue="1">
      <formula>IF(OR(#REF!="not",#REF!="resign",#REF!="resign",#REF!="end",#REF!="terminated",#REF!="permanent"),"TRUE","FALSE")</formula>
    </cfRule>
  </conditionalFormatting>
  <conditionalFormatting sqref="AJ72">
    <cfRule type="expression" dxfId="72" priority="73" stopIfTrue="1">
      <formula>IF(OR(#REF!="not",#REF!="resign",#REF!="resign",#REF!="end",#REF!="terminated",#REF!="permanent"),"TRUE","FALSE")</formula>
    </cfRule>
  </conditionalFormatting>
  <conditionalFormatting sqref="AJ73">
    <cfRule type="expression" dxfId="73" priority="74" stopIfTrue="1">
      <formula>IF(OR(#REF!="not",#REF!="resign",#REF!="resign",#REF!="end",#REF!="terminated",#REF!="permanent"),"TRUE","FALSE")</formula>
    </cfRule>
  </conditionalFormatting>
  <conditionalFormatting sqref="P74:U74">
    <cfRule type="expression" dxfId="74" priority="75" stopIfTrue="1">
      <formula>IF(OR(#REF!="not",#REF!="resign",#REF!="permanent",#REF!="terminated"),"true","false")</formula>
    </cfRule>
  </conditionalFormatting>
  <conditionalFormatting sqref="BC75;W75:W78;P75:U78">
    <cfRule type="expression" dxfId="75" priority="76" stopIfTrue="1">
      <formula>IF(OR(#REF!="not",#REF!="resign",#REF!="permanent",#REF!="terminated"),"true","false")</formula>
    </cfRule>
  </conditionalFormatting>
  <conditionalFormatting sqref="BC76:BC78">
    <cfRule type="expression" dxfId="76" priority="77" stopIfTrue="1">
      <formula>IF(OR(#REF!="not",#REF!="resign",#REF!="permanent",#REF!="terminated"),"true","false")</formula>
    </cfRule>
  </conditionalFormatting>
  <conditionalFormatting sqref="AQ75:AS79">
    <cfRule type="expression" dxfId="77" priority="78" stopIfTrue="1">
      <formula>IF(OR(#REF!="not",#REF!="resign",#REF!="resign",#REF!="end",#REF!="terminated",#REF!="permanent"),"TRUE","FALSE")</formula>
    </cfRule>
  </conditionalFormatting>
  <conditionalFormatting sqref="AM75">
    <cfRule type="expression" dxfId="78" priority="79" stopIfTrue="1">
      <formula>IF(OR(#REF!="not",#REF!="resign",#REF!="resign",#REF!="end",#REF!="terminated",#REF!="permanent"),"TRUE","FALSE")</formula>
    </cfRule>
  </conditionalFormatting>
  <conditionalFormatting sqref="AM76">
    <cfRule type="expression" dxfId="79" priority="80" stopIfTrue="1">
      <formula>IF(OR(#REF!="not",#REF!="resign",#REF!="resign",#REF!="end",#REF!="terminated",#REF!="permanent"),"TRUE","FALSE")</formula>
    </cfRule>
  </conditionalFormatting>
  <conditionalFormatting sqref="AM78:AM79">
    <cfRule type="expression" dxfId="80" priority="81" stopIfTrue="1">
      <formula>IF(OR(#REF!="not",#REF!="resign",#REF!="resign",#REF!="end",#REF!="terminated",#REF!="permanent"),"TRUE","FALSE")</formula>
    </cfRule>
  </conditionalFormatting>
  <conditionalFormatting sqref="AO76">
    <cfRule type="expression" dxfId="81" priority="82" stopIfTrue="1">
      <formula>IF(OR(#REF!="not",#REF!="resign",#REF!="resign",#REF!="end",#REF!="terminated",#REF!="permanent"),"TRUE","FALSE")</formula>
    </cfRule>
  </conditionalFormatting>
  <conditionalFormatting sqref="F75:G75">
    <cfRule type="expression" dxfId="82" priority="83" stopIfTrue="1">
      <formula>IF(OR(#REF!="not",#REF!="resign",#REF!="resign",#REF!="end",#REF!="terminated",#REF!="permanent"),"TRUE","FALSE")</formula>
    </cfRule>
  </conditionalFormatting>
  <conditionalFormatting sqref="AV75:BB75">
    <cfRule type="expression" dxfId="83" priority="84" stopIfTrue="1">
      <formula>IF(OR(#REF!="not",#REF!="resign",#REF!="resign",#REF!="end",#REF!="terminated",#REF!="permanent"),"TRUE","FALSE")</formula>
    </cfRule>
  </conditionalFormatting>
  <conditionalFormatting sqref="P79:U79">
    <cfRule type="expression" dxfId="84" priority="85" stopIfTrue="1">
      <formula>IF(OR(#REF!="not",#REF!="resign",#REF!="permanent",#REF!="terminated"),"true","false")</formula>
    </cfRule>
  </conditionalFormatting>
  <conditionalFormatting sqref="AO79;AH80:AI81;AM80;AK80:AL81;AN80:AN81;AT80:BC81;AP80:AP81;C80:L81;N80:AE81">
    <cfRule type="expression" dxfId="85" priority="86" stopIfTrue="1">
      <formula>IF(OR(#REF!="not",#REF!="resign",#REF!="resign",#REF!="end",#REF!="terminated",#REF!="permanent"),"TRUE","FALSE")</formula>
    </cfRule>
  </conditionalFormatting>
  <conditionalFormatting sqref="AO80:AO81;AQ80:AS81">
    <cfRule type="expression" dxfId="86" priority="87" stopIfTrue="1">
      <formula>IF(OR(#REF!="not",#REF!="resign",#REF!="resign",#REF!="end",#REF!="terminated",#REF!="permanent"),"TRUE","FALSE")</formula>
    </cfRule>
  </conditionalFormatting>
  <conditionalFormatting sqref="AJ80">
    <cfRule type="expression" dxfId="87" priority="88" stopIfTrue="1">
      <formula>IF(OR(#REF!="not",#REF!="resign",#REF!="resign",#REF!="end",#REF!="terminated",#REF!="permanent"),"TRUE","FALSE")</formula>
    </cfRule>
  </conditionalFormatting>
  <conditionalFormatting sqref="AJ81">
    <cfRule type="expression" dxfId="88" priority="89" stopIfTrue="1">
      <formula>IF(OR(#REF!="not",#REF!="resign",#REF!="resign",#REF!="end",#REF!="terminated",#REF!="permanent"),"TRUE","FALSE")</formula>
    </cfRule>
  </conditionalFormatting>
  <conditionalFormatting sqref="AM81">
    <cfRule type="expression" dxfId="89" priority="90" stopIfTrue="1">
      <formula>IF(OR(#REF!="not",#REF!="resign",#REF!="resign",#REF!="end",#REF!="terminated",#REF!="permanent"),"TRUE","FALSE")</formula>
    </cfRule>
  </conditionalFormatting>
  <conditionalFormatting sqref="I82:L85;N82:AE85;AH82:AJ82;AL83:AS85;AL82;AN82:AS82">
    <cfRule type="expression" dxfId="90" priority="91" stopIfTrue="1">
      <formula>IF(OR(#REF!="not",#REF!="resign",#REF!="resign",#REF!="end",#REF!="terminated",#REF!="permanent"),"TRUE","FALSE")</formula>
    </cfRule>
  </conditionalFormatting>
  <conditionalFormatting sqref="AK83:AK85">
    <cfRule type="expression" dxfId="91" priority="92" stopIfTrue="1">
      <formula>IF(OR(#REF!="not",#REF!="resign",#REF!="resign",#REF!="end",#REF!="terminated",#REF!="permanent"),"TRUE","FALSE")</formula>
    </cfRule>
  </conditionalFormatting>
  <conditionalFormatting sqref="AT82:BC85;D82:H85">
    <cfRule type="expression" dxfId="92" priority="93" stopIfTrue="1">
      <formula>IF(OR(#REF!="not",#REF!="resign",#REF!="resign",#REF!="end",#REF!="terminated",#REF!="permanent"),"TRUE","FALSE")</formula>
    </cfRule>
  </conditionalFormatting>
  <conditionalFormatting sqref="AJ86">
    <cfRule type="expression" dxfId="93" priority="94" stopIfTrue="1">
      <formula>IF(OR(#REF!="not",#REF!="resign",#REF!="resign",#REF!="end",#REF!="terminated",#REF!="permanent"),"TRUE","FALSE")</formula>
    </cfRule>
  </conditionalFormatting>
  <conditionalFormatting sqref="AH83">
    <cfRule type="expression" dxfId="94" priority="95" stopIfTrue="1">
      <formula>IF(OR(#REF!="not",#REF!="resign",#REF!="resign",#REF!="end",#REF!="terminated",#REF!="permanent"),"TRUE","FALSE")</formula>
    </cfRule>
  </conditionalFormatting>
  <conditionalFormatting sqref="AH84">
    <cfRule type="expression" dxfId="95" priority="96" stopIfTrue="1">
      <formula>IF(OR(#REF!="not",#REF!="resign",#REF!="resign",#REF!="end",#REF!="terminated",#REF!="permanent"),"TRUE","FALSE")</formula>
    </cfRule>
  </conditionalFormatting>
  <conditionalFormatting sqref="AJ83">
    <cfRule type="expression" dxfId="96" priority="97" stopIfTrue="1">
      <formula>IF(OR(#REF!="not",#REF!="resign",#REF!="resign",#REF!="end",#REF!="terminated",#REF!="permanent"),"TRUE","FALSE")</formula>
    </cfRule>
  </conditionalFormatting>
  <conditionalFormatting sqref="AJ84">
    <cfRule type="expression" dxfId="97" priority="98" stopIfTrue="1">
      <formula>IF(OR(#REF!="not",#REF!="resign",#REF!="resign",#REF!="end",#REF!="terminated",#REF!="permanent"),"TRUE","FALSE")</formula>
    </cfRule>
  </conditionalFormatting>
  <conditionalFormatting sqref="AJ85">
    <cfRule type="expression" dxfId="98" priority="99" stopIfTrue="1">
      <formula>IF(OR(#REF!="not",#REF!="resign",#REF!="resign",#REF!="end",#REF!="terminated",#REF!="permanent"),"TRUE","FALSE")</formula>
    </cfRule>
  </conditionalFormatting>
  <conditionalFormatting sqref="AK82">
    <cfRule type="expression" dxfId="99" priority="100" stopIfTrue="1">
      <formula>IF(OR(#REF!="not",#REF!="resign",#REF!="resign",#REF!="end",#REF!="terminated",#REF!="permanent"),"TRUE","FALSE")</formula>
    </cfRule>
  </conditionalFormatting>
  <conditionalFormatting sqref="I86:I88">
    <cfRule type="expression" dxfId="100" priority="101" stopIfTrue="1">
      <formula>IF(OR(#REF!="not",#REF!="resign",#REF!="resign",#REF!="end",#REF!="terminated",#REF!="permanent"),"TRUE","FALSE")</formula>
    </cfRule>
  </conditionalFormatting>
  <conditionalFormatting sqref="AK86:AK88">
    <cfRule type="expression" dxfId="101" priority="102" stopIfTrue="1">
      <formula>IF(OR(#REF!="not",#REF!="resign",#REF!="resign",#REF!="end",#REF!="terminated",#REF!="permanent"),"TRUE","FALSE")</formula>
    </cfRule>
  </conditionalFormatting>
  <conditionalFormatting sqref="AM86:AM88">
    <cfRule type="expression" dxfId="102" priority="103" stopIfTrue="1">
      <formula>IF(OR(#REF!="not",#REF!="resign",#REF!="resign",#REF!="end",#REF!="terminated",#REF!="permanent"),"TRUE","FALSE")</formula>
    </cfRule>
  </conditionalFormatting>
  <conditionalFormatting sqref="P86:U88">
    <cfRule type="expression" dxfId="103" priority="104" stopIfTrue="1">
      <formula>IF(OR(#REF!="not",#REF!="resign",#REF!="permanent",#REF!="terminated"),"true","false")</formula>
    </cfRule>
  </conditionalFormatting>
  <conditionalFormatting sqref="AO86:AO88">
    <cfRule type="expression" dxfId="104" priority="105" stopIfTrue="1">
      <formula>IF(OR(#REF!="not",#REF!="resign",#REF!="resign",#REF!="end",#REF!="terminated",#REF!="permanent"),"TRUE","FALSE")</formula>
    </cfRule>
  </conditionalFormatting>
  <conditionalFormatting sqref="AI86:AI88">
    <cfRule type="expression" dxfId="105" priority="106" stopIfTrue="1">
      <formula>IF(OR(#REF!="not",#REF!="resign",#REF!="resign",#REF!="end",#REF!="terminated",#REF!="permanent"),"TRUE","FALSE")</formula>
    </cfRule>
  </conditionalFormatting>
  <conditionalFormatting sqref="AH86:AH88">
    <cfRule type="expression" dxfId="106" priority="107" stopIfTrue="1">
      <formula>IF(OR(#REF!="not",#REF!="resign",#REF!="resign",#REF!="end",#REF!="terminated",#REF!="permanent"),"TRUE","FALSE")</formula>
    </cfRule>
  </conditionalFormatting>
  <conditionalFormatting sqref="AJ87:AJ88">
    <cfRule type="expression" dxfId="107" priority="108" stopIfTrue="1">
      <formula>IF(OR(#REF!="not",#REF!="resign",#REF!="resign",#REF!="end",#REF!="terminated",#REF!="permanent"),"TRUE","FALSE")</formula>
    </cfRule>
  </conditionalFormatting>
  <conditionalFormatting sqref="AQ86:AS88">
    <cfRule type="expression" dxfId="108" priority="109" stopIfTrue="1">
      <formula>IF(OR(#REF!="not",#REF!="resign",#REF!="resign",#REF!="end",#REF!="terminated",#REF!="permanent"),"TRUE","FALSE")</formula>
    </cfRule>
  </conditionalFormatting>
  <conditionalFormatting sqref="BC313">
    <cfRule type="expression" dxfId="109" priority="110" stopIfTrue="1">
      <formula>IF(OR(#REF!="not",#REF!="resign",#REF!="resign",#REF!="end",#REF!="terminated",#REF!="permanent"),"TRUE","FALSE")</formula>
    </cfRule>
  </conditionalFormatting>
  <conditionalFormatting sqref="P309:U311">
    <cfRule type="expression" dxfId="110" priority="111" stopIfTrue="1">
      <formula>IF(OR(#REF!="not",#REF!="resign",#REF!="permanent",#REF!="terminated"),"true","false")</formula>
    </cfRule>
  </conditionalFormatting>
  <conditionalFormatting sqref="AQ312:AS312">
    <cfRule type="expression" dxfId="111" priority="112" stopIfTrue="1">
      <formula>IF(OR(#REF!="not",#REF!="resign",#REF!="resign",#REF!="end",#REF!="terminated",#REF!="permanent"),"TRUE","FALSE")</formula>
    </cfRule>
  </conditionalFormatting>
  <conditionalFormatting sqref="AG309:AG312">
    <cfRule type="expression" dxfId="112" priority="113" stopIfTrue="1">
      <formula>NOT(ISERROR(SEARCH("warning",AG309)))</formula>
    </cfRule>
  </conditionalFormatting>
  <conditionalFormatting sqref="P312:U312;N311">
    <cfRule type="expression" dxfId="113" priority="114" stopIfTrue="1">
      <formula>IF(OR(#REF!="not",#REF!="resign",#REF!="permanent",#REF!="terminated"),"true","false")</formula>
    </cfRule>
  </conditionalFormatting>
  <conditionalFormatting sqref="O311">
    <cfRule type="expression" dxfId="114" priority="115" stopIfTrue="1">
      <formula>IF(OR(#REF!="not",#REF!="resign",#REF!="permanent",#REF!="terminated"),"true","false")</formula>
    </cfRule>
  </conditionalFormatting>
  <conditionalFormatting sqref="I312">
    <cfRule type="expression" dxfId="115" priority="116" stopIfTrue="1">
      <formula>IF(OR(#REF!="not",#REF!="resign",#REF!="resign",#REF!="end",#REF!="terminated",#REF!="permanent"),"TRUE","FALSE")</formula>
    </cfRule>
  </conditionalFormatting>
  <conditionalFormatting sqref="AJ312;AM312">
    <cfRule type="expression" dxfId="116" priority="117" stopIfTrue="1">
      <formula>IF(OR(#REF!="not",#REF!="resign",#REF!="resign",#REF!="end",#REF!="terminated",#REF!="permanent"),"TRUE","FALSE")</formula>
    </cfRule>
  </conditionalFormatting>
  <conditionalFormatting sqref="C312:L312;N312:AE312;AH312:BC312">
    <cfRule type="expression" dxfId="117" priority="118" stopIfTrue="1">
      <formula>IF(OR(#REF!="not",#REF!="resign",#REF!="resign",#REF!="end",#REF!="terminated",#REF!="permanent"),"TRUE","FALSE")</formula>
    </cfRule>
  </conditionalFormatting>
  <conditionalFormatting sqref="M312">
    <cfRule type="expression" dxfId="118" priority="119" stopIfTrue="1">
      <formula>IF(OR(#REF!="not",#REF!="resign",#REF!="resign",#REF!="end",#REF!="terminated",#REF!="permanent"),"TRUE","FALSE")</formula>
    </cfRule>
  </conditionalFormatting>
  <conditionalFormatting sqref="I313">
    <cfRule type="expression" dxfId="119" priority="120" stopIfTrue="1">
      <formula>IF(OR(#REF!="not",#REF!="resign",#REF!="resign",#REF!="end",#REF!="terminated",#REF!="permanent"),"TRUE","FALSE")</formula>
    </cfRule>
  </conditionalFormatting>
  <conditionalFormatting sqref="AK313">
    <cfRule type="expression" dxfId="120" priority="121" stopIfTrue="1">
      <formula>IF(OR(#REF!="not",#REF!="resign",#REF!="resign",#REF!="end",#REF!="terminated",#REF!="permanent"),"TRUE","FALSE")</formula>
    </cfRule>
  </conditionalFormatting>
  <conditionalFormatting sqref="AM313">
    <cfRule type="expression" dxfId="121" priority="122" stopIfTrue="1">
      <formula>IF(OR(#REF!="not",#REF!="resign",#REF!="resign",#REF!="end",#REF!="terminated",#REF!="permanent"),"TRUE","FALSE")</formula>
    </cfRule>
  </conditionalFormatting>
  <conditionalFormatting sqref="AG313">
    <cfRule type="expression" dxfId="122" priority="123" stopIfTrue="1">
      <formula>NOT(ISERROR(SEARCH("warning",AG313)))</formula>
    </cfRule>
  </conditionalFormatting>
  <conditionalFormatting sqref="P313:U313">
    <cfRule type="expression" dxfId="123" priority="124" stopIfTrue="1">
      <formula>IF(OR(#REF!="not",#REF!="resign",#REF!="permanent",#REF!="terminated"),"true","false")</formula>
    </cfRule>
  </conditionalFormatting>
  <conditionalFormatting sqref="AO313;K92:L92;K363:L363;AK92:AQ92;AK363:AQ363">
    <cfRule type="expression" dxfId="124" priority="125" stopIfTrue="1">
      <formula>IF(OR(#REF!="not",#REF!="resign",#REF!="resign",#REF!="end",#REF!="terminated",#REF!="permanent"),"TRUE","FALSE")</formula>
    </cfRule>
  </conditionalFormatting>
  <conditionalFormatting sqref="AI313;AT89:BC91">
    <cfRule type="expression" dxfId="125" priority="126" stopIfTrue="1">
      <formula>IF(OR(#REF!="not",#REF!="resign",#REF!="resign",#REF!="end",#REF!="terminated",#REF!="permanent"),"TRUE","FALSE")</formula>
    </cfRule>
  </conditionalFormatting>
  <conditionalFormatting sqref="AH313">
    <cfRule type="expression" dxfId="126" priority="127" stopIfTrue="1">
      <formula>IF(OR(#REF!="not",#REF!="resign",#REF!="resign",#REF!="end",#REF!="terminated",#REF!="permanent"),"TRUE","FALSE")</formula>
    </cfRule>
  </conditionalFormatting>
  <conditionalFormatting sqref="AJ313">
    <cfRule type="expression" dxfId="127" priority="128" stopIfTrue="1">
      <formula>IF(OR(#REF!="not",#REF!="resign",#REF!="resign",#REF!="end",#REF!="terminated",#REF!="permanent"),"TRUE","FALSE")</formula>
    </cfRule>
  </conditionalFormatting>
  <conditionalFormatting sqref="AQ313:AS313">
    <cfRule type="expression" dxfId="128" priority="129" stopIfTrue="1">
      <formula>IF(OR(#REF!="not",#REF!="resign",#REF!="resign",#REF!="end",#REF!="terminated",#REF!="permanent"),"TRUE","FALSE")</formula>
    </cfRule>
  </conditionalFormatting>
  <conditionalFormatting sqref="J91:L91;D89:H90;N91:AE91">
    <cfRule type="expression" dxfId="129" priority="130" stopIfTrue="1">
      <formula>IF(OR(#REF!="not",#REF!="resign",#REF!="resign",#REF!="end",#REF!="terminated",#REF!="permanent"),"TRUE","FALSE")</formula>
    </cfRule>
  </conditionalFormatting>
  <conditionalFormatting sqref="AH90:AI90;AJ89:AJ90;AO89:AO91">
    <cfRule type="expression" dxfId="130" priority="131" stopIfTrue="1">
      <formula>IF(OR(#REF!="not",#REF!="resign",#REF!="resign",#REF!="end",#REF!="terminated",#REF!="permanent"),"TRUE","FALSE")</formula>
    </cfRule>
  </conditionalFormatting>
  <conditionalFormatting sqref="AH89;AH91">
    <cfRule type="expression" dxfId="131" priority="132" stopIfTrue="1">
      <formula>IF(OR(#REF!="not",#REF!="resign",#REF!="resign",#REF!="end",#REF!="terminated",#REF!="permanent"),"TRUE","FALSE")</formula>
    </cfRule>
  </conditionalFormatting>
  <conditionalFormatting sqref="AI89">
    <cfRule type="expression" dxfId="132" priority="133" stopIfTrue="1">
      <formula>IF(OR(#REF!="not",#REF!="resign",#REF!="resign",#REF!="end",#REF!="terminated",#REF!="permanent"),"TRUE","FALSE")</formula>
    </cfRule>
  </conditionalFormatting>
  <conditionalFormatting sqref="AI91">
    <cfRule type="expression" dxfId="133" priority="134" stopIfTrue="1">
      <formula>IF(OR(#REF!="not",#REF!="resign",#REF!="resign",#REF!="end",#REF!="terminated",#REF!="permanent"),"TRUE","FALSE")</formula>
    </cfRule>
  </conditionalFormatting>
  <conditionalFormatting sqref="AJ91">
    <cfRule type="expression" dxfId="134" priority="135" stopIfTrue="1">
      <formula>IF(OR(#REF!="not",#REF!="resign",#REF!="resign",#REF!="end",#REF!="terminated",#REF!="permanent"),"TRUE","FALSE")</formula>
    </cfRule>
  </conditionalFormatting>
  <conditionalFormatting sqref="AM91">
    <cfRule type="expression" dxfId="135" priority="136" stopIfTrue="1">
      <formula>IF(OR(#REF!="not",#REF!="resign",#REF!="resign",#REF!="end",#REF!="terminated",#REF!="permanent"),"TRUE","FALSE")</formula>
    </cfRule>
  </conditionalFormatting>
  <conditionalFormatting sqref="BD382:BD1048576">
    <cfRule type="expression" dxfId="136" priority="137" stopIfTrue="1">
      <formula>IF(OR(#REF!="not",#REF!="resign",#REF!="resign",#REF!="end",#REF!="terminated",#REF!="permanent"),"TRUE","FALSE")</formula>
    </cfRule>
  </conditionalFormatting>
  <conditionalFormatting sqref="C82:C85">
    <cfRule type="expression" dxfId="137" priority="138" stopIfTrue="1">
      <formula>IF(OR(#REF!="not",#REF!="resign",#REF!="resign",#REF!="end",#REF!="terminated",#REF!="permanent"),"TRUE","FALSE")</formula>
    </cfRule>
  </conditionalFormatting>
  <conditionalFormatting sqref="AX92;E92">
    <cfRule type="expression" dxfId="138" priority="139" stopIfTrue="1">
      <formula>IF(OR(#REF!="not",#REF!="resign",#REF!="resign",#REF!="end",#REF!="terminated",#REF!="permanent"),"TRUE","FALSE")</formula>
    </cfRule>
  </conditionalFormatting>
  <conditionalFormatting sqref="R92:U92">
    <cfRule type="expression" dxfId="139" priority="140" stopIfTrue="1">
      <formula>IF(OR(#REF!="not",#REF!="resign",#REF!="permanent",#REF!="terminated"),"true","false")</formula>
    </cfRule>
  </conditionalFormatting>
  <conditionalFormatting sqref="Z92:AA92">
    <cfRule type="expression" dxfId="140" priority="141" stopIfTrue="1">
      <formula>IF(OR(#REF!="not",#REF!="resign",#REF!="resign",#REF!="end",#REF!="terminated",#REF!="permanent"),"TRUE","FALSE")</formula>
    </cfRule>
  </conditionalFormatting>
  <conditionalFormatting sqref="R363:U363">
    <cfRule type="expression" dxfId="141" priority="142" stopIfTrue="1">
      <formula>IF(OR(#REF!="not",#REF!="resign",#REF!="permanent",#REF!="terminated"),"true","false")</formula>
    </cfRule>
  </conditionalFormatting>
  <conditionalFormatting sqref="X314">
    <cfRule type="expression" dxfId="142" priority="143" stopIfTrue="1">
      <formula>IF(OR(#REF!="not",#REF!="resign",#REF!="permanent",#REF!="terminated"),"true","false")</formula>
    </cfRule>
  </conditionalFormatting>
  <conditionalFormatting sqref="W324">
    <cfRule type="expression" dxfId="143" priority="144" stopIfTrue="1">
      <formula>IF(OR($BF324="not",$BF324="resign",$BF324="resign",$BF324="end",$BF324="terminated",$BF324="permanent"),"TRUE","FALSE")</formula>
    </cfRule>
  </conditionalFormatting>
  <conditionalFormatting sqref="V324">
    <cfRule type="expression" dxfId="144" priority="145" stopIfTrue="1">
      <formula>IF(OR($BF324="not",$BF324="resign",$BF324="resign",$BF324="end",$BF324="terminated",$BF324="permanent"),"TRUE","FALSE")</formula>
    </cfRule>
  </conditionalFormatting>
  <conditionalFormatting sqref="AG314:AG324">
    <cfRule type="expression" dxfId="145" priority="146" stopIfTrue="1">
      <formula>NOT(ISERROR(SEARCH("warning",AG314)))</formula>
    </cfRule>
  </conditionalFormatting>
  <conditionalFormatting sqref="BC318:BC323;W318;P314:U323;W314:W315">
    <cfRule type="expression" dxfId="146" priority="147" stopIfTrue="1">
      <formula>IF(OR(#REF!="not",#REF!="resign",#REF!="permanent",#REF!="terminated"),"true","false")</formula>
    </cfRule>
  </conditionalFormatting>
  <conditionalFormatting sqref="M320:N323;W319;W317;BC317;X315:AE315;BC314:BC315">
    <cfRule type="expression" dxfId="147" priority="148" stopIfTrue="1">
      <formula>IF(OR(#REF!="not",#REF!="resign",#REF!="permanent",#REF!="terminated"),"true","false")</formula>
    </cfRule>
  </conditionalFormatting>
  <conditionalFormatting sqref="AH314:BC323;C314:AE323">
    <cfRule type="expression" dxfId="148" priority="149" stopIfTrue="1">
      <formula>IF(OR(#REF!="not",#REF!="resign",#REF!="resign",#REF!="end",#REF!="terminated",#REF!="permanent"),"TRUE","FALSE")</formula>
    </cfRule>
  </conditionalFormatting>
  <conditionalFormatting sqref="P324:Q324;S324;U324;P314:U323">
    <cfRule type="expression" dxfId="149" priority="150" stopIfTrue="1">
      <formula>IF(OR(#REF!="not",#REF!="resign",#REF!="permanent",#REF!="terminated"),"true","false")</formula>
    </cfRule>
  </conditionalFormatting>
  <conditionalFormatting sqref="P314:U323">
    <cfRule type="expression" dxfId="150" priority="151" stopIfTrue="1">
      <formula>IF(OR(#REF!="not",#REF!="resign",#REF!="permanent",#REF!="terminated"),"true","false")</formula>
    </cfRule>
  </conditionalFormatting>
  <conditionalFormatting sqref="BD314:BD326">
    <cfRule type="expression" dxfId="151" priority="152" stopIfTrue="1">
      <formula>IF(OR(#REF!="not",#REF!="resign",#REF!="resign",#REF!="end",#REF!="terminated",#REF!="permanent"),"TRUE","FALSE")</formula>
    </cfRule>
  </conditionalFormatting>
  <conditionalFormatting sqref="M320;X315:AE315">
    <cfRule type="expression" dxfId="152" priority="153" stopIfTrue="1">
      <formula>IF(OR(#REF!="not",#REF!="resign",#REF!="permanent",#REF!="terminated"),"true","false")</formula>
    </cfRule>
  </conditionalFormatting>
  <conditionalFormatting sqref="M320">
    <cfRule type="expression" dxfId="153" priority="154" stopIfTrue="1">
      <formula>IF(OR(#REF!="not",#REF!="resign",#REF!="permanent",#REF!="terminated"),"true","false")</formula>
    </cfRule>
    <cfRule type="expression" dxfId="154" priority="155" stopIfTrue="1">
      <formula>IF(OR(#REF!="not",#REF!="resign",#REF!="permanent",#REF!="terminated"),"true","false")</formula>
    </cfRule>
  </conditionalFormatting>
  <conditionalFormatting sqref="P324:Q324;S324;U324">
    <cfRule type="expression" dxfId="155" priority="156" stopIfTrue="1">
      <formula>IF(OR(#REF!="not",#REF!="resign",#REF!="permanent",#REF!="terminated"),"true","false")</formula>
    </cfRule>
  </conditionalFormatting>
  <conditionalFormatting sqref="P324">
    <cfRule type="expression" dxfId="156" priority="157" stopIfTrue="1">
      <formula>IF(OR($CC324="not",$CC324="resign",$CC324="permanent",$CC324="terminated"),"true","false")</formula>
    </cfRule>
    <cfRule type="expression" dxfId="157" priority="158" stopIfTrue="1">
      <formula>IF(OR($CD324="not",$CD324="resign",$CD324="permanent",$CD324="terminated"),"true","false")</formula>
    </cfRule>
    <cfRule type="expression" dxfId="158" priority="159" stopIfTrue="1">
      <formula>IF(OR($BX324="not",$BX324="resign",$BX324="permanent",$BX324="terminated"),"true","false")</formula>
    </cfRule>
  </conditionalFormatting>
  <conditionalFormatting sqref="Q324">
    <cfRule type="expression" dxfId="159" priority="160" stopIfTrue="1">
      <formula>IF(OR($CC324="not",$CC324="resign",$CC324="permanent",$CC324="terminated"),"true","false")</formula>
    </cfRule>
    <cfRule type="expression" dxfId="160" priority="161" stopIfTrue="1">
      <formula>IF(OR($CD324="not",$CD324="resign",$CD324="permanent",$CD324="terminated"),"true","false")</formula>
    </cfRule>
    <cfRule type="expression" dxfId="161" priority="162" stopIfTrue="1">
      <formula>IF(OR($BX324="not",$BX324="resign",$BX324="permanent",$BX324="terminated"),"true","false")</formula>
    </cfRule>
  </conditionalFormatting>
  <conditionalFormatting sqref="AQ324">
    <cfRule type="expression" dxfId="162" priority="163" stopIfTrue="1">
      <formula>IF(OR($BF324="not",$BF324="resign",$BF324="resign",$BF324="end",$BF324="terminated",$BF324="permanent"),"TRUE","FALSE")</formula>
    </cfRule>
  </conditionalFormatting>
  <conditionalFormatting sqref="AT324">
    <cfRule type="expression" dxfId="163" priority="164" stopIfTrue="1">
      <formula>IF(OR($BF324="not",$BF324="resign",$BF324="resign",$BF324="end",$BF324="terminated",$BF324="permanent"),"TRUE","FALSE")</formula>
    </cfRule>
  </conditionalFormatting>
  <conditionalFormatting sqref="R324">
    <cfRule type="expression" dxfId="164" priority="165" stopIfTrue="1">
      <formula>IF(OR($BF324="not",$BF324="resign",$BF324="resign",$BF324="end",$BF324="terminated",$BF324="permanent"),"TRUE","FALSE")</formula>
    </cfRule>
  </conditionalFormatting>
  <conditionalFormatting sqref="U324">
    <cfRule type="expression" dxfId="165" priority="166" stopIfTrue="1">
      <formula>IF(OR($CC324="not",$CC324="resign",$CC324="permanent",$CC324="terminated"),"true","false")</formula>
    </cfRule>
    <cfRule type="expression" dxfId="166" priority="167" stopIfTrue="1">
      <formula>IF(OR($CD324="not",$CD324="resign",$CD324="permanent",$CD324="terminated"),"true","false")</formula>
    </cfRule>
    <cfRule type="expression" dxfId="167" priority="168" stopIfTrue="1">
      <formula>IF(OR($BX324="not",$BX324="resign",$BX324="permanent",$BX324="terminated"),"true","false")</formula>
    </cfRule>
  </conditionalFormatting>
  <conditionalFormatting sqref="S324">
    <cfRule type="expression" dxfId="168" priority="169" stopIfTrue="1">
      <formula>IF(OR($CC324="not",$CC324="resign",$CC324="permanent",$CC324="terminated"),"true","false")</formula>
    </cfRule>
    <cfRule type="expression" dxfId="169" priority="170" stopIfTrue="1">
      <formula>IF(OR($CD324="not",$CD324="resign",$CD324="permanent",$CD324="terminated"),"true","false")</formula>
    </cfRule>
    <cfRule type="expression" dxfId="170" priority="171" stopIfTrue="1">
      <formula>IF(OR($BX324="not",$BX324="resign",$BX324="permanent",$BX324="terminated"),"true","false")</formula>
    </cfRule>
  </conditionalFormatting>
  <conditionalFormatting sqref="T324">
    <cfRule type="expression" dxfId="171" priority="172" stopIfTrue="1">
      <formula>IF(OR($BF324="not",$BF324="resign",$BF324="resign",$BF324="end",$BF324="terminated",$BF324="permanent"),"TRUE","FALSE")</formula>
    </cfRule>
  </conditionalFormatting>
  <conditionalFormatting sqref="AK325">
    <cfRule type="expression" dxfId="172" priority="173" stopIfTrue="1">
      <formula>IF(OR($BF325="not",$BF325="resign",$BF325="resign",$BF325="end",$BF325="terminated",$BF325="permanent"),"TRUE","FALSE")</formula>
    </cfRule>
  </conditionalFormatting>
  <conditionalFormatting sqref="L325;H325:I325;Z208:AA216;AX208:AX216">
    <cfRule type="expression" dxfId="173" priority="174" stopIfTrue="1">
      <formula>IF(OR(#REF!="not",#REF!="resign",#REF!="resign",#REF!="end",#REF!="terminated",#REF!="permanent"),"TRUE","FALSE")</formula>
    </cfRule>
  </conditionalFormatting>
  <conditionalFormatting sqref="M325:N325;P325:U325;BC325">
    <cfRule type="expression" dxfId="174" priority="175" stopIfTrue="1">
      <formula>IF(OR(#REF!="not",#REF!="resign",#REF!="permanent",#REF!="terminated"),"true","false")</formula>
    </cfRule>
  </conditionalFormatting>
  <conditionalFormatting sqref="AG325">
    <cfRule type="expression" dxfId="175" priority="176" stopIfTrue="1">
      <formula>NOT(ISERROR(SEARCH("warning",AG325)))</formula>
    </cfRule>
  </conditionalFormatting>
  <conditionalFormatting sqref="AS325">
    <cfRule type="expression" dxfId="176" priority="177" stopIfTrue="1">
      <formula>IF(OR(#REF!="not",#REF!="resign",#REF!="resign",#REF!="end",#REF!="terminated",#REF!="permanent"),"TRUE","FALSE")</formula>
    </cfRule>
  </conditionalFormatting>
  <conditionalFormatting sqref="AQ325:AR325">
    <cfRule type="expression" dxfId="177" priority="178" stopIfTrue="1">
      <formula>IF(OR(#REF!="not",#REF!="resign",#REF!="resign",#REF!="end",#REF!="terminated",#REF!="permanent"),"TRUE","FALSE")</formula>
    </cfRule>
  </conditionalFormatting>
  <conditionalFormatting sqref="AJ325">
    <cfRule type="expression" dxfId="178" priority="179" stopIfTrue="1">
      <formula>IF(OR(#REF!="not",#REF!="resign",#REF!="resign",#REF!="end",#REF!="terminated",#REF!="permanent"),"TRUE","FALSE")</formula>
    </cfRule>
  </conditionalFormatting>
  <conditionalFormatting sqref="AH326:AI326;AK326">
    <cfRule type="expression" dxfId="179" priority="180" stopIfTrue="1">
      <formula>IF(OR(#REF!="not",#REF!="resign",#REF!="resign",#REF!="end",#REF!="terminated",#REF!="permanent"),"TRUE","FALSE")</formula>
    </cfRule>
  </conditionalFormatting>
  <conditionalFormatting sqref="AM326">
    <cfRule type="expression" dxfId="180" priority="181" stopIfTrue="1">
      <formula>IF(OR(#REF!="not",#REF!="resign",#REF!="resign",#REF!="end",#REF!="terminated",#REF!="permanent"),"TRUE","FALSE")</formula>
    </cfRule>
  </conditionalFormatting>
  <conditionalFormatting sqref="P326:U326">
    <cfRule type="expression" dxfId="181" priority="182" stopIfTrue="1">
      <formula>IF(OR(#REF!="not",#REF!="resign",#REF!="permanent",#REF!="terminated"),"true","false")</formula>
    </cfRule>
  </conditionalFormatting>
  <conditionalFormatting sqref="AO326">
    <cfRule type="expression" dxfId="182" priority="183" stopIfTrue="1">
      <formula>IF(OR(#REF!="not",#REF!="resign",#REF!="resign",#REF!="end",#REF!="terminated",#REF!="permanent"),"TRUE","FALSE")</formula>
    </cfRule>
  </conditionalFormatting>
  <conditionalFormatting sqref="AJ326">
    <cfRule type="expression" dxfId="183" priority="184" stopIfTrue="1">
      <formula>IF(OR(#REF!="not",#REF!="resign",#REF!="resign",#REF!="end",#REF!="terminated",#REF!="permanent"),"TRUE","FALSE")</formula>
    </cfRule>
  </conditionalFormatting>
  <conditionalFormatting sqref="AQ326:AS326">
    <cfRule type="expression" dxfId="184" priority="185" stopIfTrue="1">
      <formula>IF(OR(#REF!="not",#REF!="resign",#REF!="resign",#REF!="end",#REF!="terminated",#REF!="permanent"),"TRUE","FALSE")</formula>
    </cfRule>
  </conditionalFormatting>
  <conditionalFormatting sqref="AG326">
    <cfRule type="expression" dxfId="185" priority="186" stopIfTrue="1">
      <formula>NOT(ISERROR(SEARCH("warning",AG326)))</formula>
    </cfRule>
  </conditionalFormatting>
  <conditionalFormatting sqref="N60">
    <cfRule type="expression" dxfId="186" priority="187" stopIfTrue="1">
      <formula>IF(OR(#REF!="not",#REF!="resign",#REF!="resign",#REF!="end",#REF!="terminated",#REF!="permanent"),"TRUE","FALSE")</formula>
    </cfRule>
  </conditionalFormatting>
  <conditionalFormatting sqref="O61">
    <cfRule type="expression" dxfId="187" priority="188" stopIfTrue="1">
      <formula>IF(OR(#REF!="not",#REF!="resign",#REF!="resign",#REF!="end",#REF!="terminated",#REF!="permanent"),"TRUE","FALSE")</formula>
    </cfRule>
  </conditionalFormatting>
  <conditionalFormatting sqref="O62">
    <cfRule type="expression" dxfId="188" priority="189" stopIfTrue="1">
      <formula>IF(OR(#REF!="not",#REF!="resign",#REF!="resign",#REF!="end",#REF!="terminated",#REF!="permanent"),"TRUE","FALSE")</formula>
    </cfRule>
  </conditionalFormatting>
  <conditionalFormatting sqref="N63">
    <cfRule type="expression" dxfId="189" priority="190" stopIfTrue="1">
      <formula>IF(OR(#REF!="not",#REF!="resign",#REF!="resign",#REF!="end",#REF!="terminated",#REF!="permanent"),"TRUE","FALSE")</formula>
    </cfRule>
  </conditionalFormatting>
  <conditionalFormatting sqref="N64">
    <cfRule type="expression" dxfId="190" priority="191" stopIfTrue="1">
      <formula>IF(OR(#REF!="not",#REF!="resign",#REF!="resign",#REF!="end",#REF!="terminated",#REF!="permanent"),"TRUE","FALSE")</formula>
    </cfRule>
  </conditionalFormatting>
  <conditionalFormatting sqref="O65">
    <cfRule type="expression" dxfId="191" priority="192" stopIfTrue="1">
      <formula>IF(OR(#REF!="not",#REF!="resign",#REF!="resign",#REF!="end",#REF!="terminated",#REF!="permanent"),"TRUE","FALSE")</formula>
    </cfRule>
  </conditionalFormatting>
  <conditionalFormatting sqref="M66">
    <cfRule type="expression" dxfId="192" priority="193" stopIfTrue="1">
      <formula>IF(OR(#REF!="not",#REF!="resign",#REF!="resign",#REF!="end",#REF!="terminated",#REF!="permanent"),"TRUE","FALSE")</formula>
    </cfRule>
  </conditionalFormatting>
  <conditionalFormatting sqref="M68">
    <cfRule type="expression" dxfId="193" priority="194" stopIfTrue="1">
      <formula>IF(OR(#REF!="not",#REF!="resign",#REF!="resign",#REF!="end",#REF!="terminated",#REF!="permanent"),"TRUE","FALSE")</formula>
    </cfRule>
  </conditionalFormatting>
  <conditionalFormatting sqref="M69">
    <cfRule type="expression" dxfId="194" priority="195" stopIfTrue="1">
      <formula>IF(OR(#REF!="not",#REF!="resign",#REF!="resign",#REF!="end",#REF!="terminated",#REF!="permanent"),"TRUE","FALSE")</formula>
    </cfRule>
  </conditionalFormatting>
  <conditionalFormatting sqref="M70">
    <cfRule type="expression" dxfId="195" priority="196" stopIfTrue="1">
      <formula>IF(OR(#REF!="not",#REF!="resign",#REF!="resign",#REF!="end",#REF!="terminated",#REF!="permanent"),"TRUE","FALSE")</formula>
    </cfRule>
  </conditionalFormatting>
  <conditionalFormatting sqref="M71">
    <cfRule type="expression" dxfId="196" priority="197" stopIfTrue="1">
      <formula>IF(OR(#REF!="not",#REF!="resign",#REF!="resign",#REF!="end",#REF!="terminated",#REF!="permanent"),"TRUE","FALSE")</formula>
    </cfRule>
  </conditionalFormatting>
  <conditionalFormatting sqref="M72">
    <cfRule type="expression" dxfId="197" priority="198" stopIfTrue="1">
      <formula>IF(OR(#REF!="not",#REF!="resign",#REF!="permanent",#REF!="terminated"),"true","false")</formula>
    </cfRule>
  </conditionalFormatting>
  <conditionalFormatting sqref="AB7">
    <cfRule type="expression" dxfId="198" priority="199" stopIfTrue="1">
      <formula>IF(OR(#REF!="not",#REF!="resign",#REF!="resign",#REF!="end",#REF!="terminated",#REF!="permanent"),"TRUE","FALSE")</formula>
    </cfRule>
  </conditionalFormatting>
  <conditionalFormatting sqref="M76">
    <cfRule type="expression" dxfId="199" priority="200" stopIfTrue="1">
      <formula>IF(OR(#REF!="not",#REF!="resign",#REF!="resign",#REF!="end",#REF!="terminated",#REF!="permanent"),"TRUE","FALSE")</formula>
    </cfRule>
  </conditionalFormatting>
  <conditionalFormatting sqref="M79">
    <cfRule type="expression" dxfId="200" priority="201" stopIfTrue="1">
      <formula>IF(OR(#REF!="not",#REF!="resign",#REF!="resign",#REF!="end",#REF!="terminated",#REF!="permanent"),"TRUE","FALSE")</formula>
    </cfRule>
  </conditionalFormatting>
  <conditionalFormatting sqref="AB11">
    <cfRule type="expression" dxfId="201" priority="202" stopIfTrue="1">
      <formula>IF(OR(#REF!="not",#REF!="resign",#REF!="resign",#REF!="end",#REF!="terminated",#REF!="permanent"),"TRUE","FALSE")</formula>
    </cfRule>
  </conditionalFormatting>
  <conditionalFormatting sqref="M87">
    <cfRule type="expression" dxfId="202" priority="203" stopIfTrue="1">
      <formula>IF(OR(#REF!="not",#REF!="resign",#REF!="resign",#REF!="end",#REF!="terminated",#REF!="permanent"),"TRUE","FALSE")</formula>
    </cfRule>
  </conditionalFormatting>
  <conditionalFormatting sqref="Y6">
    <cfRule type="expression" dxfId="203" priority="204" stopIfTrue="1">
      <formula>IF(OR(#REF!="not",#REF!="resign",#REF!="permanent",#REF!="terminated"),"true","false")</formula>
    </cfRule>
  </conditionalFormatting>
  <conditionalFormatting sqref="Y7">
    <cfRule type="expression" dxfId="204" priority="205" stopIfTrue="1">
      <formula>IF(OR(#REF!="not",#REF!="resign",#REF!="permanent",#REF!="terminated"),"true","false")</formula>
    </cfRule>
  </conditionalFormatting>
  <conditionalFormatting sqref="Y10">
    <cfRule type="expression" dxfId="205" priority="206" stopIfTrue="1">
      <formula>IF(OR(#REF!="not",#REF!="resign",#REF!="permanent",#REF!="terminated"),"true","false")</formula>
    </cfRule>
  </conditionalFormatting>
  <conditionalFormatting sqref="Y11">
    <cfRule type="expression" dxfId="206" priority="207" stopIfTrue="1">
      <formula>IF(OR(#REF!="not",#REF!="resign",#REF!="permanent",#REF!="terminated"),"true","false")</formula>
    </cfRule>
  </conditionalFormatting>
  <conditionalFormatting sqref="Y12">
    <cfRule type="expression" dxfId="207" priority="208" stopIfTrue="1">
      <formula>IF(OR(#REF!="not",#REF!="resign",#REF!="permanent",#REF!="terminated"),"true","false")</formula>
    </cfRule>
  </conditionalFormatting>
  <conditionalFormatting sqref="Z13">
    <cfRule type="expression" dxfId="208" priority="209" stopIfTrue="1">
      <formula>IF(OR(#REF!="not",#REF!="resign",#REF!="permanent",#REF!="terminated"),"true","false")</formula>
    </cfRule>
  </conditionalFormatting>
  <conditionalFormatting sqref="Z14">
    <cfRule type="expression" dxfId="209" priority="210" stopIfTrue="1">
      <formula>IF(OR(#REF!="not",#REF!="resign",#REF!="permanent",#REF!="terminated"),"true","false")</formula>
    </cfRule>
  </conditionalFormatting>
  <conditionalFormatting sqref="Y74">
    <cfRule type="expression" dxfId="210" priority="211" stopIfTrue="1">
      <formula>IF(OR(#REF!="not",#REF!="resign",#REF!="resign",#REF!="end",#REF!="terminated",#REF!="permanent"),"TRUE","FALSE")</formula>
    </cfRule>
  </conditionalFormatting>
  <conditionalFormatting sqref="AB10">
    <cfRule type="expression" dxfId="211" priority="212" stopIfTrue="1">
      <formula>IF(OR(#REF!="not",#REF!="resign",#REF!="resign",#REF!="end",#REF!="terminated",#REF!="permanent"),"TRUE","FALSE")</formula>
    </cfRule>
  </conditionalFormatting>
  <conditionalFormatting sqref="M78">
    <cfRule type="expression" dxfId="212" priority="213" stopIfTrue="1">
      <formula>IF(OR(#REF!="not",#REF!="resign",#REF!="resign",#REF!="end",#REF!="terminated",#REF!="permanent"),"TRUE","FALSE")</formula>
    </cfRule>
  </conditionalFormatting>
  <conditionalFormatting sqref="AB13">
    <cfRule type="expression" dxfId="213" priority="214" stopIfTrue="1">
      <formula>IF(OR(#REF!="not",#REF!="resign",#REF!="permanent",#REF!="terminated"),"true","false")</formula>
    </cfRule>
  </conditionalFormatting>
  <conditionalFormatting sqref="AB14:AB15">
    <cfRule type="expression" dxfId="214" priority="215" stopIfTrue="1">
      <formula>IF(OR(#REF!="not",#REF!="resign",#REF!="permanent",#REF!="terminated"),"true","false")</formula>
    </cfRule>
  </conditionalFormatting>
  <conditionalFormatting sqref="AB74">
    <cfRule type="expression" dxfId="215" priority="216" stopIfTrue="1">
      <formula>IF(OR(#REF!="not",#REF!="resign",#REF!="permanent",#REF!="terminated"),"true","false")</formula>
    </cfRule>
  </conditionalFormatting>
  <conditionalFormatting sqref="AB6">
    <cfRule type="expression" dxfId="216" priority="217" stopIfTrue="1">
      <formula>IF(OR(#REF!="not",#REF!="resign",#REF!="permanent",#REF!="terminated"),"true","false")</formula>
    </cfRule>
  </conditionalFormatting>
  <conditionalFormatting sqref="AB12">
    <cfRule type="expression" dxfId="217" priority="218" stopIfTrue="1">
      <formula>IF(OR(#REF!="not",#REF!="resign",#REF!="permanent",#REF!="terminated"),"true","false")</formula>
    </cfRule>
  </conditionalFormatting>
  <conditionalFormatting sqref="AE6">
    <cfRule type="expression" dxfId="218" priority="219" stopIfTrue="1">
      <formula>IF(OR(#REF!="not",#REF!="resign",#REF!="permanent",#REF!="terminated"),"true","false")</formula>
    </cfRule>
  </conditionalFormatting>
  <conditionalFormatting sqref="AE7">
    <cfRule type="expression" dxfId="219" priority="220" stopIfTrue="1">
      <formula>IF(OR(#REF!="not",#REF!="resign",#REF!="permanent",#REF!="terminated"),"true","false")</formula>
    </cfRule>
  </conditionalFormatting>
  <conditionalFormatting sqref="AE10">
    <cfRule type="expression" dxfId="220" priority="221" stopIfTrue="1">
      <formula>IF(OR(#REF!="not",#REF!="resign",#REF!="permanent",#REF!="terminated"),"true","false")</formula>
    </cfRule>
  </conditionalFormatting>
  <conditionalFormatting sqref="AE11">
    <cfRule type="expression" dxfId="221" priority="222" stopIfTrue="1">
      <formula>IF(OR(#REF!="not",#REF!="resign",#REF!="permanent",#REF!="terminated"),"true","false")</formula>
    </cfRule>
  </conditionalFormatting>
  <conditionalFormatting sqref="AE12">
    <cfRule type="expression" dxfId="222" priority="223" stopIfTrue="1">
      <formula>IF(OR(#REF!="not",#REF!="resign",#REF!="permanent",#REF!="terminated"),"true","false")</formula>
    </cfRule>
  </conditionalFormatting>
  <conditionalFormatting sqref="AE13">
    <cfRule type="expression" dxfId="223" priority="224" stopIfTrue="1">
      <formula>IF(OR(#REF!="not",#REF!="resign",#REF!="permanent",#REF!="terminated"),"true","false")</formula>
    </cfRule>
  </conditionalFormatting>
  <conditionalFormatting sqref="AE14">
    <cfRule type="expression" dxfId="224" priority="225" stopIfTrue="1">
      <formula>IF(OR(#REF!="not",#REF!="resign",#REF!="permanent",#REF!="terminated"),"true","false")</formula>
    </cfRule>
  </conditionalFormatting>
  <conditionalFormatting sqref="AE74">
    <cfRule type="expression" dxfId="225" priority="226" stopIfTrue="1">
      <formula>IF(OR(#REF!="not",#REF!="resign",#REF!="permanent",#REF!="terminated"),"true","false")</formula>
    </cfRule>
  </conditionalFormatting>
  <conditionalFormatting sqref="AC6">
    <cfRule type="expression" dxfId="226" priority="227" stopIfTrue="1">
      <formula>IF(OR(#REF!="not",#REF!="resign",#REF!="permanent",#REF!="terminated"),"true","false")</formula>
    </cfRule>
  </conditionalFormatting>
  <conditionalFormatting sqref="AC7">
    <cfRule type="expression" dxfId="227" priority="228" stopIfTrue="1">
      <formula>IF(OR(#REF!="not",#REF!="resign",#REF!="permanent",#REF!="terminated"),"true","false")</formula>
    </cfRule>
  </conditionalFormatting>
  <conditionalFormatting sqref="AC10">
    <cfRule type="expression" dxfId="228" priority="229" stopIfTrue="1">
      <formula>IF(OR(#REF!="not",#REF!="resign",#REF!="permanent",#REF!="terminated"),"true","false")</formula>
    </cfRule>
  </conditionalFormatting>
  <conditionalFormatting sqref="AC11">
    <cfRule type="expression" dxfId="229" priority="230" stopIfTrue="1">
      <formula>IF(OR(#REF!="not",#REF!="resign",#REF!="permanent",#REF!="terminated"),"true","false")</formula>
    </cfRule>
  </conditionalFormatting>
  <conditionalFormatting sqref="AC12">
    <cfRule type="expression" dxfId="230" priority="231" stopIfTrue="1">
      <formula>IF(OR(#REF!="not",#REF!="resign",#REF!="permanent",#REF!="terminated"),"true","false")</formula>
    </cfRule>
  </conditionalFormatting>
  <conditionalFormatting sqref="AC13">
    <cfRule type="expression" dxfId="231" priority="232" stopIfTrue="1">
      <formula>IF(OR(#REF!="not",#REF!="resign",#REF!="permanent",#REF!="terminated"),"true","false")</formula>
    </cfRule>
  </conditionalFormatting>
  <conditionalFormatting sqref="AC74">
    <cfRule type="expression" dxfId="232" priority="233" stopIfTrue="1">
      <formula>IF(OR(#REF!="not",#REF!="resign",#REF!="permanent",#REF!="terminated"),"true","false")</formula>
    </cfRule>
  </conditionalFormatting>
  <conditionalFormatting sqref="AD6">
    <cfRule type="expression" dxfId="233" priority="234" stopIfTrue="1">
      <formula>IF(OR(#REF!="not",#REF!="resign",#REF!="permanent",#REF!="terminated"),"true","false")</formula>
    </cfRule>
  </conditionalFormatting>
  <conditionalFormatting sqref="AD7">
    <cfRule type="expression" dxfId="234" priority="235" stopIfTrue="1">
      <formula>IF(OR(#REF!="not",#REF!="resign",#REF!="permanent",#REF!="terminated"),"true","false")</formula>
    </cfRule>
  </conditionalFormatting>
  <conditionalFormatting sqref="AD10">
    <cfRule type="expression" dxfId="235" priority="236" stopIfTrue="1">
      <formula>IF(OR(#REF!="not",#REF!="resign",#REF!="permanent",#REF!="terminated"),"true","false")</formula>
    </cfRule>
  </conditionalFormatting>
  <conditionalFormatting sqref="AD11">
    <cfRule type="expression" dxfId="236" priority="237" stopIfTrue="1">
      <formula>IF(OR(#REF!="not",#REF!="resign",#REF!="permanent",#REF!="terminated"),"true","false")</formula>
    </cfRule>
  </conditionalFormatting>
  <conditionalFormatting sqref="AD12">
    <cfRule type="expression" dxfId="237" priority="238" stopIfTrue="1">
      <formula>IF(OR(#REF!="not",#REF!="resign",#REF!="permanent",#REF!="terminated"),"true","false")</formula>
    </cfRule>
  </conditionalFormatting>
  <conditionalFormatting sqref="AD13">
    <cfRule type="expression" dxfId="238" priority="239" stopIfTrue="1">
      <formula>IF(OR(#REF!="not",#REF!="resign",#REF!="permanent",#REF!="terminated"),"true","false")</formula>
    </cfRule>
  </conditionalFormatting>
  <conditionalFormatting sqref="AD14">
    <cfRule type="expression" dxfId="239" priority="240" stopIfTrue="1">
      <formula>IF(OR(#REF!="not",#REF!="resign",#REF!="permanent",#REF!="terminated"),"true","false")</formula>
    </cfRule>
  </conditionalFormatting>
  <conditionalFormatting sqref="AD74">
    <cfRule type="expression" dxfId="240" priority="241" stopIfTrue="1">
      <formula>IF(OR(#REF!="not",#REF!="resign",#REF!="permanent",#REF!="terminated"),"true","false")</formula>
    </cfRule>
  </conditionalFormatting>
  <conditionalFormatting sqref="X15">
    <cfRule type="expression" dxfId="241" priority="242" stopIfTrue="1">
      <formula>IF(OR(#REF!="not",#REF!="resign",#REF!="resign",#REF!="end",#REF!="terminated",#REF!="permanent"),"TRUE","FALSE")</formula>
    </cfRule>
  </conditionalFormatting>
  <conditionalFormatting sqref="X28">
    <cfRule type="expression" dxfId="242" priority="243" stopIfTrue="1">
      <formula>IF(OR(#REF!="not",#REF!="resign",#REF!="resign",#REF!="end",#REF!="terminated",#REF!="permanent"),"TRUE","FALSE")</formula>
    </cfRule>
  </conditionalFormatting>
  <conditionalFormatting sqref="BC329:BC334;W329;W327;P327:U335">
    <cfRule type="expression" dxfId="243" priority="244" stopIfTrue="1">
      <formula>IF(OR(#REF!="not",#REF!="resign",#REF!="permanent",#REF!="terminated"),"true","false")</formula>
    </cfRule>
  </conditionalFormatting>
  <conditionalFormatting sqref="M331:N334;W328;X327:AE327;BC327:BC328">
    <cfRule type="expression" dxfId="244" priority="245" stopIfTrue="1">
      <formula>IF(OR(#REF!="not",#REF!="resign",#REF!="permanent",#REF!="terminated"),"true","false")</formula>
    </cfRule>
  </conditionalFormatting>
  <conditionalFormatting sqref="F335:G335;AH327:BC334;C327:AE334">
    <cfRule type="expression" dxfId="245" priority="246" stopIfTrue="1">
      <formula>IF(OR(#REF!="not",#REF!="resign",#REF!="resign",#REF!="end",#REF!="terminated",#REF!="permanent"),"TRUE","FALSE")</formula>
    </cfRule>
  </conditionalFormatting>
  <conditionalFormatting sqref="P336:Q336;S336;U336;M335;P327:U334">
    <cfRule type="expression" dxfId="246" priority="247" stopIfTrue="1">
      <formula>IF(OR(#REF!="not",#REF!="resign",#REF!="permanent",#REF!="terminated"),"true","false")</formula>
    </cfRule>
  </conditionalFormatting>
  <conditionalFormatting sqref="P327:U334">
    <cfRule type="expression" dxfId="247" priority="248" stopIfTrue="1">
      <formula>IF(OR(#REF!="not",#REF!="resign",#REF!="permanent",#REF!="terminated"),"true","false")</formula>
    </cfRule>
  </conditionalFormatting>
  <conditionalFormatting sqref="M331;X327:AE327">
    <cfRule type="expression" dxfId="248" priority="249" stopIfTrue="1">
      <formula>IF(OR(#REF!="not",#REF!="resign",#REF!="permanent",#REF!="terminated"),"true","false")</formula>
    </cfRule>
  </conditionalFormatting>
  <conditionalFormatting sqref="AG327:AG336">
    <cfRule type="expression" dxfId="249" priority="250" stopIfTrue="1">
      <formula>NOT(ISERROR(SEARCH("warning",AG327)))</formula>
    </cfRule>
  </conditionalFormatting>
  <conditionalFormatting sqref="C343:C344;BD327:BD345">
    <cfRule type="expression" dxfId="250" priority="251" stopIfTrue="1">
      <formula>IF(OR(#REF!="not",#REF!="resign",#REF!="resign",#REF!="end",#REF!="terminated",#REF!="permanent"),"TRUE","FALSE")</formula>
    </cfRule>
  </conditionalFormatting>
  <conditionalFormatting sqref="R330">
    <cfRule type="expression" dxfId="251" priority="252" stopIfTrue="1">
      <formula>IF(OR(#REF!="not",#REF!="resign",#REF!="permanent",#REF!="terminated"),"true","false")</formula>
    </cfRule>
    <cfRule type="expression" dxfId="252" priority="253" stopIfTrue="1">
      <formula>IF(OR(#REF!="not",#REF!="resign",#REF!="permanent",#REF!="terminated"),"true","false")</formula>
    </cfRule>
  </conditionalFormatting>
  <conditionalFormatting sqref="M331">
    <cfRule type="expression" dxfId="253" priority="254" stopIfTrue="1">
      <formula>IF(OR(#REF!="not",#REF!="resign",#REF!="permanent",#REF!="terminated"),"true","false")</formula>
    </cfRule>
    <cfRule type="expression" dxfId="254" priority="255" stopIfTrue="1">
      <formula>IF(OR(#REF!="not",#REF!="resign",#REF!="permanent",#REF!="terminated"),"true","false")</formula>
    </cfRule>
  </conditionalFormatting>
  <conditionalFormatting sqref="C345:H345;D343:H344;I335;AM335">
    <cfRule type="expression" dxfId="255" priority="256" stopIfTrue="1">
      <formula>IF(OR(#REF!="not",#REF!="resign",#REF!="resign",#REF!="end",#REF!="terminated",#REF!="permanent"),"TRUE","FALSE")</formula>
    </cfRule>
  </conditionalFormatting>
  <conditionalFormatting sqref="C335:L335;O335:AE335;AH335:BB335">
    <cfRule type="expression" dxfId="256" priority="257" stopIfTrue="1">
      <formula>IF(OR(#REF!="not",#REF!="resign",#REF!="resign",#REF!="end",#REF!="terminated",#REF!="permanent"),"TRUE","FALSE")</formula>
    </cfRule>
  </conditionalFormatting>
  <conditionalFormatting sqref="N335">
    <cfRule type="expression" dxfId="257" priority="258" stopIfTrue="1">
      <formula>IF(OR(#REF!="not",#REF!="resign",#REF!="resign",#REF!="end",#REF!="terminated",#REF!="permanent"),"TRUE","FALSE")</formula>
    </cfRule>
  </conditionalFormatting>
  <conditionalFormatting sqref="BC335">
    <cfRule type="expression" dxfId="258" priority="259" stopIfTrue="1">
      <formula>IF(OR(#REF!="not",#REF!="resign",#REF!="permanent",#REF!="terminated"),"true","false")</formula>
    </cfRule>
  </conditionalFormatting>
  <conditionalFormatting sqref="P336:Q336;S336;U336">
    <cfRule type="expression" dxfId="259" priority="260" stopIfTrue="1">
      <formula>IF(OR(#REF!="not",#REF!="resign",#REF!="permanent",#REF!="terminated"),"true","false")</formula>
    </cfRule>
  </conditionalFormatting>
  <conditionalFormatting sqref="P336">
    <cfRule type="expression" dxfId="260" priority="261" stopIfTrue="1">
      <formula>IF(OR($CC336="not",$CC336="resign",$CC336="permanent",$CC336="terminated"),"true","false")</formula>
    </cfRule>
    <cfRule type="expression" dxfId="261" priority="262" stopIfTrue="1">
      <formula>IF(OR($CD336="not",$CD336="resign",$CD336="permanent",$CD336="terminated"),"true","false")</formula>
    </cfRule>
    <cfRule type="expression" dxfId="262" priority="263" stopIfTrue="1">
      <formula>IF(OR($BX336="not",$BX336="resign",$BX336="permanent",$BX336="terminated"),"true","false")</formula>
    </cfRule>
  </conditionalFormatting>
  <conditionalFormatting sqref="W336">
    <cfRule type="expression" dxfId="263" priority="264" stopIfTrue="1">
      <formula>IF(OR($BF336="not",$BF336="resign",$BF336="resign",$BF336="end",$BF336="terminated",$BF336="permanent"),"TRUE","FALSE")</formula>
    </cfRule>
  </conditionalFormatting>
  <conditionalFormatting sqref="Q336">
    <cfRule type="expression" dxfId="264" priority="265" stopIfTrue="1">
      <formula>IF(OR($CC336="not",$CC336="resign",$CC336="permanent",$CC336="terminated"),"true","false")</formula>
    </cfRule>
    <cfRule type="expression" dxfId="265" priority="266" stopIfTrue="1">
      <formula>IF(OR($CD336="not",$CD336="resign",$CD336="permanent",$CD336="terminated"),"true","false")</formula>
    </cfRule>
    <cfRule type="expression" dxfId="266" priority="267" stopIfTrue="1">
      <formula>IF(OR($BX336="not",$BX336="resign",$BX336="permanent",$BX336="terminated"),"true","false")</formula>
    </cfRule>
  </conditionalFormatting>
  <conditionalFormatting sqref="AQ336">
    <cfRule type="expression" dxfId="267" priority="268" stopIfTrue="1">
      <formula>IF(OR($BF336="not",$BF336="resign",$BF336="resign",$BF336="end",$BF336="terminated",$BF336="permanent"),"TRUE","FALSE")</formula>
    </cfRule>
  </conditionalFormatting>
  <conditionalFormatting sqref="AT336">
    <cfRule type="expression" dxfId="268" priority="269" stopIfTrue="1">
      <formula>IF(OR($BF336="not",$BF336="resign",$BF336="resign",$BF336="end",$BF336="terminated",$BF336="permanent"),"TRUE","FALSE")</formula>
    </cfRule>
  </conditionalFormatting>
  <conditionalFormatting sqref="V336">
    <cfRule type="expression" dxfId="269" priority="270" stopIfTrue="1">
      <formula>IF(OR($BF336="not",$BF336="resign",$BF336="resign",$BF336="end",$BF336="terminated",$BF336="permanent"),"TRUE","FALSE")</formula>
    </cfRule>
  </conditionalFormatting>
  <conditionalFormatting sqref="R336">
    <cfRule type="expression" dxfId="270" priority="271" stopIfTrue="1">
      <formula>IF(OR($BF336="not",$BF336="resign",$BF336="resign",$BF336="end",$BF336="terminated",$BF336="permanent"),"TRUE","FALSE")</formula>
    </cfRule>
  </conditionalFormatting>
  <conditionalFormatting sqref="U336">
    <cfRule type="expression" dxfId="271" priority="272" stopIfTrue="1">
      <formula>IF(OR($CC336="not",$CC336="resign",$CC336="permanent",$CC336="terminated"),"true","false")</formula>
    </cfRule>
    <cfRule type="expression" dxfId="272" priority="273" stopIfTrue="1">
      <formula>IF(OR($CD336="not",$CD336="resign",$CD336="permanent",$CD336="terminated"),"true","false")</formula>
    </cfRule>
    <cfRule type="expression" dxfId="273" priority="274" stopIfTrue="1">
      <formula>IF(OR($BX336="not",$BX336="resign",$BX336="permanent",$BX336="terminated"),"true","false")</formula>
    </cfRule>
  </conditionalFormatting>
  <conditionalFormatting sqref="S336">
    <cfRule type="expression" dxfId="274" priority="275" stopIfTrue="1">
      <formula>IF(OR($CC336="not",$CC336="resign",$CC336="permanent",$CC336="terminated"),"true","false")</formula>
    </cfRule>
    <cfRule type="expression" dxfId="275" priority="276" stopIfTrue="1">
      <formula>IF(OR($CD336="not",$CD336="resign",$CD336="permanent",$CD336="terminated"),"true","false")</formula>
    </cfRule>
    <cfRule type="expression" dxfId="276" priority="277" stopIfTrue="1">
      <formula>IF(OR($BX336="not",$BX336="resign",$BX336="permanent",$BX336="terminated"),"true","false")</formula>
    </cfRule>
  </conditionalFormatting>
  <conditionalFormatting sqref="T336">
    <cfRule type="expression" dxfId="277" priority="278" stopIfTrue="1">
      <formula>IF(OR($BF336="not",$BF336="resign",$BF336="resign",$BF336="end",$BF336="terminated",$BF336="permanent"),"TRUE","FALSE")</formula>
    </cfRule>
  </conditionalFormatting>
  <conditionalFormatting sqref="AK337">
    <cfRule type="expression" dxfId="278" priority="279" stopIfTrue="1">
      <formula>IF(OR($BF337="not",$BF337="resign",$BF337="resign",$BF337="end",$BF337="terminated",$BF337="permanent"),"TRUE","FALSE")</formula>
    </cfRule>
  </conditionalFormatting>
  <conditionalFormatting sqref="L337;H337:I337">
    <cfRule type="expression" dxfId="279" priority="280" stopIfTrue="1">
      <formula>IF(OR(#REF!="not",#REF!="resign",#REF!="resign",#REF!="end",#REF!="terminated",#REF!="permanent"),"TRUE","FALSE")</formula>
    </cfRule>
  </conditionalFormatting>
  <conditionalFormatting sqref="M337:N337;P337:U337;BC337">
    <cfRule type="expression" dxfId="280" priority="281" stopIfTrue="1">
      <formula>IF(OR(#REF!="not",#REF!="resign",#REF!="permanent",#REF!="terminated"),"true","false")</formula>
    </cfRule>
  </conditionalFormatting>
  <conditionalFormatting sqref="AG337">
    <cfRule type="expression" dxfId="281" priority="282" stopIfTrue="1">
      <formula>NOT(ISERROR(SEARCH("warning",AG337)))</formula>
    </cfRule>
  </conditionalFormatting>
  <conditionalFormatting sqref="AS337">
    <cfRule type="expression" dxfId="282" priority="283" stopIfTrue="1">
      <formula>IF(OR(#REF!="not",#REF!="resign",#REF!="resign",#REF!="end",#REF!="terminated",#REF!="permanent"),"TRUE","FALSE")</formula>
    </cfRule>
  </conditionalFormatting>
  <conditionalFormatting sqref="AQ337:AR337">
    <cfRule type="expression" dxfId="283" priority="284" stopIfTrue="1">
      <formula>IF(OR(#REF!="not",#REF!="resign",#REF!="resign",#REF!="end",#REF!="terminated",#REF!="permanent"),"TRUE","FALSE")</formula>
    </cfRule>
  </conditionalFormatting>
  <conditionalFormatting sqref="AJ337">
    <cfRule type="expression" dxfId="284" priority="285" stopIfTrue="1">
      <formula>IF(OR(#REF!="not",#REF!="resign",#REF!="resign",#REF!="end",#REF!="terminated",#REF!="permanent"),"TRUE","FALSE")</formula>
    </cfRule>
  </conditionalFormatting>
  <conditionalFormatting sqref="AK340;AH338:AI340;AK338">
    <cfRule type="expression" dxfId="285" priority="286" stopIfTrue="1">
      <formula>IF(OR(#REF!="not",#REF!="resign",#REF!="resign",#REF!="end",#REF!="terminated",#REF!="permanent"),"TRUE","FALSE")</formula>
    </cfRule>
  </conditionalFormatting>
  <conditionalFormatting sqref="AM338:AM340">
    <cfRule type="expression" dxfId="286" priority="287" stopIfTrue="1">
      <formula>IF(OR(#REF!="not",#REF!="resign",#REF!="resign",#REF!="end",#REF!="terminated",#REF!="permanent"),"TRUE","FALSE")</formula>
    </cfRule>
  </conditionalFormatting>
  <conditionalFormatting sqref="P338:U340">
    <cfRule type="expression" dxfId="287" priority="288" stopIfTrue="1">
      <formula>IF(OR(#REF!="not",#REF!="resign",#REF!="permanent",#REF!="terminated"),"true","false")</formula>
    </cfRule>
  </conditionalFormatting>
  <conditionalFormatting sqref="AO338:AO340">
    <cfRule type="expression" dxfId="288" priority="289" stopIfTrue="1">
      <formula>IF(OR(#REF!="not",#REF!="resign",#REF!="resign",#REF!="end",#REF!="terminated",#REF!="permanent"),"TRUE","FALSE")</formula>
    </cfRule>
  </conditionalFormatting>
  <conditionalFormatting sqref="AJ338">
    <cfRule type="expression" dxfId="289" priority="290" stopIfTrue="1">
      <formula>IF(OR(#REF!="not",#REF!="resign",#REF!="resign",#REF!="end",#REF!="terminated",#REF!="permanent"),"TRUE","FALSE")</formula>
    </cfRule>
  </conditionalFormatting>
  <conditionalFormatting sqref="AQ338:AS340">
    <cfRule type="expression" dxfId="290" priority="291" stopIfTrue="1">
      <formula>IF(OR(#REF!="not",#REF!="resign",#REF!="resign",#REF!="end",#REF!="terminated",#REF!="permanent"),"TRUE","FALSE")</formula>
    </cfRule>
  </conditionalFormatting>
  <conditionalFormatting sqref="AG338:AG342">
    <cfRule type="expression" dxfId="291" priority="292" stopIfTrue="1">
      <formula>NOT(ISERROR(SEARCH("warning",AG338)))</formula>
    </cfRule>
  </conditionalFormatting>
  <conditionalFormatting sqref="M338">
    <cfRule type="expression" dxfId="292" priority="293" stopIfTrue="1">
      <formula>IF(OR(#REF!="not",#REF!="resign",#REF!="resign",#REF!="end",#REF!="terminated",#REF!="permanent"),"TRUE","FALSE")</formula>
    </cfRule>
  </conditionalFormatting>
  <conditionalFormatting sqref="AJ339">
    <cfRule type="expression" dxfId="293" priority="294" stopIfTrue="1">
      <formula>IF(OR(#REF!="not",#REF!="resign",#REF!="resign",#REF!="end",#REF!="terminated",#REF!="permanent"),"TRUE","FALSE")</formula>
    </cfRule>
  </conditionalFormatting>
  <conditionalFormatting sqref="AJ340">
    <cfRule type="expression" dxfId="294" priority="295" stopIfTrue="1">
      <formula>IF(OR(#REF!="not",#REF!="resign",#REF!="resign",#REF!="end",#REF!="terminated",#REF!="permanent"),"TRUE","FALSE")</formula>
    </cfRule>
  </conditionalFormatting>
  <conditionalFormatting sqref="AK341">
    <cfRule type="expression" dxfId="295" priority="296" stopIfTrue="1">
      <formula>IF(OR(#REF!="not",#REF!="resign",#REF!="resign",#REF!="end",#REF!="terminated",#REF!="permanent"),"TRUE","FALSE")</formula>
    </cfRule>
  </conditionalFormatting>
  <conditionalFormatting sqref="AM341">
    <cfRule type="expression" dxfId="296" priority="297" stopIfTrue="1">
      <formula>IF(OR(#REF!="not",#REF!="resign",#REF!="resign",#REF!="end",#REF!="terminated",#REF!="permanent"),"TRUE","FALSE")</formula>
    </cfRule>
  </conditionalFormatting>
  <conditionalFormatting sqref="P341:U341">
    <cfRule type="expression" dxfId="297" priority="298" stopIfTrue="1">
      <formula>IF(OR(#REF!="not",#REF!="resign",#REF!="permanent",#REF!="terminated"),"true","false")</formula>
    </cfRule>
  </conditionalFormatting>
  <conditionalFormatting sqref="AO341">
    <cfRule type="expression" dxfId="298" priority="299" stopIfTrue="1">
      <formula>IF(OR(#REF!="not",#REF!="resign",#REF!="resign",#REF!="end",#REF!="terminated",#REF!="permanent"),"TRUE","FALSE")</formula>
    </cfRule>
  </conditionalFormatting>
  <conditionalFormatting sqref="AH341:AI341">
    <cfRule type="expression" dxfId="299" priority="300" stopIfTrue="1">
      <formula>IF(OR(#REF!="not",#REF!="resign",#REF!="resign",#REF!="end",#REF!="terminated",#REF!="permanent"),"TRUE","FALSE")</formula>
    </cfRule>
  </conditionalFormatting>
  <conditionalFormatting sqref="AJ341">
    <cfRule type="expression" dxfId="300" priority="301" stopIfTrue="1">
      <formula>IF(OR(#REF!="not",#REF!="resign",#REF!="resign",#REF!="end",#REF!="terminated",#REF!="permanent"),"TRUE","FALSE")</formula>
    </cfRule>
  </conditionalFormatting>
  <conditionalFormatting sqref="AK339">
    <cfRule type="expression" dxfId="301" priority="302" stopIfTrue="1">
      <formula>IF(OR(#REF!="not",#REF!="resign",#REF!="resign",#REF!="end",#REF!="terminated",#REF!="permanent"),"TRUE","FALSE")</formula>
    </cfRule>
  </conditionalFormatting>
  <conditionalFormatting sqref="AQ341:AS341">
    <cfRule type="expression" dxfId="302" priority="303" stopIfTrue="1">
      <formula>IF(OR(#REF!="not",#REF!="resign",#REF!="resign",#REF!="end",#REF!="terminated",#REF!="permanent"),"TRUE","FALSE")</formula>
    </cfRule>
  </conditionalFormatting>
  <conditionalFormatting sqref="I342">
    <cfRule type="expression" dxfId="303" priority="304" stopIfTrue="1">
      <formula>IF(OR(#REF!="not",#REF!="resign",#REF!="resign",#REF!="end",#REF!="terminated",#REF!="permanent"),"TRUE","FALSE")</formula>
    </cfRule>
  </conditionalFormatting>
  <conditionalFormatting sqref="AK342">
    <cfRule type="expression" dxfId="304" priority="305" stopIfTrue="1">
      <formula>IF(OR(#REF!="not",#REF!="resign",#REF!="resign",#REF!="end",#REF!="terminated",#REF!="permanent"),"TRUE","FALSE")</formula>
    </cfRule>
  </conditionalFormatting>
  <conditionalFormatting sqref="AM342">
    <cfRule type="expression" dxfId="305" priority="306" stopIfTrue="1">
      <formula>IF(OR(#REF!="not",#REF!="resign",#REF!="resign",#REF!="end",#REF!="terminated",#REF!="permanent"),"TRUE","FALSE")</formula>
    </cfRule>
  </conditionalFormatting>
  <conditionalFormatting sqref="P342:U342">
    <cfRule type="expression" dxfId="306" priority="307" stopIfTrue="1">
      <formula>IF(OR(#REF!="not",#REF!="resign",#REF!="permanent",#REF!="terminated"),"true","false")</formula>
    </cfRule>
  </conditionalFormatting>
  <conditionalFormatting sqref="AO342">
    <cfRule type="expression" dxfId="307" priority="308" stopIfTrue="1">
      <formula>IF(OR(#REF!="not",#REF!="resign",#REF!="resign",#REF!="end",#REF!="terminated",#REF!="permanent"),"TRUE","FALSE")</formula>
    </cfRule>
  </conditionalFormatting>
  <conditionalFormatting sqref="AH342:AI342">
    <cfRule type="expression" dxfId="308" priority="309" stopIfTrue="1">
      <formula>IF(OR(#REF!="not",#REF!="resign",#REF!="resign",#REF!="end",#REF!="terminated",#REF!="permanent"),"TRUE","FALSE")</formula>
    </cfRule>
  </conditionalFormatting>
  <conditionalFormatting sqref="AJ342">
    <cfRule type="expression" dxfId="309" priority="310" stopIfTrue="1">
      <formula>IF(OR(#REF!="not",#REF!="resign",#REF!="resign",#REF!="end",#REF!="terminated",#REF!="permanent"),"TRUE","FALSE")</formula>
    </cfRule>
  </conditionalFormatting>
  <conditionalFormatting sqref="C340">
    <cfRule type="expression" dxfId="310" priority="311" stopIfTrue="1">
      <formula>IF(OR(#REF!="not",#REF!="resign",#REF!="resign",#REF!="end",#REF!="terminated",#REF!="permanent"),"TRUE","FALSE")</formula>
    </cfRule>
  </conditionalFormatting>
  <conditionalFormatting sqref="C339">
    <cfRule type="expression" dxfId="311" priority="312" stopIfTrue="1">
      <formula>IF(OR(#REF!="not",#REF!="resign",#REF!="resign",#REF!="end",#REF!="terminated",#REF!="permanent"),"TRUE","FALSE")</formula>
    </cfRule>
  </conditionalFormatting>
  <conditionalFormatting sqref="AQ342:AS342">
    <cfRule type="expression" dxfId="312" priority="313" stopIfTrue="1">
      <formula>IF(OR(#REF!="not",#REF!="resign",#REF!="resign",#REF!="end",#REF!="terminated",#REF!="permanent"),"TRUE","FALSE")</formula>
    </cfRule>
  </conditionalFormatting>
  <conditionalFormatting sqref="M339">
    <cfRule type="expression" dxfId="313" priority="314" stopIfTrue="1">
      <formula>IF(OR(#REF!="not",#REF!="resign",#REF!="resign",#REF!="end",#REF!="terminated",#REF!="permanent"),"TRUE","FALSE")</formula>
    </cfRule>
  </conditionalFormatting>
  <conditionalFormatting sqref="M340">
    <cfRule type="expression" dxfId="314" priority="315" stopIfTrue="1">
      <formula>IF(OR(#REF!="not",#REF!="resign",#REF!="resign",#REF!="end",#REF!="terminated",#REF!="permanent"),"TRUE","FALSE")</formula>
    </cfRule>
  </conditionalFormatting>
  <conditionalFormatting sqref="M341">
    <cfRule type="expression" dxfId="315" priority="316" stopIfTrue="1">
      <formula>IF(OR(#REF!="not",#REF!="resign",#REF!="resign",#REF!="end",#REF!="terminated",#REF!="permanent"),"TRUE","FALSE")</formula>
    </cfRule>
  </conditionalFormatting>
  <conditionalFormatting sqref="M342">
    <cfRule type="expression" dxfId="316" priority="317" stopIfTrue="1">
      <formula>IF(OR(#REF!="not",#REF!="resign",#REF!="resign",#REF!="end",#REF!="terminated",#REF!="permanent"),"TRUE","FALSE")</formula>
    </cfRule>
  </conditionalFormatting>
  <conditionalFormatting sqref="BC342">
    <cfRule type="expression" dxfId="317" priority="318" stopIfTrue="1">
      <formula>IF(OR(#REF!="not",#REF!="resign",#REF!="permanent",#REF!="terminated"),"true","false")</formula>
    </cfRule>
  </conditionalFormatting>
  <conditionalFormatting sqref="BC341">
    <cfRule type="expression" dxfId="318" priority="319" stopIfTrue="1">
      <formula>IF(OR(#REF!="not",#REF!="resign",#REF!="permanent",#REF!="terminated"),"true","false")</formula>
    </cfRule>
  </conditionalFormatting>
  <conditionalFormatting sqref="BC340">
    <cfRule type="expression" dxfId="319" priority="320" stopIfTrue="1">
      <formula>IF(OR(#REF!="not",#REF!="resign",#REF!="permanent",#REF!="terminated"),"true","false")</formula>
    </cfRule>
  </conditionalFormatting>
  <conditionalFormatting sqref="BC339">
    <cfRule type="expression" dxfId="320" priority="321" stopIfTrue="1">
      <formula>IF(OR(#REF!="not",#REF!="resign",#REF!="permanent",#REF!="terminated"),"true","false")</formula>
    </cfRule>
  </conditionalFormatting>
  <conditionalFormatting sqref="I343:I345">
    <cfRule type="expression" dxfId="321" priority="322" stopIfTrue="1">
      <formula>IF(OR(#REF!="not",#REF!="resign",#REF!="resign",#REF!="end",#REF!="terminated",#REF!="permanent"),"TRUE","FALSE")</formula>
    </cfRule>
  </conditionalFormatting>
  <conditionalFormatting sqref="AK343:AK345">
    <cfRule type="expression" dxfId="322" priority="323" stopIfTrue="1">
      <formula>IF(OR(#REF!="not",#REF!="resign",#REF!="resign",#REF!="end",#REF!="terminated",#REF!="permanent"),"TRUE","FALSE")</formula>
    </cfRule>
  </conditionalFormatting>
  <conditionalFormatting sqref="AM343:AM345">
    <cfRule type="expression" dxfId="323" priority="324" stopIfTrue="1">
      <formula>IF(OR(#REF!="not",#REF!="resign",#REF!="resign",#REF!="end",#REF!="terminated",#REF!="permanent"),"TRUE","FALSE")</formula>
    </cfRule>
  </conditionalFormatting>
  <conditionalFormatting sqref="P343:U345">
    <cfRule type="expression" dxfId="324" priority="325" stopIfTrue="1">
      <formula>IF(OR(#REF!="not",#REF!="resign",#REF!="permanent",#REF!="terminated"),"true","false")</formula>
    </cfRule>
  </conditionalFormatting>
  <conditionalFormatting sqref="AO343:AO345">
    <cfRule type="expression" dxfId="325" priority="326" stopIfTrue="1">
      <formula>IF(OR(#REF!="not",#REF!="resign",#REF!="resign",#REF!="end",#REF!="terminated",#REF!="permanent"),"TRUE","FALSE")</formula>
    </cfRule>
  </conditionalFormatting>
  <conditionalFormatting sqref="AQ343:AS345">
    <cfRule type="expression" dxfId="326" priority="327" stopIfTrue="1">
      <formula>IF(OR(#REF!="not",#REF!="resign",#REF!="resign",#REF!="end",#REF!="terminated",#REF!="permanent"),"TRUE","FALSE")</formula>
    </cfRule>
  </conditionalFormatting>
  <conditionalFormatting sqref="AH343:AH345">
    <cfRule type="expression" dxfId="327" priority="328" stopIfTrue="1">
      <formula>IF(OR(#REF!="not",#REF!="resign",#REF!="resign",#REF!="end",#REF!="terminated",#REF!="permanent"),"TRUE","FALSE")</formula>
    </cfRule>
  </conditionalFormatting>
  <conditionalFormatting sqref="AI343:AI345">
    <cfRule type="expression" dxfId="328" priority="329" stopIfTrue="1">
      <formula>IF(OR(#REF!="not",#REF!="resign",#REF!="resign",#REF!="end",#REF!="terminated",#REF!="permanent"),"TRUE","FALSE")</formula>
    </cfRule>
  </conditionalFormatting>
  <conditionalFormatting sqref="AJ343:AJ345">
    <cfRule type="expression" dxfId="329" priority="330" stopIfTrue="1">
      <formula>IF(OR(#REF!="not",#REF!="resign",#REF!="resign",#REF!="end",#REF!="terminated",#REF!="permanent"),"TRUE","FALSE")</formula>
    </cfRule>
  </conditionalFormatting>
  <conditionalFormatting sqref="AG343:AG345">
    <cfRule type="expression" dxfId="330" priority="331" stopIfTrue="1">
      <formula>NOT(ISERROR(SEARCH("warning",AG343)))</formula>
    </cfRule>
  </conditionalFormatting>
  <conditionalFormatting sqref="M345">
    <cfRule type="expression" dxfId="331" priority="332" stopIfTrue="1">
      <formula>IF(OR(#REF!="not",#REF!="resign",#REF!="resign",#REF!="end",#REF!="terminated",#REF!="permanent"),"TRUE","FALSE")</formula>
    </cfRule>
  </conditionalFormatting>
  <conditionalFormatting sqref="M344">
    <cfRule type="expression" dxfId="332" priority="333" stopIfTrue="1">
      <formula>IF(OR(#REF!="not",#REF!="resign",#REF!="resign",#REF!="end",#REF!="terminated",#REF!="permanent"),"TRUE","FALSE")</formula>
    </cfRule>
  </conditionalFormatting>
  <conditionalFormatting sqref="M343">
    <cfRule type="expression" dxfId="333" priority="334" stopIfTrue="1">
      <formula>IF(OR(#REF!="not",#REF!="resign",#REF!="resign",#REF!="end",#REF!="terminated",#REF!="permanent"),"TRUE","FALSE")</formula>
    </cfRule>
  </conditionalFormatting>
  <conditionalFormatting sqref="BC343">
    <cfRule type="expression" dxfId="334" priority="335" stopIfTrue="1">
      <formula>IF(OR(#REF!="not",#REF!="resign",#REF!="permanent",#REF!="terminated"),"true","false")</formula>
    </cfRule>
  </conditionalFormatting>
  <conditionalFormatting sqref="BC345">
    <cfRule type="expression" dxfId="335" priority="336" stopIfTrue="1">
      <formula>IF(OR(#REF!="not",#REF!="resign",#REF!="permanent",#REF!="terminated"),"true","false")</formula>
    </cfRule>
  </conditionalFormatting>
  <conditionalFormatting sqref="BC344">
    <cfRule type="expression" dxfId="336" priority="337" stopIfTrue="1">
      <formula>IF(OR(#REF!="not",#REF!="resign",#REF!="permanent",#REF!="terminated"),"true","false")</formula>
    </cfRule>
  </conditionalFormatting>
  <conditionalFormatting sqref="AX93;E93;AK98:AP98">
    <cfRule type="expression" dxfId="337" priority="338" stopIfTrue="1">
      <formula>IF(OR(#REF!="not",#REF!="resign",#REF!="resign",#REF!="end",#REF!="terminated",#REF!="permanent"),"TRUE","FALSE")</formula>
    </cfRule>
  </conditionalFormatting>
  <conditionalFormatting sqref="R93:U93">
    <cfRule type="expression" dxfId="338" priority="339" stopIfTrue="1">
      <formula>IF(OR(#REF!="not",#REF!="resign",#REF!="permanent",#REF!="terminated"),"true","false")</formula>
    </cfRule>
  </conditionalFormatting>
  <conditionalFormatting sqref="AL93:AM93;AO93">
    <cfRule type="expression" dxfId="339" priority="340" stopIfTrue="1">
      <formula>IF(OR(#REF!="not",#REF!="resign",#REF!="resign",#REF!="end",#REF!="terminated",#REF!="permanent"),"TRUE","FALSE")</formula>
    </cfRule>
  </conditionalFormatting>
  <conditionalFormatting sqref="AK93;AN93;AP93">
    <cfRule type="expression" dxfId="340" priority="341" stopIfTrue="1">
      <formula>IF(OR(#REF!="not",#REF!="resign",#REF!="resign",#REF!="end",#REF!="terminated",#REF!="permanent"),"TRUE","FALSE")</formula>
    </cfRule>
  </conditionalFormatting>
  <conditionalFormatting sqref="AX94;E94">
    <cfRule type="expression" dxfId="341" priority="342" stopIfTrue="1">
      <formula>IF(OR(#REF!="not",#REF!="resign",#REF!="resign",#REF!="end",#REF!="terminated",#REF!="permanent"),"TRUE","FALSE")</formula>
    </cfRule>
  </conditionalFormatting>
  <conditionalFormatting sqref="R94:U94">
    <cfRule type="expression" dxfId="342" priority="343" stopIfTrue="1">
      <formula>IF(OR(#REF!="not",#REF!="resign",#REF!="permanent",#REF!="terminated"),"true","false")</formula>
    </cfRule>
  </conditionalFormatting>
  <conditionalFormatting sqref="AL94:AM94;AO94">
    <cfRule type="expression" dxfId="343" priority="344" stopIfTrue="1">
      <formula>IF(OR(#REF!="not",#REF!="resign",#REF!="resign",#REF!="end",#REF!="terminated",#REF!="permanent"),"TRUE","FALSE")</formula>
    </cfRule>
  </conditionalFormatting>
  <conditionalFormatting sqref="AK94;AN94;AP94">
    <cfRule type="expression" dxfId="344" priority="345" stopIfTrue="1">
      <formula>IF(OR(#REF!="not",#REF!="resign",#REF!="resign",#REF!="end",#REF!="terminated",#REF!="permanent"),"TRUE","FALSE")</formula>
    </cfRule>
  </conditionalFormatting>
  <conditionalFormatting sqref="AX95;E95">
    <cfRule type="expression" dxfId="345" priority="346" stopIfTrue="1">
      <formula>IF(OR(#REF!="not",#REF!="resign",#REF!="resign",#REF!="end",#REF!="terminated",#REF!="permanent"),"TRUE","FALSE")</formula>
    </cfRule>
  </conditionalFormatting>
  <conditionalFormatting sqref="R95:U95">
    <cfRule type="expression" dxfId="346" priority="347" stopIfTrue="1">
      <formula>IF(OR(#REF!="not",#REF!="resign",#REF!="permanent",#REF!="terminated"),"true","false")</formula>
    </cfRule>
  </conditionalFormatting>
  <conditionalFormatting sqref="AL95:AM95;AO95">
    <cfRule type="expression" dxfId="347" priority="348" stopIfTrue="1">
      <formula>IF(OR(#REF!="not",#REF!="resign",#REF!="resign",#REF!="end",#REF!="terminated",#REF!="permanent"),"TRUE","FALSE")</formula>
    </cfRule>
  </conditionalFormatting>
  <conditionalFormatting sqref="AK95;AN95;AP95">
    <cfRule type="expression" dxfId="348" priority="349" stopIfTrue="1">
      <formula>IF(OR(#REF!="not",#REF!="resign",#REF!="resign",#REF!="end",#REF!="terminated",#REF!="permanent"),"TRUE","FALSE")</formula>
    </cfRule>
  </conditionalFormatting>
  <conditionalFormatting sqref="AX96;E96">
    <cfRule type="expression" dxfId="349" priority="350" stopIfTrue="1">
      <formula>IF(OR(#REF!="not",#REF!="resign",#REF!="resign",#REF!="end",#REF!="terminated",#REF!="permanent"),"TRUE","FALSE")</formula>
    </cfRule>
  </conditionalFormatting>
  <conditionalFormatting sqref="R96:U96">
    <cfRule type="expression" dxfId="350" priority="351" stopIfTrue="1">
      <formula>IF(OR(#REF!="not",#REF!="resign",#REF!="permanent",#REF!="terminated"),"true","false")</formula>
    </cfRule>
  </conditionalFormatting>
  <conditionalFormatting sqref="AL96:AM96;AO96">
    <cfRule type="expression" dxfId="351" priority="352" stopIfTrue="1">
      <formula>IF(OR(#REF!="not",#REF!="resign",#REF!="resign",#REF!="end",#REF!="terminated",#REF!="permanent"),"TRUE","FALSE")</formula>
    </cfRule>
  </conditionalFormatting>
  <conditionalFormatting sqref="AK96;AN96;AP96">
    <cfRule type="expression" dxfId="352" priority="353" stopIfTrue="1">
      <formula>IF(OR(#REF!="not",#REF!="resign",#REF!="resign",#REF!="end",#REF!="terminated",#REF!="permanent"),"TRUE","FALSE")</formula>
    </cfRule>
  </conditionalFormatting>
  <conditionalFormatting sqref="AX97;E97">
    <cfRule type="expression" dxfId="353" priority="354" stopIfTrue="1">
      <formula>IF(OR(#REF!="not",#REF!="resign",#REF!="resign",#REF!="end",#REF!="terminated",#REF!="permanent"),"TRUE","FALSE")</formula>
    </cfRule>
  </conditionalFormatting>
  <conditionalFormatting sqref="R97:U97">
    <cfRule type="expression" dxfId="354" priority="355" stopIfTrue="1">
      <formula>IF(OR(#REF!="not",#REF!="resign",#REF!="permanent",#REF!="terminated"),"true","false")</formula>
    </cfRule>
  </conditionalFormatting>
  <conditionalFormatting sqref="AL97:AM97;AO97">
    <cfRule type="expression" dxfId="355" priority="356" stopIfTrue="1">
      <formula>IF(OR(#REF!="not",#REF!="resign",#REF!="resign",#REF!="end",#REF!="terminated",#REF!="permanent"),"TRUE","FALSE")</formula>
    </cfRule>
  </conditionalFormatting>
  <conditionalFormatting sqref="AK97;AN97;AP97">
    <cfRule type="expression" dxfId="356" priority="357" stopIfTrue="1">
      <formula>IF(OR(#REF!="not",#REF!="resign",#REF!="resign",#REF!="end",#REF!="terminated",#REF!="permanent"),"TRUE","FALSE")</formula>
    </cfRule>
  </conditionalFormatting>
  <conditionalFormatting sqref="AQ89:AS89">
    <cfRule type="expression" dxfId="357" priority="358" stopIfTrue="1">
      <formula>IF(OR(#REF!="not",#REF!="resign",#REF!="resign",#REF!="end",#REF!="terminated",#REF!="permanent"),"TRUE","FALSE")</formula>
    </cfRule>
  </conditionalFormatting>
  <conditionalFormatting sqref="AQ90:AS90">
    <cfRule type="expression" dxfId="358" priority="359" stopIfTrue="1">
      <formula>IF(OR(#REF!="not",#REF!="resign",#REF!="resign",#REF!="end",#REF!="terminated",#REF!="permanent"),"TRUE","FALSE")</formula>
    </cfRule>
  </conditionalFormatting>
  <conditionalFormatting sqref="AQ91:AS91">
    <cfRule type="expression" dxfId="359" priority="360" stopIfTrue="1">
      <formula>IF(OR(#REF!="not",#REF!="resign",#REF!="resign",#REF!="end",#REF!="terminated",#REF!="permanent"),"TRUE","FALSE")</formula>
    </cfRule>
  </conditionalFormatting>
  <conditionalFormatting sqref="AQ93:AS93">
    <cfRule type="expression" dxfId="360" priority="361" stopIfTrue="1">
      <formula>IF(OR(#REF!="not",#REF!="resign",#REF!="resign",#REF!="end",#REF!="terminated",#REF!="permanent"),"TRUE","FALSE")</formula>
    </cfRule>
  </conditionalFormatting>
  <conditionalFormatting sqref="AQ94:AS94">
    <cfRule type="expression" dxfId="361" priority="362" stopIfTrue="1">
      <formula>IF(OR(#REF!="not",#REF!="resign",#REF!="resign",#REF!="end",#REF!="terminated",#REF!="permanent"),"TRUE","FALSE")</formula>
    </cfRule>
  </conditionalFormatting>
  <conditionalFormatting sqref="AQ95:AS95">
    <cfRule type="expression" dxfId="362" priority="363" stopIfTrue="1">
      <formula>IF(OR(#REF!="not",#REF!="resign",#REF!="resign",#REF!="end",#REF!="terminated",#REF!="permanent"),"TRUE","FALSE")</formula>
    </cfRule>
  </conditionalFormatting>
  <conditionalFormatting sqref="AQ96:AS96">
    <cfRule type="expression" dxfId="363" priority="364" stopIfTrue="1">
      <formula>IF(OR(#REF!="not",#REF!="resign",#REF!="resign",#REF!="end",#REF!="terminated",#REF!="permanent"),"TRUE","FALSE")</formula>
    </cfRule>
  </conditionalFormatting>
  <conditionalFormatting sqref="M73">
    <cfRule type="expression" dxfId="364" priority="365" stopIfTrue="1">
      <formula>IF(OR(#REF!="not",#REF!="resign",#REF!="permanent",#REF!="terminated"),"true","false")</formula>
    </cfRule>
  </conditionalFormatting>
  <conditionalFormatting sqref="M77">
    <cfRule type="expression" dxfId="365" priority="366" stopIfTrue="1">
      <formula>IF(OR(#REF!="not",#REF!="resign",#REF!="permanent",#REF!="terminated"),"true","false")</formula>
    </cfRule>
  </conditionalFormatting>
  <conditionalFormatting sqref="M81">
    <cfRule type="expression" dxfId="366" priority="367" stopIfTrue="1">
      <formula>IF(OR(#REF!="not",#REF!="resign",#REF!="permanent",#REF!="terminated"),"true","false")</formula>
    </cfRule>
  </conditionalFormatting>
  <conditionalFormatting sqref="M82">
    <cfRule type="expression" dxfId="367" priority="368" stopIfTrue="1">
      <formula>IF(OR(#REF!="not",#REF!="resign",#REF!="permanent",#REF!="terminated"),"true","false")</formula>
    </cfRule>
  </conditionalFormatting>
  <conditionalFormatting sqref="M86">
    <cfRule type="expression" dxfId="368" priority="369" stopIfTrue="1">
      <formula>IF(OR(#REF!="not",#REF!="resign",#REF!="permanent",#REF!="terminated"),"true","false")</formula>
    </cfRule>
  </conditionalFormatting>
  <conditionalFormatting sqref="R99:U112">
    <cfRule type="expression" dxfId="369" priority="370" stopIfTrue="1">
      <formula>IF(OR(#REF!="not",#REF!="resign",#REF!="permanent",#REF!="terminated"),"true","false")</formula>
    </cfRule>
  </conditionalFormatting>
  <conditionalFormatting sqref="AK99:AL99;AN99:AP99;AK107:AL107;AK109:AL110;AK111:AP112;AN107:AP107;AN109:AP110;AK108:AP108;AK100:AP106">
    <cfRule type="expression" dxfId="370" priority="371" stopIfTrue="1">
      <formula>IF(OR(#REF!="not",#REF!="resign",#REF!="resign",#REF!="end",#REF!="terminated",#REF!="permanent"),"TRUE","FALSE")</formula>
    </cfRule>
  </conditionalFormatting>
  <conditionalFormatting sqref="K99:K112">
    <cfRule type="expression" dxfId="371" priority="372" stopIfTrue="1">
      <formula>IF(OR(#REF!="not",#REF!="resign",#REF!="resign",#REF!="end",#REF!="terminated",#REF!="permanent"),"TRUE","FALSE")</formula>
    </cfRule>
  </conditionalFormatting>
  <conditionalFormatting sqref="AM99;R113:U117;AX113:AX117;E113:E117;Z113:AA117">
    <cfRule type="expression" dxfId="372" priority="373" stopIfTrue="1">
      <formula>IF(OR(#REF!="not",#REF!="resign",#REF!="resign",#REF!="end",#REF!="terminated",#REF!="permanent"),"TRUE","FALSE")</formula>
    </cfRule>
  </conditionalFormatting>
  <conditionalFormatting sqref="AQ99:AS112">
    <cfRule type="expression" dxfId="373" priority="374" stopIfTrue="1">
      <formula>IF(OR(#REF!="not",#REF!="resign",#REF!="resign",#REF!="end",#REF!="terminated",#REF!="permanent"),"TRUE","FALSE")</formula>
    </cfRule>
  </conditionalFormatting>
  <conditionalFormatting sqref="AM107">
    <cfRule type="expression" dxfId="374" priority="375" stopIfTrue="1">
      <formula>IF(OR(#REF!="not",#REF!="resign",#REF!="resign",#REF!="end",#REF!="terminated",#REF!="permanent"),"TRUE","FALSE")</formula>
    </cfRule>
  </conditionalFormatting>
  <conditionalFormatting sqref="AM109">
    <cfRule type="expression" dxfId="375" priority="376" stopIfTrue="1">
      <formula>IF(OR(#REF!="not",#REF!="resign",#REF!="resign",#REF!="end",#REF!="terminated",#REF!="permanent"),"TRUE","FALSE")</formula>
    </cfRule>
  </conditionalFormatting>
  <conditionalFormatting sqref="AM110">
    <cfRule type="expression" dxfId="376" priority="377" stopIfTrue="1">
      <formula>IF(OR(#REF!="not",#REF!="resign",#REF!="resign",#REF!="end",#REF!="terminated",#REF!="permanent"),"TRUE","FALSE")</formula>
    </cfRule>
  </conditionalFormatting>
  <conditionalFormatting sqref="L115">
    <cfRule type="expression" dxfId="377" priority="378" stopIfTrue="1">
      <formula>IF(OR(#REF!="not",#REF!="resign",#REF!="resign",#REF!="end",#REF!="terminated",#REF!="permanent"),"TRUE","FALSE")</formula>
    </cfRule>
  </conditionalFormatting>
  <conditionalFormatting sqref="AK115:AL116;AN115:AP116;AK113:AN114;AP113:AP114;AK117:AN117;AP117">
    <cfRule type="expression" dxfId="378" priority="379" stopIfTrue="1">
      <formula>IF(OR(#REF!="not",#REF!="resign",#REF!="resign",#REF!="end",#REF!="terminated",#REF!="permanent"),"TRUE","FALSE")</formula>
    </cfRule>
  </conditionalFormatting>
  <conditionalFormatting sqref="K113:K117;L117">
    <cfRule type="expression" dxfId="379" priority="380" stopIfTrue="1">
      <formula>IF(OR(#REF!="not",#REF!="resign",#REF!="resign",#REF!="end",#REF!="terminated",#REF!="permanent"),"TRUE","FALSE")</formula>
    </cfRule>
  </conditionalFormatting>
  <conditionalFormatting sqref="L113">
    <cfRule type="expression" dxfId="380" priority="381" stopIfTrue="1">
      <formula>IF(OR(#REF!="not",#REF!="resign",#REF!="resign",#REF!="end",#REF!="terminated",#REF!="permanent"),"TRUE","FALSE")</formula>
    </cfRule>
  </conditionalFormatting>
  <conditionalFormatting sqref="L114">
    <cfRule type="expression" dxfId="381" priority="382" stopIfTrue="1">
      <formula>IF(OR(#REF!="not",#REF!="resign",#REF!="resign",#REF!="end",#REF!="terminated",#REF!="permanent"),"TRUE","FALSE")</formula>
    </cfRule>
  </conditionalFormatting>
  <conditionalFormatting sqref="L116">
    <cfRule type="expression" dxfId="382" priority="383" stopIfTrue="1">
      <formula>IF(OR(#REF!="not",#REF!="resign",#REF!="resign",#REF!="end",#REF!="terminated",#REF!="permanent"),"TRUE","FALSE")</formula>
    </cfRule>
  </conditionalFormatting>
  <conditionalFormatting sqref="AM115;AO117;AQ113:AS117">
    <cfRule type="expression" dxfId="383" priority="384" stopIfTrue="1">
      <formula>IF(OR(#REF!="not",#REF!="resign",#REF!="resign",#REF!="end",#REF!="terminated",#REF!="permanent"),"TRUE","FALSE")</formula>
    </cfRule>
  </conditionalFormatting>
  <conditionalFormatting sqref="AM116">
    <cfRule type="expression" dxfId="384" priority="385" stopIfTrue="1">
      <formula>IF(OR(#REF!="not",#REF!="resign",#REF!="resign",#REF!="end",#REF!="terminated",#REF!="permanent"),"TRUE","FALSE")</formula>
    </cfRule>
  </conditionalFormatting>
  <conditionalFormatting sqref="AO113">
    <cfRule type="expression" dxfId="385" priority="386" stopIfTrue="1">
      <formula>IF(OR(#REF!="not",#REF!="resign",#REF!="resign",#REF!="end",#REF!="terminated",#REF!="permanent"),"TRUE","FALSE")</formula>
    </cfRule>
  </conditionalFormatting>
  <conditionalFormatting sqref="AO114">
    <cfRule type="expression" dxfId="386" priority="387" stopIfTrue="1">
      <formula>IF(OR(#REF!="not",#REF!="resign",#REF!="resign",#REF!="end",#REF!="terminated",#REF!="permanent"),"TRUE","FALSE")</formula>
    </cfRule>
  </conditionalFormatting>
  <conditionalFormatting sqref="BC355:BC356">
    <cfRule type="expression" dxfId="387" priority="388" stopIfTrue="1">
      <formula>IF(OR(#REF!="not",#REF!="resign",#REF!="permanent",#REF!="terminated"),"true","false")</formula>
    </cfRule>
  </conditionalFormatting>
  <conditionalFormatting sqref="BD346:BD356">
    <cfRule type="expression" dxfId="388" priority="389" stopIfTrue="1">
      <formula>IF(OR(#REF!="not",#REF!="resign",#REF!="resign",#REF!="end",#REF!="terminated",#REF!="permanent"),"TRUE","FALSE")</formula>
    </cfRule>
  </conditionalFormatting>
  <conditionalFormatting sqref="AH353:AI353;AT353:AU353;AL353:AP353;J353:K353;N353:AE353;D353:E353;H346:I346">
    <cfRule type="expression" dxfId="389" priority="390" stopIfTrue="1">
      <formula>IF(OR(#REF!="not",#REF!="resign",#REF!="resign",#REF!="end",#REF!="terminated",#REF!="permanent"),"TRUE","FALSE")</formula>
    </cfRule>
  </conditionalFormatting>
  <conditionalFormatting sqref="P346:U346">
    <cfRule type="expression" dxfId="390" priority="391" stopIfTrue="1">
      <formula>IF(OR(#REF!="not",#REF!="resign",#REF!="permanent",#REF!="terminated"),"true","false")</formula>
    </cfRule>
    <cfRule type="expression" dxfId="391" priority="392" stopIfTrue="1">
      <formula>IF(OR(#REF!="not",#REF!="resign",#REF!="permanent",#REF!="terminated"),"true","false")</formula>
    </cfRule>
    <cfRule type="expression" dxfId="392" priority="393" stopIfTrue="1">
      <formula>IF(OR(#REF!="not",#REF!="resign",#REF!="permanent",#REF!="terminated"),"true","false")</formula>
    </cfRule>
  </conditionalFormatting>
  <conditionalFormatting sqref="N346">
    <cfRule type="expression" dxfId="393" priority="394" stopIfTrue="1">
      <formula>IF(OR(#REF!="not",#REF!="resign",#REF!="permanent",#REF!="terminated"),"true","false")</formula>
    </cfRule>
  </conditionalFormatting>
  <conditionalFormatting sqref="D346:E346;J346:L346;AH346:AP346;AT346:AU346;N346:AE346">
    <cfRule type="expression" dxfId="394" priority="395" stopIfTrue="1">
      <formula>IF(OR(#REF!="not",#REF!="resign",#REF!="resign",#REF!="end",#REF!="terminated",#REF!="permanent"),"TRUE","FALSE")</formula>
    </cfRule>
  </conditionalFormatting>
  <conditionalFormatting sqref="C346">
    <cfRule type="expression" dxfId="395" priority="396" stopIfTrue="1">
      <formula>IF(OR(#REF!="not",#REF!="resign",#REF!="resign",#REF!="end",#REF!="terminated",#REF!="permanent"),"TRUE","FALSE")</formula>
    </cfRule>
  </conditionalFormatting>
  <conditionalFormatting sqref="H347:I352">
    <cfRule type="expression" dxfId="396" priority="397" stopIfTrue="1">
      <formula>IF(OR(#REF!="not",#REF!="resign",#REF!="resign",#REF!="end",#REF!="terminated",#REF!="permanent"),"TRUE","FALSE")</formula>
    </cfRule>
  </conditionalFormatting>
  <conditionalFormatting sqref="P347:U352">
    <cfRule type="expression" dxfId="397" priority="398" stopIfTrue="1">
      <formula>IF(OR(#REF!="not",#REF!="resign",#REF!="permanent",#REF!="terminated"),"true","false")</formula>
    </cfRule>
    <cfRule type="expression" dxfId="398" priority="399" stopIfTrue="1">
      <formula>IF(OR(#REF!="not",#REF!="resign",#REF!="permanent",#REF!="terminated"),"true","false")</formula>
    </cfRule>
    <cfRule type="expression" dxfId="399" priority="400" stopIfTrue="1">
      <formula>IF(OR(#REF!="not",#REF!="resign",#REF!="permanent",#REF!="terminated"),"true","false")</formula>
    </cfRule>
  </conditionalFormatting>
  <conditionalFormatting sqref="N347:N352">
    <cfRule type="expression" dxfId="400" priority="401" stopIfTrue="1">
      <formula>IF(OR(#REF!="not",#REF!="resign",#REF!="permanent",#REF!="terminated"),"true","false")</formula>
    </cfRule>
  </conditionalFormatting>
  <conditionalFormatting sqref="D347:E352;AT347:AU352;AH347:AI352;AK348:AP348;AL347:AP347;AK350:AP350;AL349:AP349;AK352:AP352;AL351:AP351;J347:L352;N347:AE352">
    <cfRule type="expression" dxfId="401" priority="402" stopIfTrue="1">
      <formula>IF(OR(#REF!="not",#REF!="resign",#REF!="resign",#REF!="end",#REF!="terminated",#REF!="permanent"),"TRUE","FALSE")</formula>
    </cfRule>
  </conditionalFormatting>
  <conditionalFormatting sqref="C347:C352">
    <cfRule type="expression" dxfId="402" priority="403" stopIfTrue="1">
      <formula>IF(OR(#REF!="not",#REF!="resign",#REF!="resign",#REF!="end",#REF!="terminated",#REF!="permanent"),"TRUE","FALSE")</formula>
    </cfRule>
  </conditionalFormatting>
  <conditionalFormatting sqref="AJ347">
    <cfRule type="expression" dxfId="403" priority="404" stopIfTrue="1">
      <formula>IF(OR(#REF!="not",#REF!="resign",#REF!="resign",#REF!="end",#REF!="terminated",#REF!="permanent"),"TRUE","FALSE")</formula>
    </cfRule>
  </conditionalFormatting>
  <conditionalFormatting sqref="AJ348">
    <cfRule type="expression" dxfId="404" priority="405" stopIfTrue="1">
      <formula>IF(OR(#REF!="not",#REF!="resign",#REF!="resign",#REF!="end",#REF!="terminated",#REF!="permanent"),"TRUE","FALSE")</formula>
    </cfRule>
  </conditionalFormatting>
  <conditionalFormatting sqref="AJ349">
    <cfRule type="expression" dxfId="405" priority="406" stopIfTrue="1">
      <formula>IF(OR(#REF!="not",#REF!="resign",#REF!="resign",#REF!="end",#REF!="terminated",#REF!="permanent"),"TRUE","FALSE")</formula>
    </cfRule>
  </conditionalFormatting>
  <conditionalFormatting sqref="AJ350">
    <cfRule type="expression" dxfId="406" priority="407" stopIfTrue="1">
      <formula>IF(OR(#REF!="not",#REF!="resign",#REF!="resign",#REF!="end",#REF!="terminated",#REF!="permanent"),"TRUE","FALSE")</formula>
    </cfRule>
  </conditionalFormatting>
  <conditionalFormatting sqref="AJ351">
    <cfRule type="expression" dxfId="407" priority="408" stopIfTrue="1">
      <formula>IF(OR(#REF!="not",#REF!="resign",#REF!="resign",#REF!="end",#REF!="terminated",#REF!="permanent"),"TRUE","FALSE")</formula>
    </cfRule>
  </conditionalFormatting>
  <conditionalFormatting sqref="AJ352">
    <cfRule type="expression" dxfId="408" priority="409" stopIfTrue="1">
      <formula>IF(OR(#REF!="not",#REF!="resign",#REF!="resign",#REF!="end",#REF!="terminated",#REF!="permanent"),"TRUE","FALSE")</formula>
    </cfRule>
  </conditionalFormatting>
  <conditionalFormatting sqref="AK347">
    <cfRule type="expression" dxfId="409" priority="410" stopIfTrue="1">
      <formula>IF(OR(#REF!="not",#REF!="resign",#REF!="resign",#REF!="end",#REF!="terminated",#REF!="permanent"),"TRUE","FALSE")</formula>
    </cfRule>
  </conditionalFormatting>
  <conditionalFormatting sqref="AK349">
    <cfRule type="expression" dxfId="410" priority="411" stopIfTrue="1">
      <formula>IF(OR(#REF!="not",#REF!="resign",#REF!="resign",#REF!="end",#REF!="terminated",#REF!="permanent"),"TRUE","FALSE")</formula>
    </cfRule>
  </conditionalFormatting>
  <conditionalFormatting sqref="AK351">
    <cfRule type="expression" dxfId="411" priority="412" stopIfTrue="1">
      <formula>IF(OR(#REF!="not",#REF!="resign",#REF!="resign",#REF!="end",#REF!="terminated",#REF!="permanent"),"TRUE","FALSE")</formula>
    </cfRule>
  </conditionalFormatting>
  <conditionalFormatting sqref="AG346:AG352">
    <cfRule type="expression" dxfId="412" priority="413" stopIfTrue="1">
      <formula>NOT(ISERROR(SEARCH("warning",AG346)))</formula>
    </cfRule>
  </conditionalFormatting>
  <conditionalFormatting sqref="AQ346:AS352">
    <cfRule type="expression" dxfId="413" priority="414" stopIfTrue="1">
      <formula>IF(OR(#REF!="not",#REF!="resign",#REF!="resign",#REF!="end",#REF!="terminated",#REF!="permanent"),"TRUE","FALSE")</formula>
    </cfRule>
  </conditionalFormatting>
  <conditionalFormatting sqref="M346">
    <cfRule type="expression" dxfId="414" priority="415" stopIfTrue="1">
      <formula>IF(OR(#REF!="not",#REF!="resign",#REF!="resign",#REF!="end",#REF!="terminated",#REF!="permanent"),"TRUE","FALSE")</formula>
    </cfRule>
  </conditionalFormatting>
  <conditionalFormatting sqref="M347">
    <cfRule type="expression" dxfId="415" priority="416" stopIfTrue="1">
      <formula>IF(OR(#REF!="not",#REF!="resign",#REF!="resign",#REF!="end",#REF!="terminated",#REF!="permanent"),"TRUE","FALSE")</formula>
    </cfRule>
  </conditionalFormatting>
  <conditionalFormatting sqref="M348">
    <cfRule type="expression" dxfId="416" priority="417" stopIfTrue="1">
      <formula>IF(OR(#REF!="not",#REF!="resign",#REF!="resign",#REF!="end",#REF!="terminated",#REF!="permanent"),"TRUE","FALSE")</formula>
    </cfRule>
  </conditionalFormatting>
  <conditionalFormatting sqref="M349">
    <cfRule type="expression" dxfId="417" priority="418" stopIfTrue="1">
      <formula>IF(OR(#REF!="not",#REF!="resign",#REF!="resign",#REF!="end",#REF!="terminated",#REF!="permanent"),"TRUE","FALSE")</formula>
    </cfRule>
  </conditionalFormatting>
  <conditionalFormatting sqref="M350">
    <cfRule type="expression" dxfId="418" priority="419" stopIfTrue="1">
      <formula>IF(OR(#REF!="not",#REF!="resign",#REF!="resign",#REF!="end",#REF!="terminated",#REF!="permanent"),"TRUE","FALSE")</formula>
    </cfRule>
  </conditionalFormatting>
  <conditionalFormatting sqref="M351">
    <cfRule type="expression" dxfId="419" priority="420" stopIfTrue="1">
      <formula>IF(OR(#REF!="not",#REF!="resign",#REF!="resign",#REF!="end",#REF!="terminated",#REF!="permanent"),"TRUE","FALSE")</formula>
    </cfRule>
  </conditionalFormatting>
  <conditionalFormatting sqref="M352">
    <cfRule type="expression" dxfId="420" priority="421" stopIfTrue="1">
      <formula>IF(OR(#REF!="not",#REF!="resign",#REF!="resign",#REF!="end",#REF!="terminated",#REF!="permanent"),"TRUE","FALSE")</formula>
    </cfRule>
  </conditionalFormatting>
  <conditionalFormatting sqref="BC346">
    <cfRule type="expression" dxfId="421" priority="422" stopIfTrue="1">
      <formula>IF(OR(#REF!="not",#REF!="resign",#REF!="permanent",#REF!="terminated"),"true","false")</formula>
    </cfRule>
  </conditionalFormatting>
  <conditionalFormatting sqref="BC347">
    <cfRule type="expression" dxfId="422" priority="423" stopIfTrue="1">
      <formula>IF(OR(#REF!="not",#REF!="resign",#REF!="permanent",#REF!="terminated"),"true","false")</formula>
    </cfRule>
  </conditionalFormatting>
  <conditionalFormatting sqref="BC348">
    <cfRule type="expression" dxfId="423" priority="424" stopIfTrue="1">
      <formula>IF(OR(#REF!="not",#REF!="resign",#REF!="permanent",#REF!="terminated"),"true","false")</formula>
    </cfRule>
  </conditionalFormatting>
  <conditionalFormatting sqref="BC349">
    <cfRule type="expression" dxfId="424" priority="425" stopIfTrue="1">
      <formula>IF(OR(#REF!="not",#REF!="resign",#REF!="permanent",#REF!="terminated"),"true","false")</formula>
    </cfRule>
  </conditionalFormatting>
  <conditionalFormatting sqref="BC350">
    <cfRule type="expression" dxfId="425" priority="426" stopIfTrue="1">
      <formula>IF(OR(#REF!="not",#REF!="resign",#REF!="permanent",#REF!="terminated"),"true","false")</formula>
    </cfRule>
  </conditionalFormatting>
  <conditionalFormatting sqref="BC351">
    <cfRule type="expression" dxfId="426" priority="427" stopIfTrue="1">
      <formula>IF(OR(#REF!="not",#REF!="resign",#REF!="permanent",#REF!="terminated"),"true","false")</formula>
    </cfRule>
  </conditionalFormatting>
  <conditionalFormatting sqref="BC352">
    <cfRule type="expression" dxfId="427" priority="428" stopIfTrue="1">
      <formula>IF(OR(#REF!="not",#REF!="resign",#REF!="permanent",#REF!="terminated"),"true","false")</formula>
    </cfRule>
  </conditionalFormatting>
  <conditionalFormatting sqref="AK353">
    <cfRule type="expression" dxfId="428" priority="429" stopIfTrue="1">
      <formula>IF(OR($BF353="not",$BF353="resign",$BF353="resign",$BF353="end",$BF353="terminated",$BF353="permanent"),"TRUE","FALSE")</formula>
    </cfRule>
  </conditionalFormatting>
  <conditionalFormatting sqref="AS353">
    <cfRule type="expression" dxfId="429" priority="430" stopIfTrue="1">
      <formula>IF(OR(#REF!="not",#REF!="resign",#REF!="resign",#REF!="end",#REF!="terminated",#REF!="permanent"),"TRUE","FALSE")</formula>
    </cfRule>
  </conditionalFormatting>
  <conditionalFormatting sqref="AG353:AG356">
    <cfRule type="expression" dxfId="430" priority="431" stopIfTrue="1">
      <formula>NOT(ISERROR(SEARCH("warning",AG353)))</formula>
    </cfRule>
  </conditionalFormatting>
  <conditionalFormatting sqref="L353;H353:I353;AQ353:AR353">
    <cfRule type="expression" dxfId="431" priority="432" stopIfTrue="1">
      <formula>IF(OR(#REF!="not",#REF!="resign",#REF!="resign",#REF!="end",#REF!="terminated",#REF!="permanent"),"TRUE","FALSE")</formula>
    </cfRule>
  </conditionalFormatting>
  <conditionalFormatting sqref="M353">
    <cfRule type="expression" dxfId="432" priority="433" stopIfTrue="1">
      <formula>IF(OR(#REF!="not",#REF!="resign",#REF!="resign",#REF!="end",#REF!="terminated",#REF!="permanent"),"TRUE","FALSE")</formula>
    </cfRule>
  </conditionalFormatting>
  <conditionalFormatting sqref="BC353">
    <cfRule type="expression" dxfId="433" priority="434" stopIfTrue="1">
      <formula>IF(OR(#REF!="not",#REF!="resign",#REF!="permanent",#REF!="terminated"),"true","false")</formula>
    </cfRule>
  </conditionalFormatting>
  <conditionalFormatting sqref="P354:U354">
    <cfRule type="expression" dxfId="434" priority="435" stopIfTrue="1">
      <formula>IF(OR(#REF!="not",#REF!="resign",#REF!="permanent",#REF!="terminated"),"true","false")</formula>
    </cfRule>
  </conditionalFormatting>
  <conditionalFormatting sqref="AM354">
    <cfRule type="expression" dxfId="435" priority="436" stopIfTrue="1">
      <formula>IF(OR(#REF!="not",#REF!="resign",#REF!="resign",#REF!="end",#REF!="terminated",#REF!="permanent"),"TRUE","FALSE")</formula>
    </cfRule>
  </conditionalFormatting>
  <conditionalFormatting sqref="AQ354:AS354">
    <cfRule type="expression" dxfId="436" priority="437" stopIfTrue="1">
      <formula>IF(OR(#REF!="not",#REF!="resign",#REF!="resign",#REF!="end",#REF!="terminated",#REF!="permanent"),"TRUE","FALSE")</formula>
    </cfRule>
  </conditionalFormatting>
  <conditionalFormatting sqref="M354">
    <cfRule type="expression" dxfId="437" priority="438" stopIfTrue="1">
      <formula>IF(OR(#REF!="not",#REF!="resign",#REF!="resign",#REF!="end",#REF!="terminated",#REF!="permanent"),"TRUE","FALSE")</formula>
    </cfRule>
  </conditionalFormatting>
  <conditionalFormatting sqref="AH355:AI356;AK355;AL355:AL356;AN355:AN356;AP355:AP356;C355:L355;N355:AE356;AT355:BB355">
    <cfRule type="expression" dxfId="438" priority="439" stopIfTrue="1">
      <formula>IF(OR(#REF!="not",#REF!="resign",#REF!="resign",#REF!="end",#REF!="terminated",#REF!="permanent"),"TRUE","FALSE")</formula>
    </cfRule>
  </conditionalFormatting>
  <conditionalFormatting sqref="AM355:AM356">
    <cfRule type="expression" dxfId="439" priority="440" stopIfTrue="1">
      <formula>IF(OR(#REF!="not",#REF!="resign",#REF!="resign",#REF!="end",#REF!="terminated",#REF!="permanent"),"TRUE","FALSE")</formula>
    </cfRule>
  </conditionalFormatting>
  <conditionalFormatting sqref="D356:L356;AT356:BB356">
    <cfRule type="expression" dxfId="440" priority="441" stopIfTrue="1">
      <formula>IF(OR(#REF!="not",#REF!="resign",#REF!="resign",#REF!="end",#REF!="terminated",#REF!="permanent"),"TRUE","FALSE")</formula>
    </cfRule>
  </conditionalFormatting>
  <conditionalFormatting sqref="AO355:AO356;AQ355:AS356">
    <cfRule type="expression" dxfId="441" priority="442" stopIfTrue="1">
      <formula>IF(OR(#REF!="not",#REF!="resign",#REF!="resign",#REF!="end",#REF!="terminated",#REF!="permanent"),"TRUE","FALSE")</formula>
    </cfRule>
  </conditionalFormatting>
  <conditionalFormatting sqref="AJ355">
    <cfRule type="expression" dxfId="442" priority="443" stopIfTrue="1">
      <formula>IF(OR(#REF!="not",#REF!="resign",#REF!="resign",#REF!="end",#REF!="terminated",#REF!="permanent"),"TRUE","FALSE")</formula>
    </cfRule>
  </conditionalFormatting>
  <conditionalFormatting sqref="AJ356">
    <cfRule type="expression" dxfId="443" priority="444" stopIfTrue="1">
      <formula>IF(OR(#REF!="not",#REF!="resign",#REF!="resign",#REF!="end",#REF!="terminated",#REF!="permanent"),"TRUE","FALSE")</formula>
    </cfRule>
  </conditionalFormatting>
  <conditionalFormatting sqref="AK356">
    <cfRule type="expression" dxfId="444" priority="445" stopIfTrue="1">
      <formula>IF(OR(#REF!="not",#REF!="resign",#REF!="resign",#REF!="end",#REF!="terminated",#REF!="permanent"),"TRUE","FALSE")</formula>
    </cfRule>
  </conditionalFormatting>
  <conditionalFormatting sqref="C356">
    <cfRule type="expression" dxfId="445" priority="446" stopIfTrue="1">
      <formula>IF(OR(#REF!="not",#REF!="resign",#REF!="resign",#REF!="end",#REF!="terminated",#REF!="permanent"),"TRUE","FALSE")</formula>
    </cfRule>
  </conditionalFormatting>
  <conditionalFormatting sqref="M355">
    <cfRule type="expression" dxfId="446" priority="447" stopIfTrue="1">
      <formula>IF(OR(#REF!="not",#REF!="resign",#REF!="resign",#REF!="end",#REF!="terminated",#REF!="permanent"),"TRUE","FALSE")</formula>
    </cfRule>
  </conditionalFormatting>
  <conditionalFormatting sqref="M356">
    <cfRule type="expression" dxfId="447" priority="448" stopIfTrue="1">
      <formula>IF(OR(#REF!="not",#REF!="resign",#REF!="resign",#REF!="end",#REF!="terminated",#REF!="permanent"),"TRUE","FALSE")</formula>
    </cfRule>
  </conditionalFormatting>
  <conditionalFormatting sqref="N359;BC358:BC359;W357:W358;P357:U359">
    <cfRule type="expression" dxfId="448" priority="449" stopIfTrue="1">
      <formula>IF(OR(#REF!="not",#REF!="resign",#REF!="permanent",#REF!="terminated"),"true","false")</formula>
    </cfRule>
  </conditionalFormatting>
  <conditionalFormatting sqref="BD357:BD362">
    <cfRule type="expression" dxfId="449" priority="450" stopIfTrue="1">
      <formula>IF(OR(#REF!="not",#REF!="resign",#REF!="resign",#REF!="end",#REF!="terminated",#REF!="permanent"),"TRUE","FALSE")</formula>
    </cfRule>
  </conditionalFormatting>
  <conditionalFormatting sqref="AG357:AG362">
    <cfRule type="expression" dxfId="450" priority="451" stopIfTrue="1">
      <formula>NOT(ISERROR(SEARCH("warning",AG357)))</formula>
    </cfRule>
  </conditionalFormatting>
  <conditionalFormatting sqref="C360:H360">
    <cfRule type="expression" dxfId="451" priority="452" stopIfTrue="1">
      <formula>IF(OR($BF360="not",$BF360="resign",$BF360="resign",$BF360="end",$BF360="terminated",$BF360="permanent"),"TRUE","FALSE")</formula>
    </cfRule>
  </conditionalFormatting>
  <conditionalFormatting sqref="I360">
    <cfRule type="expression" dxfId="452" priority="453" stopIfTrue="1">
      <formula>IF(OR(#REF!="not",#REF!="resign",#REF!="resign",#REF!="end",#REF!="terminated",#REF!="permanent"),"TRUE","FALSE")</formula>
    </cfRule>
  </conditionalFormatting>
  <conditionalFormatting sqref="P360">
    <cfRule type="expression" dxfId="453" priority="454" stopIfTrue="1">
      <formula>IF(OR($BZ360="not",$BZ360="resign",$BZ360="permanent",$BZ360="terminated"),"true","false")</formula>
    </cfRule>
  </conditionalFormatting>
  <conditionalFormatting sqref="W360">
    <cfRule type="expression" dxfId="454" priority="455" stopIfTrue="1">
      <formula>IF(OR($BF360="not",$BF360="resign",$BF360="resign",$BF360="end",$BF360="terminated",$BF360="permanent"),"TRUE","FALSE")</formula>
    </cfRule>
  </conditionalFormatting>
  <conditionalFormatting sqref="Q360">
    <cfRule type="expression" dxfId="455" priority="456" stopIfTrue="1">
      <formula>IF(OR($BZ360="not",$BZ360="resign",$BZ360="permanent",$BZ360="terminated"),"true","false")</formula>
    </cfRule>
  </conditionalFormatting>
  <conditionalFormatting sqref="AT360">
    <cfRule type="expression" dxfId="456" priority="457" stopIfTrue="1">
      <formula>IF(OR($BF360="not",$BF360="resign",$BF360="resign",$BF360="end",$BF360="terminated",$BF360="permanent"),"TRUE","FALSE")</formula>
    </cfRule>
  </conditionalFormatting>
  <conditionalFormatting sqref="V360">
    <cfRule type="expression" dxfId="457" priority="458" stopIfTrue="1">
      <formula>IF(OR($BF360="not",$BF360="resign",$BF360="resign",$BF360="end",$BF360="terminated",$BF360="permanent"),"TRUE","FALSE")</formula>
    </cfRule>
  </conditionalFormatting>
  <conditionalFormatting sqref="R360">
    <cfRule type="expression" dxfId="458" priority="459" stopIfTrue="1">
      <formula>IF(OR($BF360="not",$BF360="resign",$BF360="resign",$BF360="end",$BF360="terminated",$BF360="permanent"),"TRUE","FALSE")</formula>
    </cfRule>
  </conditionalFormatting>
  <conditionalFormatting sqref="S360">
    <cfRule type="expression" dxfId="459" priority="460" stopIfTrue="1">
      <formula>IF(OR($BF360="not",$BF360="resign",$BF360="resign",$BF360="end",$BF360="terminated",$BF360="permanent"),"TRUE","FALSE")</formula>
    </cfRule>
  </conditionalFormatting>
  <conditionalFormatting sqref="T360">
    <cfRule type="expression" dxfId="460" priority="461" stopIfTrue="1">
      <formula>IF(OR($BF360="not",$BF360="resign",$BF360="resign",$BF360="end",$BF360="terminated",$BF360="permanent"),"TRUE","FALSE")</formula>
    </cfRule>
  </conditionalFormatting>
  <conditionalFormatting sqref="AQ360:AS360">
    <cfRule type="expression" dxfId="461" priority="462" stopIfTrue="1">
      <formula>IF(OR(#REF!="not",#REF!="resign",#REF!="resign",#REF!="end",#REF!="terminated",#REF!="permanent"),"TRUE","FALSE")</formula>
    </cfRule>
  </conditionalFormatting>
  <conditionalFormatting sqref="M360">
    <cfRule type="expression" dxfId="462" priority="463" stopIfTrue="1">
      <formula>IF(OR(#REF!="not",#REF!="resign",#REF!="resign",#REF!="end",#REF!="terminated",#REF!="permanent"),"TRUE","FALSE")</formula>
    </cfRule>
  </conditionalFormatting>
  <conditionalFormatting sqref="W361:W362;P361:U362;BC361">
    <cfRule type="expression" dxfId="463" priority="464" stopIfTrue="1">
      <formula>IF(OR(#REF!="not",#REF!="resign",#REF!="permanent",#REF!="terminated"),"true","false")</formula>
    </cfRule>
  </conditionalFormatting>
  <conditionalFormatting sqref="AQ361:AS362">
    <cfRule type="expression" dxfId="464" priority="465" stopIfTrue="1">
      <formula>IF(OR(#REF!="not",#REF!="resign",#REF!="resign",#REF!="end",#REF!="terminated",#REF!="permanent"),"TRUE","FALSE")</formula>
    </cfRule>
  </conditionalFormatting>
  <conditionalFormatting sqref="AM361">
    <cfRule type="expression" dxfId="465" priority="466" stopIfTrue="1">
      <formula>IF(OR(#REF!="not",#REF!="resign",#REF!="resign",#REF!="end",#REF!="terminated",#REF!="permanent"),"TRUE","FALSE")</formula>
    </cfRule>
  </conditionalFormatting>
  <conditionalFormatting sqref="M361">
    <cfRule type="expression" dxfId="466" priority="467" stopIfTrue="1">
      <formula>IF(OR(#REF!="not",#REF!="resign",#REF!="resign",#REF!="end",#REF!="terminated",#REF!="permanent"),"TRUE","FALSE")</formula>
    </cfRule>
  </conditionalFormatting>
  <conditionalFormatting sqref="M362">
    <cfRule type="expression" dxfId="467" priority="468" stopIfTrue="1">
      <formula>IF(OR(#REF!="not",#REF!="resign",#REF!="resign",#REF!="end",#REF!="terminated",#REF!="permanent"),"TRUE","FALSE")</formula>
    </cfRule>
  </conditionalFormatting>
  <conditionalFormatting sqref="BC362">
    <cfRule type="expression" dxfId="468" priority="469" stopIfTrue="1">
      <formula>IF(OR(#REF!="not",#REF!="resign",#REF!="permanent",#REF!="terminated"),"true","false")</formula>
    </cfRule>
  </conditionalFormatting>
  <conditionalFormatting sqref="AT86;AO129:AP131;AO125">
    <cfRule type="expression" dxfId="469" priority="470" stopIfTrue="1">
      <formula>IF(OR(#REF!="not",#REF!="resign",#REF!="resign",#REF!="end",#REF!="terminated",#REF!="permanent"),"TRUE","FALSE")</formula>
    </cfRule>
  </conditionalFormatting>
  <conditionalFormatting sqref="R118:U131">
    <cfRule type="expression" dxfId="470" priority="471" stopIfTrue="1">
      <formula>IF(OR(#REF!="not",#REF!="resign",#REF!="permanent",#REF!="terminated"),"true","false")</formula>
    </cfRule>
  </conditionalFormatting>
  <conditionalFormatting sqref="AK118:AN122;AK123:AL123;AN123">
    <cfRule type="expression" dxfId="471" priority="472" stopIfTrue="1">
      <formula>IF(OR(#REF!="not",#REF!="resign",#REF!="resign",#REF!="end",#REF!="terminated",#REF!="permanent"),"TRUE","FALSE")</formula>
    </cfRule>
  </conditionalFormatting>
  <conditionalFormatting sqref="AO127;AO118:AO123">
    <cfRule type="expression" dxfId="472" priority="473" stopIfTrue="1">
      <formula>IF(OR(#REF!="not",#REF!="resign",#REF!="resign",#REF!="end",#REF!="terminated",#REF!="permanent"),"TRUE","FALSE")</formula>
    </cfRule>
  </conditionalFormatting>
  <conditionalFormatting sqref="AM123">
    <cfRule type="expression" dxfId="473" priority="474" stopIfTrue="1">
      <formula>IF(OR(#REF!="not",#REF!="resign",#REF!="resign",#REF!="end",#REF!="terminated",#REF!="permanent"),"TRUE","FALSE")</formula>
    </cfRule>
  </conditionalFormatting>
  <conditionalFormatting sqref="AO124">
    <cfRule type="expression" dxfId="474" priority="475" stopIfTrue="1">
      <formula>IF(OR(#REF!="not",#REF!="resign",#REF!="resign",#REF!="end",#REF!="terminated",#REF!="permanent"),"TRUE","FALSE")</formula>
    </cfRule>
  </conditionalFormatting>
  <conditionalFormatting sqref="AO126">
    <cfRule type="expression" dxfId="475" priority="476" stopIfTrue="1">
      <formula>IF(OR(#REF!="not",#REF!="resign",#REF!="resign",#REF!="end",#REF!="terminated",#REF!="permanent"),"TRUE","FALSE")</formula>
    </cfRule>
  </conditionalFormatting>
  <conditionalFormatting sqref="AO128">
    <cfRule type="expression" dxfId="476" priority="477" stopIfTrue="1">
      <formula>IF(OR(#REF!="not",#REF!="resign",#REF!="resign",#REF!="end",#REF!="terminated",#REF!="permanent"),"TRUE","FALSE")</formula>
    </cfRule>
  </conditionalFormatting>
  <conditionalFormatting sqref="R132:U132;AX132;E132;Z132:AA132">
    <cfRule type="expression" dxfId="477" priority="478" stopIfTrue="1">
      <formula>IF(OR(#REF!="not",#REF!="resign",#REF!="resign",#REF!="end",#REF!="terminated",#REF!="permanent"),"TRUE","FALSE")</formula>
    </cfRule>
  </conditionalFormatting>
  <conditionalFormatting sqref="AP132;AK132:AN132">
    <cfRule type="expression" dxfId="478" priority="479" stopIfTrue="1">
      <formula>IF(OR(#REF!="not",#REF!="resign",#REF!="resign",#REF!="end",#REF!="terminated",#REF!="permanent"),"TRUE","FALSE")</formula>
    </cfRule>
  </conditionalFormatting>
  <conditionalFormatting sqref="AO132">
    <cfRule type="expression" dxfId="479" priority="480" stopIfTrue="1">
      <formula>IF(OR(#REF!="not",#REF!="resign",#REF!="resign",#REF!="end",#REF!="terminated",#REF!="permanent"),"TRUE","FALSE")</formula>
    </cfRule>
  </conditionalFormatting>
  <conditionalFormatting sqref="K132:L132">
    <cfRule type="expression" dxfId="480" priority="481" stopIfTrue="1">
      <formula>IF(OR(#REF!="not",#REF!="resign",#REF!="resign",#REF!="end",#REF!="terminated",#REF!="permanent"),"TRUE","FALSE")</formula>
    </cfRule>
  </conditionalFormatting>
  <conditionalFormatting sqref="R133:U133;AX133;E133;Z133:AA133">
    <cfRule type="expression" dxfId="481" priority="482" stopIfTrue="1">
      <formula>IF(OR(#REF!="not",#REF!="resign",#REF!="resign",#REF!="end",#REF!="terminated",#REF!="permanent"),"TRUE","FALSE")</formula>
    </cfRule>
  </conditionalFormatting>
  <conditionalFormatting sqref="AP133;AK133:AN133">
    <cfRule type="expression" dxfId="482" priority="483" stopIfTrue="1">
      <formula>IF(OR(#REF!="not",#REF!="resign",#REF!="resign",#REF!="end",#REF!="terminated",#REF!="permanent"),"TRUE","FALSE")</formula>
    </cfRule>
  </conditionalFormatting>
  <conditionalFormatting sqref="AO133">
    <cfRule type="expression" dxfId="483" priority="484" stopIfTrue="1">
      <formula>IF(OR(#REF!="not",#REF!="resign",#REF!="resign",#REF!="end",#REF!="terminated",#REF!="permanent"),"TRUE","FALSE")</formula>
    </cfRule>
  </conditionalFormatting>
  <conditionalFormatting sqref="K133:L133">
    <cfRule type="expression" dxfId="484" priority="485" stopIfTrue="1">
      <formula>IF(OR(#REF!="not",#REF!="resign",#REF!="resign",#REF!="end",#REF!="terminated",#REF!="permanent"),"TRUE","FALSE")</formula>
    </cfRule>
  </conditionalFormatting>
  <conditionalFormatting sqref="R134:U134;AX134;E134;Z134:AA134">
    <cfRule type="expression" dxfId="485" priority="486" stopIfTrue="1">
      <formula>IF(OR(#REF!="not",#REF!="resign",#REF!="resign",#REF!="end",#REF!="terminated",#REF!="permanent"),"TRUE","FALSE")</formula>
    </cfRule>
  </conditionalFormatting>
  <conditionalFormatting sqref="AP134;AK134:AN134">
    <cfRule type="expression" dxfId="486" priority="487" stopIfTrue="1">
      <formula>IF(OR(#REF!="not",#REF!="resign",#REF!="resign",#REF!="end",#REF!="terminated",#REF!="permanent"),"TRUE","FALSE")</formula>
    </cfRule>
  </conditionalFormatting>
  <conditionalFormatting sqref="AO134">
    <cfRule type="expression" dxfId="487" priority="488" stopIfTrue="1">
      <formula>IF(OR(#REF!="not",#REF!="resign",#REF!="resign",#REF!="end",#REF!="terminated",#REF!="permanent"),"TRUE","FALSE")</formula>
    </cfRule>
  </conditionalFormatting>
  <conditionalFormatting sqref="K134:L134">
    <cfRule type="expression" dxfId="488" priority="489" stopIfTrue="1">
      <formula>IF(OR(#REF!="not",#REF!="resign",#REF!="resign",#REF!="end",#REF!="terminated",#REF!="permanent"),"TRUE","FALSE")</formula>
    </cfRule>
  </conditionalFormatting>
  <conditionalFormatting sqref="R135:U135;AX135;E135;Z135:AA135">
    <cfRule type="expression" dxfId="489" priority="490" stopIfTrue="1">
      <formula>IF(OR(#REF!="not",#REF!="resign",#REF!="resign",#REF!="end",#REF!="terminated",#REF!="permanent"),"TRUE","FALSE")</formula>
    </cfRule>
  </conditionalFormatting>
  <conditionalFormatting sqref="AP135;AK135:AN135">
    <cfRule type="expression" dxfId="490" priority="491" stopIfTrue="1">
      <formula>IF(OR(#REF!="not",#REF!="resign",#REF!="resign",#REF!="end",#REF!="terminated",#REF!="permanent"),"TRUE","FALSE")</formula>
    </cfRule>
  </conditionalFormatting>
  <conditionalFormatting sqref="K135:L135">
    <cfRule type="expression" dxfId="491" priority="492" stopIfTrue="1">
      <formula>IF(OR(#REF!="not",#REF!="resign",#REF!="resign",#REF!="end",#REF!="terminated",#REF!="permanent"),"TRUE","FALSE")</formula>
    </cfRule>
  </conditionalFormatting>
  <conditionalFormatting sqref="R136:U136;AX136;E136;Z136:AA136">
    <cfRule type="expression" dxfId="492" priority="493" stopIfTrue="1">
      <formula>IF(OR(#REF!="not",#REF!="resign",#REF!="resign",#REF!="end",#REF!="terminated",#REF!="permanent"),"TRUE","FALSE")</formula>
    </cfRule>
  </conditionalFormatting>
  <conditionalFormatting sqref="AP136;AK136:AN136">
    <cfRule type="expression" dxfId="493" priority="494" stopIfTrue="1">
      <formula>IF(OR(#REF!="not",#REF!="resign",#REF!="resign",#REF!="end",#REF!="terminated",#REF!="permanent"),"TRUE","FALSE")</formula>
    </cfRule>
  </conditionalFormatting>
  <conditionalFormatting sqref="AO136">
    <cfRule type="expression" dxfId="494" priority="495" stopIfTrue="1">
      <formula>IF(OR(#REF!="not",#REF!="resign",#REF!="resign",#REF!="end",#REF!="terminated",#REF!="permanent"),"TRUE","FALSE")</formula>
    </cfRule>
  </conditionalFormatting>
  <conditionalFormatting sqref="K136:L136">
    <cfRule type="expression" dxfId="495" priority="496" stopIfTrue="1">
      <formula>IF(OR(#REF!="not",#REF!="resign",#REF!="resign",#REF!="end",#REF!="terminated",#REF!="permanent"),"TRUE","FALSE")</formula>
    </cfRule>
  </conditionalFormatting>
  <conditionalFormatting sqref="R137:U137;AX137;E137;Z137:AA137">
    <cfRule type="expression" dxfId="496" priority="497" stopIfTrue="1">
      <formula>IF(OR(#REF!="not",#REF!="resign",#REF!="resign",#REF!="end",#REF!="terminated",#REF!="permanent"),"TRUE","FALSE")</formula>
    </cfRule>
  </conditionalFormatting>
  <conditionalFormatting sqref="AP137;AK137:AN137">
    <cfRule type="expression" dxfId="497" priority="498" stopIfTrue="1">
      <formula>IF(OR(#REF!="not",#REF!="resign",#REF!="resign",#REF!="end",#REF!="terminated",#REF!="permanent"),"TRUE","FALSE")</formula>
    </cfRule>
  </conditionalFormatting>
  <conditionalFormatting sqref="AO137">
    <cfRule type="expression" dxfId="498" priority="499" stopIfTrue="1">
      <formula>IF(OR(#REF!="not",#REF!="resign",#REF!="resign",#REF!="end",#REF!="terminated",#REF!="permanent"),"TRUE","FALSE")</formula>
    </cfRule>
  </conditionalFormatting>
  <conditionalFormatting sqref="K137:L137">
    <cfRule type="expression" dxfId="499" priority="500" stopIfTrue="1">
      <formula>IF(OR(#REF!="not",#REF!="resign",#REF!="resign",#REF!="end",#REF!="terminated",#REF!="permanent"),"TRUE","FALSE")</formula>
    </cfRule>
  </conditionalFormatting>
  <conditionalFormatting sqref="R138:U138;AX138;E138;Z138:AA138">
    <cfRule type="expression" dxfId="500" priority="501" stopIfTrue="1">
      <formula>IF(OR(#REF!="not",#REF!="resign",#REF!="resign",#REF!="end",#REF!="terminated",#REF!="permanent"),"TRUE","FALSE")</formula>
    </cfRule>
  </conditionalFormatting>
  <conditionalFormatting sqref="AP138;AK138:AN138">
    <cfRule type="expression" dxfId="501" priority="502" stopIfTrue="1">
      <formula>IF(OR(#REF!="not",#REF!="resign",#REF!="resign",#REF!="end",#REF!="terminated",#REF!="permanent"),"TRUE","FALSE")</formula>
    </cfRule>
  </conditionalFormatting>
  <conditionalFormatting sqref="AO138">
    <cfRule type="expression" dxfId="502" priority="503" stopIfTrue="1">
      <formula>IF(OR(#REF!="not",#REF!="resign",#REF!="resign",#REF!="end",#REF!="terminated",#REF!="permanent"),"TRUE","FALSE")</formula>
    </cfRule>
  </conditionalFormatting>
  <conditionalFormatting sqref="K138:L138">
    <cfRule type="expression" dxfId="503" priority="504" stopIfTrue="1">
      <formula>IF(OR(#REF!="not",#REF!="resign",#REF!="resign",#REF!="end",#REF!="terminated",#REF!="permanent"),"TRUE","FALSE")</formula>
    </cfRule>
  </conditionalFormatting>
  <conditionalFormatting sqref="AO135">
    <cfRule type="expression" dxfId="504" priority="505" stopIfTrue="1">
      <formula>IF(OR(#REF!="not",#REF!="resign",#REF!="resign",#REF!="end",#REF!="terminated",#REF!="permanent"),"TRUE","FALSE")</formula>
    </cfRule>
  </conditionalFormatting>
  <conditionalFormatting sqref="AL78">
    <cfRule type="expression" dxfId="505" priority="506" stopIfTrue="1">
      <formula>IF(OR(#REF!="not",#REF!="resign",#REF!="resign",#REF!="end",#REF!="terminated",#REF!="permanent"),"TRUE","FALSE")</formula>
    </cfRule>
  </conditionalFormatting>
  <conditionalFormatting sqref="AG139">
    <cfRule type="expression" dxfId="506" priority="507" stopIfTrue="1">
      <formula>NOT(ISERROR(SEARCH("warning",AG139)))</formula>
    </cfRule>
  </conditionalFormatting>
  <conditionalFormatting sqref="R139:U139;AX139;E139;Z139:AA139">
    <cfRule type="expression" dxfId="507" priority="508" stopIfTrue="1">
      <formula>IF(OR(#REF!="not",#REF!="resign",#REF!="resign",#REF!="end",#REF!="terminated",#REF!="permanent"),"TRUE","FALSE")</formula>
    </cfRule>
  </conditionalFormatting>
  <conditionalFormatting sqref="AP139;AK139:AN139">
    <cfRule type="expression" dxfId="508" priority="509" stopIfTrue="1">
      <formula>IF(OR(#REF!="not",#REF!="resign",#REF!="resign",#REF!="end",#REF!="terminated",#REF!="permanent"),"TRUE","FALSE")</formula>
    </cfRule>
  </conditionalFormatting>
  <conditionalFormatting sqref="AO139">
    <cfRule type="expression" dxfId="509" priority="510" stopIfTrue="1">
      <formula>IF(OR(#REF!="not",#REF!="resign",#REF!="resign",#REF!="end",#REF!="terminated",#REF!="permanent"),"TRUE","FALSE")</formula>
    </cfRule>
  </conditionalFormatting>
  <conditionalFormatting sqref="K139:L139">
    <cfRule type="expression" dxfId="510" priority="511" stopIfTrue="1">
      <formula>IF(OR(#REF!="not",#REF!="resign",#REF!="resign",#REF!="end",#REF!="terminated",#REF!="permanent"),"TRUE","FALSE")</formula>
    </cfRule>
  </conditionalFormatting>
  <conditionalFormatting sqref="AG140">
    <cfRule type="expression" dxfId="511" priority="512" stopIfTrue="1">
      <formula>NOT(ISERROR(SEARCH("warning",AG140)))</formula>
    </cfRule>
  </conditionalFormatting>
  <conditionalFormatting sqref="R140:U140;AX140;E140;Z140:AA140">
    <cfRule type="expression" dxfId="512" priority="513" stopIfTrue="1">
      <formula>IF(OR(#REF!="not",#REF!="resign",#REF!="resign",#REF!="end",#REF!="terminated",#REF!="permanent"),"TRUE","FALSE")</formula>
    </cfRule>
  </conditionalFormatting>
  <conditionalFormatting sqref="AP140;AK140:AN140">
    <cfRule type="expression" dxfId="513" priority="514" stopIfTrue="1">
      <formula>IF(OR(#REF!="not",#REF!="resign",#REF!="resign",#REF!="end",#REF!="terminated",#REF!="permanent"),"TRUE","FALSE")</formula>
    </cfRule>
  </conditionalFormatting>
  <conditionalFormatting sqref="AO140">
    <cfRule type="expression" dxfId="514" priority="515" stopIfTrue="1">
      <formula>IF(OR(#REF!="not",#REF!="resign",#REF!="resign",#REF!="end",#REF!="terminated",#REF!="permanent"),"TRUE","FALSE")</formula>
    </cfRule>
  </conditionalFormatting>
  <conditionalFormatting sqref="K140:L140">
    <cfRule type="expression" dxfId="515" priority="516" stopIfTrue="1">
      <formula>IF(OR(#REF!="not",#REF!="resign",#REF!="resign",#REF!="end",#REF!="terminated",#REF!="permanent"),"TRUE","FALSE")</formula>
    </cfRule>
  </conditionalFormatting>
  <conditionalFormatting sqref="O60">
    <cfRule type="expression" dxfId="516" priority="517" stopIfTrue="1">
      <formula>IF(OR(#REF!="not",#REF!="resign",#REF!="resign",#REF!="end",#REF!="terminated",#REF!="permanent"),"TRUE","FALSE")</formula>
    </cfRule>
  </conditionalFormatting>
  <conditionalFormatting sqref="P61">
    <cfRule type="expression" dxfId="517" priority="518" stopIfTrue="1">
      <formula>IF(OR(#REF!="not",#REF!="resign",#REF!="resign",#REF!="end",#REF!="terminated",#REF!="permanent"),"TRUE","FALSE")</formula>
    </cfRule>
  </conditionalFormatting>
  <conditionalFormatting sqref="P62">
    <cfRule type="expression" dxfId="518" priority="519" stopIfTrue="1">
      <formula>IF(OR(#REF!="not",#REF!="resign",#REF!="resign",#REF!="end",#REF!="terminated",#REF!="permanent"),"TRUE","FALSE")</formula>
    </cfRule>
  </conditionalFormatting>
  <conditionalFormatting sqref="O63">
    <cfRule type="expression" dxfId="519" priority="520" stopIfTrue="1">
      <formula>IF(OR(#REF!="not",#REF!="resign",#REF!="resign",#REF!="end",#REF!="terminated",#REF!="permanent"),"TRUE","FALSE")</formula>
    </cfRule>
  </conditionalFormatting>
  <conditionalFormatting sqref="O64">
    <cfRule type="expression" dxfId="520" priority="521" stopIfTrue="1">
      <formula>IF(OR(#REF!="not",#REF!="resign",#REF!="resign",#REF!="end",#REF!="terminated",#REF!="permanent"),"TRUE","FALSE")</formula>
    </cfRule>
  </conditionalFormatting>
  <conditionalFormatting sqref="P65">
    <cfRule type="expression" dxfId="521" priority="522" stopIfTrue="1">
      <formula>IF(OR(#REF!="not",#REF!="resign",#REF!="resign",#REF!="end",#REF!="terminated",#REF!="permanent"),"TRUE","FALSE")</formula>
    </cfRule>
  </conditionalFormatting>
  <conditionalFormatting sqref="M80">
    <cfRule type="expression" dxfId="522" priority="523" stopIfTrue="1">
      <formula>IF(OR(#REF!="not",#REF!="resign",#REF!="resign",#REF!="end",#REF!="terminated",#REF!="permanent"),"TRUE","FALSE")</formula>
    </cfRule>
  </conditionalFormatting>
  <conditionalFormatting sqref="M83">
    <cfRule type="expression" dxfId="523" priority="524" stopIfTrue="1">
      <formula>IF(OR(#REF!="not",#REF!="resign",#REF!="resign",#REF!="end",#REF!="terminated",#REF!="permanent"),"TRUE","FALSE")</formula>
    </cfRule>
  </conditionalFormatting>
  <conditionalFormatting sqref="M84">
    <cfRule type="expression" dxfId="524" priority="525" stopIfTrue="1">
      <formula>IF(OR(#REF!="not",#REF!="resign",#REF!="resign",#REF!="end",#REF!="terminated",#REF!="permanent"),"TRUE","FALSE")</formula>
    </cfRule>
  </conditionalFormatting>
  <conditionalFormatting sqref="M85">
    <cfRule type="expression" dxfId="525" priority="526" stopIfTrue="1">
      <formula>IF(OR(#REF!="not",#REF!="resign",#REF!="resign",#REF!="end",#REF!="terminated",#REF!="permanent"),"TRUE","FALSE")</formula>
    </cfRule>
  </conditionalFormatting>
  <conditionalFormatting sqref="M89">
    <cfRule type="expression" dxfId="526" priority="527" stopIfTrue="1">
      <formula>IF(OR(#REF!="not",#REF!="resign",#REF!="resign",#REF!="end",#REF!="terminated",#REF!="permanent"),"TRUE","FALSE")</formula>
    </cfRule>
  </conditionalFormatting>
  <conditionalFormatting sqref="M90">
    <cfRule type="expression" dxfId="527" priority="528" stopIfTrue="1">
      <formula>IF(OR(#REF!="not",#REF!="resign",#REF!="resign",#REF!="end",#REF!="terminated",#REF!="permanent"),"TRUE","FALSE")</formula>
    </cfRule>
  </conditionalFormatting>
  <conditionalFormatting sqref="M91">
    <cfRule type="expression" dxfId="528" priority="529" stopIfTrue="1">
      <formula>IF(OR(#REF!="not",#REF!="resign",#REF!="resign",#REF!="end",#REF!="terminated",#REF!="permanent"),"TRUE","FALSE")</formula>
    </cfRule>
  </conditionalFormatting>
  <conditionalFormatting sqref="W60:W65">
    <cfRule type="expression" dxfId="529" priority="530" stopIfTrue="1">
      <formula>IF(OR(#REF!="not",#REF!="resign",#REF!="resign",#REF!="end",#REF!="terminated",#REF!="permanent"),"TRUE","FALSE")</formula>
    </cfRule>
  </conditionalFormatting>
  <conditionalFormatting sqref="R141:U141;AX141;E141;Z141:AA141">
    <cfRule type="expression" dxfId="530" priority="531" stopIfTrue="1">
      <formula>IF(OR(#REF!="not",#REF!="resign",#REF!="resign",#REF!="end",#REF!="terminated",#REF!="permanent"),"TRUE","FALSE")</formula>
    </cfRule>
  </conditionalFormatting>
  <conditionalFormatting sqref="AP141;AK141:AN141">
    <cfRule type="expression" dxfId="531" priority="532" stopIfTrue="1">
      <formula>IF(OR(#REF!="not",#REF!="resign",#REF!="resign",#REF!="end",#REF!="terminated",#REF!="permanent"),"TRUE","FALSE")</formula>
    </cfRule>
  </conditionalFormatting>
  <conditionalFormatting sqref="AO141">
    <cfRule type="expression" dxfId="532" priority="533" stopIfTrue="1">
      <formula>IF(OR(#REF!="not",#REF!="resign",#REF!="resign",#REF!="end",#REF!="terminated",#REF!="permanent"),"TRUE","FALSE")</formula>
    </cfRule>
  </conditionalFormatting>
  <conditionalFormatting sqref="K141:L141">
    <cfRule type="expression" dxfId="533" priority="534" stopIfTrue="1">
      <formula>IF(OR(#REF!="not",#REF!="resign",#REF!="resign",#REF!="end",#REF!="terminated",#REF!="permanent"),"TRUE","FALSE")</formula>
    </cfRule>
  </conditionalFormatting>
  <conditionalFormatting sqref="AG141">
    <cfRule type="expression" dxfId="534" priority="535" stopIfTrue="1">
      <formula>NOT(ISERROR(SEARCH("warning",AG141)))</formula>
    </cfRule>
  </conditionalFormatting>
  <conditionalFormatting sqref="M364:N364;BC364:BC365;P364:U365">
    <cfRule type="expression" dxfId="535" priority="536" stopIfTrue="1">
      <formula>IF(OR(#REF!="not",#REF!="resign",#REF!="permanent",#REF!="terminated"),"true","false")</formula>
    </cfRule>
  </conditionalFormatting>
  <conditionalFormatting sqref="AQ366:AS366;BD364:BD370">
    <cfRule type="expression" dxfId="536" priority="537" stopIfTrue="1">
      <formula>IF(OR(#REF!="not",#REF!="resign",#REF!="resign",#REF!="end",#REF!="terminated",#REF!="permanent"),"TRUE","FALSE")</formula>
    </cfRule>
  </conditionalFormatting>
  <conditionalFormatting sqref="AG370;AG364:AG366">
    <cfRule type="expression" dxfId="537" priority="538" stopIfTrue="1">
      <formula>NOT(ISERROR(SEARCH("warning",AG364)))</formula>
    </cfRule>
  </conditionalFormatting>
  <conditionalFormatting sqref="N365">
    <cfRule type="expression" dxfId="538" priority="539" stopIfTrue="1">
      <formula>IF(OR(#REF!="not",#REF!="resign",#REF!="permanent",#REF!="terminated"),"true","false")</formula>
    </cfRule>
  </conditionalFormatting>
  <conditionalFormatting sqref="L366;AH366">
    <cfRule type="expression" dxfId="539" priority="540" stopIfTrue="1">
      <formula>IF(OR(#REF!="not",#REF!="resign",#REF!="resign",#REF!="end",#REF!="terminated",#REF!="permanent"),"TRUE","FALSE")</formula>
    </cfRule>
  </conditionalFormatting>
  <conditionalFormatting sqref="C366">
    <cfRule type="expression" dxfId="540" priority="541" stopIfTrue="1">
      <formula>IF(OR(#REF!="not",#REF!="resign",#REF!="resign",#REF!="end",#REF!="terminated",#REF!="permanent"),"TRUE","FALSE")</formula>
    </cfRule>
  </conditionalFormatting>
  <conditionalFormatting sqref="H366:I366">
    <cfRule type="expression" dxfId="541" priority="542" stopIfTrue="1">
      <formula>IF(OR(#REF!="not",#REF!="resign",#REF!="resign",#REF!="end",#REF!="terminated",#REF!="permanent"),"TRUE","FALSE")</formula>
    </cfRule>
  </conditionalFormatting>
  <conditionalFormatting sqref="BC366;P366:U366">
    <cfRule type="expression" dxfId="542" priority="543" stopIfTrue="1">
      <formula>IF(OR(#REF!="not",#REF!="resign",#REF!="permanent",#REF!="terminated"),"true","false")</formula>
    </cfRule>
  </conditionalFormatting>
  <conditionalFormatting sqref="AJ366">
    <cfRule type="expression" dxfId="543" priority="544" stopIfTrue="1">
      <formula>IF(OR(#REF!="not",#REF!="resign",#REF!="resign",#REF!="end",#REF!="terminated",#REF!="permanent"),"TRUE","FALSE")</formula>
    </cfRule>
  </conditionalFormatting>
  <conditionalFormatting sqref="M366">
    <cfRule type="expression" dxfId="544" priority="545" stopIfTrue="1">
      <formula>IF(OR(#REF!="not",#REF!="resign",#REF!="resign",#REF!="end",#REF!="terminated",#REF!="permanent"),"TRUE","FALSE")</formula>
    </cfRule>
  </conditionalFormatting>
  <conditionalFormatting sqref="R367:U367;AX367;E367;Z367:AA367;L367">
    <cfRule type="expression" dxfId="545" priority="546" stopIfTrue="1">
      <formula>IF(OR(#REF!="not",#REF!="resign",#REF!="resign",#REF!="end",#REF!="terminated",#REF!="permanent"),"TRUE","FALSE")</formula>
    </cfRule>
  </conditionalFormatting>
  <conditionalFormatting sqref="AK367:AP367">
    <cfRule type="expression" dxfId="546" priority="547" stopIfTrue="1">
      <formula>IF(OR(#REF!="not",#REF!="resign",#REF!="resign",#REF!="end",#REF!="terminated",#REF!="permanent"),"TRUE","FALSE")</formula>
    </cfRule>
  </conditionalFormatting>
  <conditionalFormatting sqref="K367">
    <cfRule type="expression" dxfId="547" priority="548" stopIfTrue="1">
      <formula>IF(OR(#REF!="not",#REF!="resign",#REF!="resign",#REF!="end",#REF!="terminated",#REF!="permanent"),"TRUE","FALSE")</formula>
    </cfRule>
  </conditionalFormatting>
  <conditionalFormatting sqref="AG367">
    <cfRule type="expression" dxfId="548" priority="549" stopIfTrue="1">
      <formula>NOT(ISERROR(SEARCH("warning",AG367)))</formula>
    </cfRule>
  </conditionalFormatting>
  <conditionalFormatting sqref="AQ367:AS367">
    <cfRule type="expression" dxfId="549" priority="550" stopIfTrue="1">
      <formula>IF(OR(#REF!="not",#REF!="resign",#REF!="resign",#REF!="end",#REF!="terminated",#REF!="permanent"),"TRUE","FALSE")</formula>
    </cfRule>
  </conditionalFormatting>
  <conditionalFormatting sqref="R368:U369;AX368:AX369;E368:E369;Z368:AA369">
    <cfRule type="expression" dxfId="550" priority="551" stopIfTrue="1">
      <formula>IF(OR(#REF!="not",#REF!="resign",#REF!="resign",#REF!="end",#REF!="terminated",#REF!="permanent"),"TRUE","FALSE")</formula>
    </cfRule>
  </conditionalFormatting>
  <conditionalFormatting sqref="AK369:AL369;AN369;AP368:AP369;AK368:AN368">
    <cfRule type="expression" dxfId="551" priority="552" stopIfTrue="1">
      <formula>IF(OR(#REF!="not",#REF!="resign",#REF!="resign",#REF!="end",#REF!="terminated",#REF!="permanent"),"TRUE","FALSE")</formula>
    </cfRule>
  </conditionalFormatting>
  <conditionalFormatting sqref="AO368:AO369">
    <cfRule type="expression" dxfId="552" priority="553" stopIfTrue="1">
      <formula>IF(OR(#REF!="not",#REF!="resign",#REF!="resign",#REF!="end",#REF!="terminated",#REF!="permanent"),"TRUE","FALSE")</formula>
    </cfRule>
  </conditionalFormatting>
  <conditionalFormatting sqref="K368:L369">
    <cfRule type="expression" dxfId="553" priority="554" stopIfTrue="1">
      <formula>IF(OR(#REF!="not",#REF!="resign",#REF!="resign",#REF!="end",#REF!="terminated",#REF!="permanent"),"TRUE","FALSE")</formula>
    </cfRule>
  </conditionalFormatting>
  <conditionalFormatting sqref="AQ368:AS369">
    <cfRule type="expression" dxfId="554" priority="555" stopIfTrue="1">
      <formula>IF(OR(#REF!="not",#REF!="resign",#REF!="resign",#REF!="end",#REF!="terminated",#REF!="permanent"),"TRUE","FALSE")</formula>
    </cfRule>
  </conditionalFormatting>
  <conditionalFormatting sqref="AG368:AG369">
    <cfRule type="expression" dxfId="555" priority="556" stopIfTrue="1">
      <formula>NOT(ISERROR(SEARCH("warning",AG368)))</formula>
    </cfRule>
  </conditionalFormatting>
  <conditionalFormatting sqref="AM369">
    <cfRule type="expression" dxfId="556" priority="557" stopIfTrue="1">
      <formula>IF(OR(#REF!="not",#REF!="resign",#REF!="resign",#REF!="end",#REF!="terminated",#REF!="permanent"),"TRUE","FALSE")</formula>
    </cfRule>
  </conditionalFormatting>
  <conditionalFormatting sqref="R370:U370;AX370;E370;Z370:AA370">
    <cfRule type="expression" dxfId="557" priority="558" stopIfTrue="1">
      <formula>IF(OR(#REF!="not",#REF!="resign",#REF!="resign",#REF!="end",#REF!="terminated",#REF!="permanent"),"TRUE","FALSE")</formula>
    </cfRule>
  </conditionalFormatting>
  <conditionalFormatting sqref="AP370;AK370:AN370">
    <cfRule type="expression" dxfId="558" priority="559" stopIfTrue="1">
      <formula>IF(OR(#REF!="not",#REF!="resign",#REF!="resign",#REF!="end",#REF!="terminated",#REF!="permanent"),"TRUE","FALSE")</formula>
    </cfRule>
  </conditionalFormatting>
  <conditionalFormatting sqref="AO370">
    <cfRule type="expression" dxfId="559" priority="560" stopIfTrue="1">
      <formula>IF(OR(#REF!="not",#REF!="resign",#REF!="resign",#REF!="end",#REF!="terminated",#REF!="permanent"),"TRUE","FALSE")</formula>
    </cfRule>
  </conditionalFormatting>
  <conditionalFormatting sqref="K370:L370">
    <cfRule type="expression" dxfId="560" priority="561" stopIfTrue="1">
      <formula>IF(OR(#REF!="not",#REF!="resign",#REF!="resign",#REF!="end",#REF!="terminated",#REF!="permanent"),"TRUE","FALSE")</formula>
    </cfRule>
  </conditionalFormatting>
  <conditionalFormatting sqref="AQ370:AS370;AX142:AX144;R142:U154;AO142:AP154;K142:L154;E142:E154;Z142:AA154">
    <cfRule type="expression" dxfId="561" priority="562" stopIfTrue="1">
      <formula>IF(OR(#REF!="not",#REF!="resign",#REF!="resign",#REF!="end",#REF!="terminated",#REF!="permanent"),"TRUE","FALSE")</formula>
    </cfRule>
  </conditionalFormatting>
  <conditionalFormatting sqref="AK154:AN154;AX146:AX154;AK145:AN148">
    <cfRule type="expression" dxfId="562" priority="563" stopIfTrue="1">
      <formula>IF(OR(#REF!="not",#REF!="resign",#REF!="resign",#REF!="end",#REF!="terminated",#REF!="permanent"),"TRUE","FALSE")</formula>
    </cfRule>
  </conditionalFormatting>
  <conditionalFormatting sqref="AK142:AN142;AK143:AL144;AN143:AN144;AK151:AN151;AK149:AL150;AN149:AN150;AK153:AN153;AK152:AL152;AN152">
    <cfRule type="expression" dxfId="563" priority="564" stopIfTrue="1">
      <formula>IF(OR(#REF!="not",#REF!="resign",#REF!="resign",#REF!="end",#REF!="terminated",#REF!="permanent"),"TRUE","FALSE")</formula>
    </cfRule>
  </conditionalFormatting>
  <conditionalFormatting sqref="AM143">
    <cfRule type="expression" dxfId="564" priority="565" stopIfTrue="1">
      <formula>IF(OR(#REF!="not",#REF!="resign",#REF!="resign",#REF!="end",#REF!="terminated",#REF!="permanent"),"TRUE","FALSE")</formula>
    </cfRule>
  </conditionalFormatting>
  <conditionalFormatting sqref="AM144">
    <cfRule type="expression" dxfId="565" priority="566" stopIfTrue="1">
      <formula>IF(OR(#REF!="not",#REF!="resign",#REF!="resign",#REF!="end",#REF!="terminated",#REF!="permanent"),"TRUE","FALSE")</formula>
    </cfRule>
  </conditionalFormatting>
  <conditionalFormatting sqref="AM149">
    <cfRule type="expression" dxfId="566" priority="567" stopIfTrue="1">
      <formula>IF(OR(#REF!="not",#REF!="resign",#REF!="resign",#REF!="end",#REF!="terminated",#REF!="permanent"),"TRUE","FALSE")</formula>
    </cfRule>
  </conditionalFormatting>
  <conditionalFormatting sqref="AM150">
    <cfRule type="expression" dxfId="567" priority="568" stopIfTrue="1">
      <formula>IF(OR(#REF!="not",#REF!="resign",#REF!="resign",#REF!="end",#REF!="terminated",#REF!="permanent"),"TRUE","FALSE")</formula>
    </cfRule>
  </conditionalFormatting>
  <conditionalFormatting sqref="AM152">
    <cfRule type="expression" dxfId="568" priority="569" stopIfTrue="1">
      <formula>IF(OR(#REF!="not",#REF!="resign",#REF!="resign",#REF!="end",#REF!="terminated",#REF!="permanent"),"TRUE","FALSE")</formula>
    </cfRule>
  </conditionalFormatting>
  <conditionalFormatting sqref="F145:G145">
    <cfRule type="expression" dxfId="569" priority="570" stopIfTrue="1">
      <formula>IF(OR(#REF!="not",#REF!="resign",#REF!="resign",#REF!="end",#REF!="terminated",#REF!="permanent"),"TRUE","FALSE")</formula>
    </cfRule>
  </conditionalFormatting>
  <conditionalFormatting sqref="AV145:AX145">
    <cfRule type="expression" dxfId="570" priority="571" stopIfTrue="1">
      <formula>IF(OR(#REF!="not",#REF!="resign",#REF!="resign",#REF!="end",#REF!="terminated",#REF!="permanent"),"TRUE","FALSE")</formula>
    </cfRule>
  </conditionalFormatting>
  <conditionalFormatting sqref="AW148">
    <cfRule type="expression" dxfId="571" priority="572" stopIfTrue="1">
      <formula>IF(OR(#REF!="not",#REF!="resign",#REF!="resign",#REF!="end",#REF!="terminated",#REF!="permanent"),"TRUE","FALSE")</formula>
    </cfRule>
  </conditionalFormatting>
  <conditionalFormatting sqref="AK157:AP159;R155:U167;K155:L155;E155:E167;Z155:AA167;AX155:AX167;K166:L166;K156:K165;K167;AK155:AL156;AN155:AP156;AK161:AP161;AK160:AL160;AN160:AP160;AK163:AP165;AK162:AL162;AN162:AP162;AK167:AP167;AK166:AL166;AN166:AP166">
    <cfRule type="expression" dxfId="572" priority="573" stopIfTrue="1">
      <formula>IF(OR(#REF!="not",#REF!="resign",#REF!="resign",#REF!="end",#REF!="terminated",#REF!="permanent"),"TRUE","FALSE")</formula>
    </cfRule>
  </conditionalFormatting>
  <conditionalFormatting sqref="L156:L165;R168:U177;E168:E177;K168:L177;AQ139:AS177">
    <cfRule type="expression" dxfId="573" priority="574" stopIfTrue="1">
      <formula>IF(OR(#REF!="not",#REF!="resign",#REF!="resign",#REF!="end",#REF!="terminated",#REF!="permanent"),"TRUE","FALSE")</formula>
    </cfRule>
  </conditionalFormatting>
  <conditionalFormatting sqref="L167">
    <cfRule type="expression" dxfId="574" priority="575" stopIfTrue="1">
      <formula>IF(OR(#REF!="not",#REF!="resign",#REF!="resign",#REF!="end",#REF!="terminated",#REF!="permanent"),"TRUE","FALSE")</formula>
    </cfRule>
  </conditionalFormatting>
  <conditionalFormatting sqref="AM155">
    <cfRule type="expression" dxfId="575" priority="576" stopIfTrue="1">
      <formula>IF(OR(#REF!="not",#REF!="resign",#REF!="resign",#REF!="end",#REF!="terminated",#REF!="permanent"),"TRUE","FALSE")</formula>
    </cfRule>
  </conditionalFormatting>
  <conditionalFormatting sqref="AM156">
    <cfRule type="expression" dxfId="576" priority="577" stopIfTrue="1">
      <formula>IF(OR(#REF!="not",#REF!="resign",#REF!="resign",#REF!="end",#REF!="terminated",#REF!="permanent"),"TRUE","FALSE")</formula>
    </cfRule>
  </conditionalFormatting>
  <conditionalFormatting sqref="AM160">
    <cfRule type="expression" dxfId="577" priority="578" stopIfTrue="1">
      <formula>IF(OR(#REF!="not",#REF!="resign",#REF!="resign",#REF!="end",#REF!="terminated",#REF!="permanent"),"TRUE","FALSE")</formula>
    </cfRule>
  </conditionalFormatting>
  <conditionalFormatting sqref="AM162">
    <cfRule type="expression" dxfId="578" priority="579" stopIfTrue="1">
      <formula>IF(OR(#REF!="not",#REF!="resign",#REF!="resign",#REF!="end",#REF!="terminated",#REF!="permanent"),"TRUE","FALSE")</formula>
    </cfRule>
  </conditionalFormatting>
  <conditionalFormatting sqref="AM166">
    <cfRule type="expression" dxfId="579" priority="580" stopIfTrue="1">
      <formula>IF(OR(#REF!="not",#REF!="resign",#REF!="resign",#REF!="end",#REF!="terminated",#REF!="permanent"),"TRUE","FALSE")</formula>
    </cfRule>
  </conditionalFormatting>
  <conditionalFormatting sqref="AK170:AP171;AK168:AL169;AN168:AP169;AK172:AL173;AN172:AP173">
    <cfRule type="expression" dxfId="580" priority="581" stopIfTrue="1">
      <formula>IF(OR(#REF!="not",#REF!="resign",#REF!="resign",#REF!="end",#REF!="terminated",#REF!="permanent"),"TRUE","FALSE")</formula>
    </cfRule>
  </conditionalFormatting>
  <conditionalFormatting sqref="AM168">
    <cfRule type="expression" dxfId="581" priority="582" stopIfTrue="1">
      <formula>IF(OR(#REF!="not",#REF!="resign",#REF!="resign",#REF!="end",#REF!="terminated",#REF!="permanent"),"TRUE","FALSE")</formula>
    </cfRule>
  </conditionalFormatting>
  <conditionalFormatting sqref="AM169">
    <cfRule type="expression" dxfId="582" priority="583" stopIfTrue="1">
      <formula>IF(OR(#REF!="not",#REF!="resign",#REF!="resign",#REF!="end",#REF!="terminated",#REF!="permanent"),"TRUE","FALSE")</formula>
    </cfRule>
  </conditionalFormatting>
  <conditionalFormatting sqref="AM172">
    <cfRule type="expression" dxfId="583" priority="584" stopIfTrue="1">
      <formula>IF(OR(#REF!="not",#REF!="resign",#REF!="resign",#REF!="end",#REF!="terminated",#REF!="permanent"),"TRUE","FALSE")</formula>
    </cfRule>
  </conditionalFormatting>
  <conditionalFormatting sqref="AM173">
    <cfRule type="expression" dxfId="584" priority="585" stopIfTrue="1">
      <formula>IF(OR(#REF!="not",#REF!="resign",#REF!="resign",#REF!="end",#REF!="terminated",#REF!="permanent"),"TRUE","FALSE")</formula>
    </cfRule>
  </conditionalFormatting>
  <conditionalFormatting sqref="K178:K185;E178:E185;R178:U185">
    <cfRule type="expression" dxfId="585" priority="586" stopIfTrue="1">
      <formula>IF(OR(#REF!="not",#REF!="resign",#REF!="resign",#REF!="end",#REF!="terminated",#REF!="permanent"),"TRUE","FALSE")</formula>
    </cfRule>
  </conditionalFormatting>
  <conditionalFormatting sqref="L178:L185">
    <cfRule type="expression" dxfId="586" priority="587" stopIfTrue="1">
      <formula>IF(OR(#REF!="not",#REF!="resign",#REF!="resign",#REF!="end",#REF!="terminated",#REF!="permanent"),"TRUE","FALSE")</formula>
    </cfRule>
  </conditionalFormatting>
  <conditionalFormatting sqref="AQ178:AS185">
    <cfRule type="expression" dxfId="587" priority="588" stopIfTrue="1">
      <formula>IF(OR(#REF!="not",#REF!="resign",#REF!="resign",#REF!="end",#REF!="terminated",#REF!="permanent"),"TRUE","FALSE")</formula>
    </cfRule>
  </conditionalFormatting>
  <conditionalFormatting sqref="AK186:AP190;AX186:AX189;Z186:AA190">
    <cfRule type="expression" dxfId="588" priority="589" stopIfTrue="1">
      <formula>IF(OR(#REF!="not",#REF!="resign",#REF!="resign",#REF!="end",#REF!="terminated",#REF!="permanent"),"TRUE","FALSE")</formula>
    </cfRule>
  </conditionalFormatting>
  <conditionalFormatting sqref="M186:M190">
    <cfRule type="expression" dxfId="589" priority="590" stopIfTrue="1">
      <formula>IF(OR($BF186="not",$BF186="resign",$BF186="resign",$BF186="end",$BF186="terminated",$BF186="permanent"),"TRUE","FALSE")</formula>
    </cfRule>
  </conditionalFormatting>
  <conditionalFormatting sqref="K186:K190;E186:E190;R186:U190">
    <cfRule type="expression" dxfId="590" priority="591" stopIfTrue="1">
      <formula>IF(OR(#REF!="not",#REF!="resign",#REF!="resign",#REF!="end",#REF!="terminated",#REF!="permanent"),"TRUE","FALSE")</formula>
    </cfRule>
  </conditionalFormatting>
  <conditionalFormatting sqref="L186:L190">
    <cfRule type="expression" dxfId="591" priority="592" stopIfTrue="1">
      <formula>IF(OR(#REF!="not",#REF!="resign",#REF!="resign",#REF!="end",#REF!="terminated",#REF!="permanent"),"TRUE","FALSE")</formula>
    </cfRule>
  </conditionalFormatting>
  <conditionalFormatting sqref="AK191:AP191;AX191;Z191:AA191">
    <cfRule type="expression" dxfId="592" priority="593" stopIfTrue="1">
      <formula>IF(OR(#REF!="not",#REF!="resign",#REF!="resign",#REF!="end",#REF!="terminated",#REF!="permanent"),"TRUE","FALSE")</formula>
    </cfRule>
  </conditionalFormatting>
  <conditionalFormatting sqref="K191;E191;R191:U191">
    <cfRule type="expression" dxfId="593" priority="594" stopIfTrue="1">
      <formula>IF(OR(#REF!="not",#REF!="resign",#REF!="resign",#REF!="end",#REF!="terminated",#REF!="permanent"),"TRUE","FALSE")</formula>
    </cfRule>
  </conditionalFormatting>
  <conditionalFormatting sqref="L191">
    <cfRule type="expression" dxfId="594" priority="595" stopIfTrue="1">
      <formula>IF(OR(#REF!="not",#REF!="resign",#REF!="resign",#REF!="end",#REF!="terminated",#REF!="permanent"),"TRUE","FALSE")</formula>
    </cfRule>
  </conditionalFormatting>
  <conditionalFormatting sqref="AQ186:AS191">
    <cfRule type="expression" dxfId="595" priority="596" stopIfTrue="1">
      <formula>IF(OR(#REF!="not",#REF!="resign",#REF!="resign",#REF!="end",#REF!="terminated",#REF!="permanent"),"TRUE","FALSE")</formula>
    </cfRule>
  </conditionalFormatting>
  <conditionalFormatting sqref="AX190">
    <cfRule type="expression" dxfId="596" priority="597" stopIfTrue="1">
      <formula>IF(OR(#REF!="not",#REF!="resign",#REF!="resign",#REF!="end",#REF!="terminated",#REF!="permanent"),"TRUE","FALSE")</formula>
    </cfRule>
  </conditionalFormatting>
  <conditionalFormatting sqref="M192:M207">
    <cfRule type="expression" dxfId="597" priority="598" stopIfTrue="1">
      <formula>IF(OR($BF192="not",$BF192="resign",$BF192="resign",$BF192="end",$BF192="terminated",$BF192="permanent"),"TRUE","FALSE")</formula>
    </cfRule>
  </conditionalFormatting>
  <conditionalFormatting sqref="AK192:AP207;AX192:AX206;Z192:AA207">
    <cfRule type="expression" dxfId="598" priority="599" stopIfTrue="1">
      <formula>IF(OR(#REF!="not",#REF!="resign",#REF!="resign",#REF!="end",#REF!="terminated",#REF!="permanent"),"TRUE","FALSE")</formula>
    </cfRule>
  </conditionalFormatting>
  <conditionalFormatting sqref="K192:K207;E192:E207;R192:U207">
    <cfRule type="expression" dxfId="599" priority="600" stopIfTrue="1">
      <formula>IF(OR(#REF!="not",#REF!="resign",#REF!="resign",#REF!="end",#REF!="terminated",#REF!="permanent"),"TRUE","FALSE")</formula>
    </cfRule>
  </conditionalFormatting>
  <conditionalFormatting sqref="L192:L207">
    <cfRule type="expression" dxfId="600" priority="601" stopIfTrue="1">
      <formula>IF(OR(#REF!="not",#REF!="resign",#REF!="resign",#REF!="end",#REF!="terminated",#REF!="permanent"),"TRUE","FALSE")</formula>
    </cfRule>
  </conditionalFormatting>
  <conditionalFormatting sqref="AQ192:AS207">
    <cfRule type="expression" dxfId="601" priority="602" stopIfTrue="1">
      <formula>IF(OR(#REF!="not",#REF!="resign",#REF!="resign",#REF!="end",#REF!="terminated",#REF!="permanent"),"TRUE","FALSE")</formula>
    </cfRule>
  </conditionalFormatting>
  <conditionalFormatting sqref="AQ371:AS371;BD371">
    <cfRule type="expression" dxfId="602" priority="603" stopIfTrue="1">
      <formula>IF(OR(#REF!="not",#REF!="resign",#REF!="resign",#REF!="end",#REF!="terminated",#REF!="permanent"),"TRUE","FALSE")</formula>
    </cfRule>
  </conditionalFormatting>
  <conditionalFormatting sqref="AK371">
    <cfRule type="expression" dxfId="603" priority="604" stopIfTrue="1">
      <formula>IF(OR($BF371="not",$BF371="resign",$BF371="resign",$BF371="end",$BF371="terminated",$BF371="permanent"),"TRUE","FALSE")</formula>
    </cfRule>
  </conditionalFormatting>
  <conditionalFormatting sqref="AG371">
    <cfRule type="expression" dxfId="604" priority="605" stopIfTrue="1">
      <formula>NOT(ISERROR(SEARCH("warning",AG371)))</formula>
    </cfRule>
  </conditionalFormatting>
  <conditionalFormatting sqref="BC371;N371;P371:U371">
    <cfRule type="expression" dxfId="605" priority="606" stopIfTrue="1">
      <formula>IF(OR(#REF!="not",#REF!="resign",#REF!="permanent",#REF!="terminated"),"true","false")</formula>
    </cfRule>
  </conditionalFormatting>
  <conditionalFormatting sqref="AH371:AI371;AL371:AP371">
    <cfRule type="expression" dxfId="606" priority="607" stopIfTrue="1">
      <formula>IF(OR(#REF!="not",#REF!="resign",#REF!="resign",#REF!="end",#REF!="terminated",#REF!="permanent"),"TRUE","FALSE")</formula>
    </cfRule>
  </conditionalFormatting>
  <conditionalFormatting sqref="AJ371">
    <cfRule type="expression" dxfId="607" priority="608" stopIfTrue="1">
      <formula>IF(OR(#REF!="not",#REF!="resign",#REF!="resign",#REF!="end",#REF!="terminated",#REF!="permanent"),"TRUE","FALSE")</formula>
    </cfRule>
  </conditionalFormatting>
  <conditionalFormatting sqref="M371">
    <cfRule type="expression" dxfId="608" priority="609" stopIfTrue="1">
      <formula>IF(OR(#REF!="not",#REF!="resign",#REF!="resign",#REF!="end",#REF!="terminated",#REF!="permanent"),"TRUE","FALSE")</formula>
    </cfRule>
  </conditionalFormatting>
  <conditionalFormatting sqref="BD372">
    <cfRule type="expression" dxfId="609" priority="610" stopIfTrue="1">
      <formula>IF(OR(#REF!="not",#REF!="resign",#REF!="resign",#REF!="end",#REF!="terminated",#REF!="permanent"),"TRUE","FALSE")</formula>
    </cfRule>
  </conditionalFormatting>
  <conditionalFormatting sqref="AG372">
    <cfRule type="expression" dxfId="610" priority="611" stopIfTrue="1">
      <formula>NOT(ISERROR(SEARCH("warning",AG372)))</formula>
    </cfRule>
  </conditionalFormatting>
  <conditionalFormatting sqref="R372:U372;AX372;E372;Z372:AA372;K372:L372;AP372:AS372">
    <cfRule type="expression" dxfId="611" priority="612" stopIfTrue="1">
      <formula>IF(OR(#REF!="not",#REF!="resign",#REF!="resign",#REF!="end",#REF!="terminated",#REF!="permanent"),"TRUE","FALSE")</formula>
    </cfRule>
  </conditionalFormatting>
  <conditionalFormatting sqref="AK372:AL372;AN372">
    <cfRule type="expression" dxfId="612" priority="613" stopIfTrue="1">
      <formula>IF(OR(#REF!="not",#REF!="resign",#REF!="resign",#REF!="end",#REF!="terminated",#REF!="permanent"),"TRUE","FALSE")</formula>
    </cfRule>
  </conditionalFormatting>
  <conditionalFormatting sqref="AO372">
    <cfRule type="expression" dxfId="613" priority="614" stopIfTrue="1">
      <formula>IF(OR(#REF!="not",#REF!="resign",#REF!="resign",#REF!="end",#REF!="terminated",#REF!="permanent"),"TRUE","FALSE")</formula>
    </cfRule>
  </conditionalFormatting>
  <conditionalFormatting sqref="AM372">
    <cfRule type="expression" dxfId="614" priority="615" stopIfTrue="1">
      <formula>IF(OR(#REF!="not",#REF!="resign",#REF!="resign",#REF!="end",#REF!="terminated",#REF!="permanent"),"TRUE","FALSE")</formula>
    </cfRule>
  </conditionalFormatting>
  <conditionalFormatting sqref="AQ373:AS373;BD373">
    <cfRule type="expression" dxfId="615" priority="616" stopIfTrue="1">
      <formula>IF(OR(#REF!="not",#REF!="resign",#REF!="resign",#REF!="end",#REF!="terminated",#REF!="permanent"),"TRUE","FALSE")</formula>
    </cfRule>
  </conditionalFormatting>
  <conditionalFormatting sqref="M373">
    <cfRule type="expression" dxfId="616" priority="617" stopIfTrue="1">
      <formula>IF(OR($BF373="not",$BF373="resign",$BF373="resign",$BF373="end",$BF373="terminated",$BF373="permanent"),"TRUE","FALSE")</formula>
    </cfRule>
  </conditionalFormatting>
  <conditionalFormatting sqref="AG373">
    <cfRule type="expression" dxfId="617" priority="618" stopIfTrue="1">
      <formula>NOT(ISERROR(SEARCH("warning",AG373)))</formula>
    </cfRule>
  </conditionalFormatting>
  <conditionalFormatting sqref="R373:U373;AX373;E373;Z373:AA373">
    <cfRule type="expression" dxfId="618" priority="619" stopIfTrue="1">
      <formula>IF(OR(#REF!="not",#REF!="resign",#REF!="resign",#REF!="end",#REF!="terminated",#REF!="permanent"),"TRUE","FALSE")</formula>
    </cfRule>
  </conditionalFormatting>
  <conditionalFormatting sqref="AP373;AK373:AN373">
    <cfRule type="expression" dxfId="619" priority="620" stopIfTrue="1">
      <formula>IF(OR(#REF!="not",#REF!="resign",#REF!="resign",#REF!="end",#REF!="terminated",#REF!="permanent"),"TRUE","FALSE")</formula>
    </cfRule>
  </conditionalFormatting>
  <conditionalFormatting sqref="AO373">
    <cfRule type="expression" dxfId="620" priority="621" stopIfTrue="1">
      <formula>IF(OR(#REF!="not",#REF!="resign",#REF!="resign",#REF!="end",#REF!="terminated",#REF!="permanent"),"TRUE","FALSE")</formula>
    </cfRule>
  </conditionalFormatting>
  <conditionalFormatting sqref="K373:L373">
    <cfRule type="expression" dxfId="621" priority="622" stopIfTrue="1">
      <formula>IF(OR(#REF!="not",#REF!="resign",#REF!="resign",#REF!="end",#REF!="terminated",#REF!="permanent"),"TRUE","FALSE")</formula>
    </cfRule>
  </conditionalFormatting>
  <conditionalFormatting sqref="BD374:BD375">
    <cfRule type="expression" dxfId="622" priority="623" stopIfTrue="1">
      <formula>IF(OR(#REF!="not",#REF!="resign",#REF!="resign",#REF!="end",#REF!="terminated",#REF!="permanent"),"TRUE","FALSE")</formula>
    </cfRule>
  </conditionalFormatting>
  <conditionalFormatting sqref="M374:M375">
    <cfRule type="expression" dxfId="623" priority="624" stopIfTrue="1">
      <formula>IF(OR($BF374="not",$BF374="resign",$BF374="resign",$BF374="end",$BF374="terminated",$BF374="permanent"),"TRUE","FALSE")</formula>
    </cfRule>
  </conditionalFormatting>
  <conditionalFormatting sqref="AG374:AG375">
    <cfRule type="expression" dxfId="624" priority="625" stopIfTrue="1">
      <formula>NOT(ISERROR(SEARCH("warning",AG374)))</formula>
    </cfRule>
  </conditionalFormatting>
  <conditionalFormatting sqref="AX374:AX375;R374:U375;AO374:AP375;K374:L375;E374:E375;Z374:AA375">
    <cfRule type="expression" dxfId="625" priority="626" stopIfTrue="1">
      <formula>IF(OR(#REF!="not",#REF!="resign",#REF!="resign",#REF!="end",#REF!="terminated",#REF!="permanent"),"TRUE","FALSE")</formula>
    </cfRule>
  </conditionalFormatting>
  <conditionalFormatting sqref="AK374:AN375">
    <cfRule type="expression" dxfId="626" priority="627" stopIfTrue="1">
      <formula>IF(OR(#REF!="not",#REF!="resign",#REF!="resign",#REF!="end",#REF!="terminated",#REF!="permanent"),"TRUE","FALSE")</formula>
    </cfRule>
  </conditionalFormatting>
  <conditionalFormatting sqref="AQ374:AS375">
    <cfRule type="expression" dxfId="627" priority="628" stopIfTrue="1">
      <formula>IF(OR(#REF!="not",#REF!="resign",#REF!="resign",#REF!="end",#REF!="terminated",#REF!="permanent"),"TRUE","FALSE")</formula>
    </cfRule>
  </conditionalFormatting>
  <conditionalFormatting sqref="AK208:AP208;AK209:AL209;AN209:AP209;AK210:AP212;AK213:AL213;AN213:AP213;AK216:AL216;AN216:AP216;AK214:AP215">
    <cfRule type="expression" dxfId="628" priority="629" stopIfTrue="1">
      <formula>IF(OR(#REF!="not",#REF!="resign",#REF!="resign",#REF!="end",#REF!="terminated",#REF!="permanent"),"TRUE","FALSE")</formula>
    </cfRule>
  </conditionalFormatting>
  <conditionalFormatting sqref="E208:E216;R208:U216;K208:K216">
    <cfRule type="expression" dxfId="629" priority="630" stopIfTrue="1">
      <formula>IF(OR(#REF!="not",#REF!="resign",#REF!="resign",#REF!="end",#REF!="terminated",#REF!="permanent"),"TRUE","FALSE")</formula>
    </cfRule>
  </conditionalFormatting>
  <conditionalFormatting sqref="L208:L216">
    <cfRule type="expression" dxfId="630" priority="631" stopIfTrue="1">
      <formula>IF(OR(#REF!="not",#REF!="resign",#REF!="resign",#REF!="end",#REF!="terminated",#REF!="permanent"),"TRUE","FALSE")</formula>
    </cfRule>
  </conditionalFormatting>
  <conditionalFormatting sqref="E217;R217:U217;K217">
    <cfRule type="expression" dxfId="631" priority="632" stopIfTrue="1">
      <formula>IF(OR(#REF!="not",#REF!="resign",#REF!="resign",#REF!="end",#REF!="terminated",#REF!="permanent"),"TRUE","FALSE")</formula>
    </cfRule>
  </conditionalFormatting>
  <conditionalFormatting sqref="L217;AQ208:AS217">
    <cfRule type="expression" dxfId="632" priority="633" stopIfTrue="1">
      <formula>IF(OR(#REF!="not",#REF!="resign",#REF!="resign",#REF!="end",#REF!="terminated",#REF!="permanent"),"TRUE","FALSE")</formula>
    </cfRule>
  </conditionalFormatting>
  <conditionalFormatting sqref="AM209">
    <cfRule type="expression" dxfId="633" priority="634" stopIfTrue="1">
      <formula>IF(OR(#REF!="not",#REF!="resign",#REF!="resign",#REF!="end",#REF!="terminated",#REF!="permanent"),"TRUE","FALSE")</formula>
    </cfRule>
  </conditionalFormatting>
  <conditionalFormatting sqref="AM213">
    <cfRule type="expression" dxfId="634" priority="635" stopIfTrue="1">
      <formula>IF(OR(#REF!="not",#REF!="resign",#REF!="resign",#REF!="end",#REF!="terminated",#REF!="permanent"),"TRUE","FALSE")</formula>
    </cfRule>
  </conditionalFormatting>
  <conditionalFormatting sqref="AM216">
    <cfRule type="expression" dxfId="635" priority="636" stopIfTrue="1">
      <formula>IF(OR(#REF!="not",#REF!="resign",#REF!="resign",#REF!="end",#REF!="terminated",#REF!="permanent"),"TRUE","FALSE")</formula>
    </cfRule>
  </conditionalFormatting>
  <conditionalFormatting sqref="AM82">
    <cfRule type="expression" dxfId="636" priority="637" stopIfTrue="1">
      <formula>IF(OR(#REF!="not",#REF!="resign",#REF!="resign",#REF!="end",#REF!="terminated",#REF!="permanent"),"TRUE","FALSE")</formula>
    </cfRule>
  </conditionalFormatting>
  <conditionalFormatting sqref="M218:M224">
    <cfRule type="expression" dxfId="637" priority="638" stopIfTrue="1">
      <formula>IF(OR($BF218="not",$BF218="resign",$BF218="resign",$BF218="end",$BF218="terminated",$BF218="permanent"),"TRUE","FALSE")</formula>
    </cfRule>
  </conditionalFormatting>
  <conditionalFormatting sqref="AK218:AP224;Z218:AA224;AX218:AX224">
    <cfRule type="expression" dxfId="638" priority="639" stopIfTrue="1">
      <formula>IF(OR(#REF!="not",#REF!="resign",#REF!="resign",#REF!="end",#REF!="terminated",#REF!="permanent"),"TRUE","FALSE")</formula>
    </cfRule>
  </conditionalFormatting>
  <conditionalFormatting sqref="E218:E224;R218:U224;K218:K224">
    <cfRule type="expression" dxfId="639" priority="640" stopIfTrue="1">
      <formula>IF(OR(#REF!="not",#REF!="resign",#REF!="resign",#REF!="end",#REF!="terminated",#REF!="permanent"),"TRUE","FALSE")</formula>
    </cfRule>
  </conditionalFormatting>
  <conditionalFormatting sqref="L222:L224">
    <cfRule type="expression" dxfId="640" priority="641" stopIfTrue="1">
      <formula>IF(OR(#REF!="not",#REF!="resign",#REF!="resign",#REF!="end",#REF!="terminated",#REF!="permanent"),"TRUE","FALSE")</formula>
    </cfRule>
  </conditionalFormatting>
  <conditionalFormatting sqref="L218:L221">
    <cfRule type="expression" dxfId="641" priority="642" stopIfTrue="1">
      <formula>IF(OR(#REF!="not",#REF!="resign",#REF!="resign",#REF!="end",#REF!="terminated",#REF!="permanent"),"TRUE","FALSE")</formula>
    </cfRule>
  </conditionalFormatting>
  <conditionalFormatting sqref="AQ218:AS224">
    <cfRule type="expression" dxfId="642" priority="643" stopIfTrue="1">
      <formula>IF(OR(#REF!="not",#REF!="resign",#REF!="resign",#REF!="end",#REF!="terminated",#REF!="permanent"),"TRUE","FALSE")</formula>
    </cfRule>
  </conditionalFormatting>
  <conditionalFormatting sqref="BD376">
    <cfRule type="expression" dxfId="643" priority="644" stopIfTrue="1">
      <formula>IF(OR(#REF!="not",#REF!="resign",#REF!="resign",#REF!="end",#REF!="terminated",#REF!="permanent"),"TRUE","FALSE")</formula>
    </cfRule>
  </conditionalFormatting>
  <conditionalFormatting sqref="M376">
    <cfRule type="expression" dxfId="644" priority="645" stopIfTrue="1">
      <formula>IF(OR($BF376="not",$BF376="resign",$BF376="resign",$BF376="end",$BF376="terminated",$BF376="permanent"),"TRUE","FALSE")</formula>
    </cfRule>
  </conditionalFormatting>
  <conditionalFormatting sqref="AX376;Z376:AA376">
    <cfRule type="expression" dxfId="645" priority="646" stopIfTrue="1">
      <formula>IF(OR(#REF!="not",#REF!="resign",#REF!="resign",#REF!="end",#REF!="terminated",#REF!="permanent"),"TRUE","FALSE")</formula>
    </cfRule>
  </conditionalFormatting>
  <conditionalFormatting sqref="AG376">
    <cfRule type="expression" dxfId="646" priority="647" stopIfTrue="1">
      <formula>NOT(ISERROR(SEARCH("warning",AG376)))</formula>
    </cfRule>
  </conditionalFormatting>
  <conditionalFormatting sqref="R376:U376;E376;K376;AK376:AL376;AN376:AP376">
    <cfRule type="expression" dxfId="647" priority="648" stopIfTrue="1">
      <formula>IF(OR(#REF!="not",#REF!="resign",#REF!="resign",#REF!="end",#REF!="terminated",#REF!="permanent"),"TRUE","FALSE")</formula>
    </cfRule>
  </conditionalFormatting>
  <conditionalFormatting sqref="L376;AQ376:AS376">
    <cfRule type="expression" dxfId="648" priority="649" stopIfTrue="1">
      <formula>IF(OR(#REF!="not",#REF!="resign",#REF!="resign",#REF!="end",#REF!="terminated",#REF!="permanent"),"TRUE","FALSE")</formula>
    </cfRule>
  </conditionalFormatting>
  <conditionalFormatting sqref="AM376">
    <cfRule type="expression" dxfId="649" priority="650" stopIfTrue="1">
      <formula>IF(OR(#REF!="not",#REF!="resign",#REF!="resign",#REF!="end",#REF!="terminated",#REF!="permanent"),"TRUE","FALSE")</formula>
    </cfRule>
  </conditionalFormatting>
  <conditionalFormatting sqref="M225:M234">
    <cfRule type="expression" dxfId="650" priority="651" stopIfTrue="1">
      <formula>IF(OR($BF225="not",$BF225="resign",$BF225="resign",$BF225="end",$BF225="terminated",$BF225="permanent"),"TRUE","FALSE")</formula>
    </cfRule>
  </conditionalFormatting>
  <conditionalFormatting sqref="AK225:AP234;Z225:AA234;AX225:AX234">
    <cfRule type="expression" dxfId="651" priority="652" stopIfTrue="1">
      <formula>IF(OR(#REF!="not",#REF!="resign",#REF!="resign",#REF!="end",#REF!="terminated",#REF!="permanent"),"TRUE","FALSE")</formula>
    </cfRule>
  </conditionalFormatting>
  <conditionalFormatting sqref="E225:E234;R225:U234;K225:K234">
    <cfRule type="expression" dxfId="652" priority="653" stopIfTrue="1">
      <formula>IF(OR(#REF!="not",#REF!="resign",#REF!="resign",#REF!="end",#REF!="terminated",#REF!="permanent"),"TRUE","FALSE")</formula>
    </cfRule>
  </conditionalFormatting>
  <conditionalFormatting sqref="L225:L234">
    <cfRule type="expression" dxfId="653" priority="654" stopIfTrue="1">
      <formula>IF(OR(#REF!="not",#REF!="resign",#REF!="resign",#REF!="end",#REF!="terminated",#REF!="permanent"),"TRUE","FALSE")</formula>
    </cfRule>
  </conditionalFormatting>
  <conditionalFormatting sqref="AQ225:AS234">
    <cfRule type="expression" dxfId="654" priority="655" stopIfTrue="1">
      <formula>IF(OR(#REF!="not",#REF!="resign",#REF!="resign",#REF!="end",#REF!="terminated",#REF!="permanent"),"TRUE","FALSE")</formula>
    </cfRule>
  </conditionalFormatting>
  <conditionalFormatting sqref="M235">
    <cfRule type="expression" dxfId="655" priority="656" stopIfTrue="1">
      <formula>IF(OR($BF235="not",$BF235="resign",$BF235="resign",$BF235="end",$BF235="terminated",$BF235="permanent"),"TRUE","FALSE")</formula>
    </cfRule>
  </conditionalFormatting>
  <conditionalFormatting sqref="AK235:AP235;Z235:AA235;AX235">
    <cfRule type="expression" dxfId="656" priority="657" stopIfTrue="1">
      <formula>IF(OR(#REF!="not",#REF!="resign",#REF!="resign",#REF!="end",#REF!="terminated",#REF!="permanent"),"TRUE","FALSE")</formula>
    </cfRule>
  </conditionalFormatting>
  <conditionalFormatting sqref="E235;R235:U235;K235">
    <cfRule type="expression" dxfId="657" priority="658" stopIfTrue="1">
      <formula>IF(OR(#REF!="not",#REF!="resign",#REF!="resign",#REF!="end",#REF!="terminated",#REF!="permanent"),"TRUE","FALSE")</formula>
    </cfRule>
  </conditionalFormatting>
  <conditionalFormatting sqref="L235">
    <cfRule type="expression" dxfId="658" priority="659" stopIfTrue="1">
      <formula>IF(OR(#REF!="not",#REF!="resign",#REF!="resign",#REF!="end",#REF!="terminated",#REF!="permanent"),"TRUE","FALSE")</formula>
    </cfRule>
  </conditionalFormatting>
  <conditionalFormatting sqref="AQ235:AS235">
    <cfRule type="expression" dxfId="659" priority="660" stopIfTrue="1">
      <formula>IF(OR(#REF!="not",#REF!="resign",#REF!="resign",#REF!="end",#REF!="terminated",#REF!="permanent"),"TRUE","FALSE")</formula>
    </cfRule>
  </conditionalFormatting>
  <conditionalFormatting sqref="M236">
    <cfRule type="expression" dxfId="660" priority="661" stopIfTrue="1">
      <formula>IF(OR($BF236="not",$BF236="resign",$BF236="resign",$BF236="end",$BF236="terminated",$BF236="permanent"),"TRUE","FALSE")</formula>
    </cfRule>
  </conditionalFormatting>
  <conditionalFormatting sqref="AK236:AP236;Z236:AA236;AX236">
    <cfRule type="expression" dxfId="661" priority="662" stopIfTrue="1">
      <formula>IF(OR(#REF!="not",#REF!="resign",#REF!="resign",#REF!="end",#REF!="terminated",#REF!="permanent"),"TRUE","FALSE")</formula>
    </cfRule>
  </conditionalFormatting>
  <conditionalFormatting sqref="E236;R236:U236;K236">
    <cfRule type="expression" dxfId="662" priority="663" stopIfTrue="1">
      <formula>IF(OR(#REF!="not",#REF!="resign",#REF!="resign",#REF!="end",#REF!="terminated",#REF!="permanent"),"TRUE","FALSE")</formula>
    </cfRule>
  </conditionalFormatting>
  <conditionalFormatting sqref="L236">
    <cfRule type="expression" dxfId="663" priority="664" stopIfTrue="1">
      <formula>IF(OR(#REF!="not",#REF!="resign",#REF!="resign",#REF!="end",#REF!="terminated",#REF!="permanent"),"TRUE","FALSE")</formula>
    </cfRule>
  </conditionalFormatting>
  <conditionalFormatting sqref="M237">
    <cfRule type="expression" dxfId="664" priority="665" stopIfTrue="1">
      <formula>IF(OR($BF237="not",$BF237="resign",$BF237="resign",$BF237="end",$BF237="terminated",$BF237="permanent"),"TRUE","FALSE")</formula>
    </cfRule>
  </conditionalFormatting>
  <conditionalFormatting sqref="AK237:AP237;Z237:AA237;AX237">
    <cfRule type="expression" dxfId="665" priority="666" stopIfTrue="1">
      <formula>IF(OR(#REF!="not",#REF!="resign",#REF!="resign",#REF!="end",#REF!="terminated",#REF!="permanent"),"TRUE","FALSE")</formula>
    </cfRule>
  </conditionalFormatting>
  <conditionalFormatting sqref="E237;R237:U237;K237">
    <cfRule type="expression" dxfId="666" priority="667" stopIfTrue="1">
      <formula>IF(OR(#REF!="not",#REF!="resign",#REF!="resign",#REF!="end",#REF!="terminated",#REF!="permanent"),"TRUE","FALSE")</formula>
    </cfRule>
  </conditionalFormatting>
  <conditionalFormatting sqref="L237">
    <cfRule type="expression" dxfId="667" priority="668" stopIfTrue="1">
      <formula>IF(OR(#REF!="not",#REF!="resign",#REF!="resign",#REF!="end",#REF!="terminated",#REF!="permanent"),"TRUE","FALSE")</formula>
    </cfRule>
  </conditionalFormatting>
  <conditionalFormatting sqref="AQ236:AS237">
    <cfRule type="expression" dxfId="668" priority="669" stopIfTrue="1">
      <formula>IF(OR(#REF!="not",#REF!="resign",#REF!="resign",#REF!="end",#REF!="terminated",#REF!="permanent"),"TRUE","FALSE")</formula>
    </cfRule>
  </conditionalFormatting>
  <conditionalFormatting sqref="M238">
    <cfRule type="expression" dxfId="669" priority="670" stopIfTrue="1">
      <formula>IF(OR($BF238="not",$BF238="resign",$BF238="resign",$BF238="end",$BF238="terminated",$BF238="permanent"),"TRUE","FALSE")</formula>
    </cfRule>
  </conditionalFormatting>
  <conditionalFormatting sqref="AK238:AP238;Z238:AA238;AX238">
    <cfRule type="expression" dxfId="670" priority="671" stopIfTrue="1">
      <formula>IF(OR(#REF!="not",#REF!="resign",#REF!="resign",#REF!="end",#REF!="terminated",#REF!="permanent"),"TRUE","FALSE")</formula>
    </cfRule>
  </conditionalFormatting>
  <conditionalFormatting sqref="E238;R238:U238;K238">
    <cfRule type="expression" dxfId="671" priority="672" stopIfTrue="1">
      <formula>IF(OR(#REF!="not",#REF!="resign",#REF!="resign",#REF!="end",#REF!="terminated",#REF!="permanent"),"TRUE","FALSE")</formula>
    </cfRule>
  </conditionalFormatting>
  <conditionalFormatting sqref="L238">
    <cfRule type="expression" dxfId="672" priority="673" stopIfTrue="1">
      <formula>IF(OR(#REF!="not",#REF!="resign",#REF!="resign",#REF!="end",#REF!="terminated",#REF!="permanent"),"TRUE","FALSE")</formula>
    </cfRule>
  </conditionalFormatting>
  <conditionalFormatting sqref="AQ238:AS238">
    <cfRule type="expression" dxfId="673" priority="674" stopIfTrue="1">
      <formula>IF(OR(#REF!="not",#REF!="resign",#REF!="resign",#REF!="end",#REF!="terminated",#REF!="permanent"),"TRUE","FALSE")</formula>
    </cfRule>
  </conditionalFormatting>
  <conditionalFormatting sqref="C79">
    <cfRule type="expression" dxfId="674" priority="675" stopIfTrue="1">
      <formula>IF(OR(#REF!="not",#REF!="resign",#REF!="resign",#REF!="end",#REF!="terminated",#REF!="permanent"),"TRUE","FALSE")</formula>
    </cfRule>
  </conditionalFormatting>
  <conditionalFormatting sqref="M239">
    <cfRule type="expression" dxfId="675" priority="676" stopIfTrue="1">
      <formula>IF(OR($BF239="not",$BF239="resign",$BF239="resign",$BF239="end",$BF239="terminated",$BF239="permanent"),"TRUE","FALSE")</formula>
    </cfRule>
  </conditionalFormatting>
  <conditionalFormatting sqref="AK239:AP239;Z239:AA239;AX239">
    <cfRule type="expression" dxfId="676" priority="677" stopIfTrue="1">
      <formula>IF(OR(#REF!="not",#REF!="resign",#REF!="resign",#REF!="end",#REF!="terminated",#REF!="permanent"),"TRUE","FALSE")</formula>
    </cfRule>
  </conditionalFormatting>
  <conditionalFormatting sqref="E239;R239:U239;K239">
    <cfRule type="expression" dxfId="677" priority="678" stopIfTrue="1">
      <formula>IF(OR(#REF!="not",#REF!="resign",#REF!="resign",#REF!="end",#REF!="terminated",#REF!="permanent"),"TRUE","FALSE")</formula>
    </cfRule>
  </conditionalFormatting>
  <conditionalFormatting sqref="L239">
    <cfRule type="expression" dxfId="678" priority="679" stopIfTrue="1">
      <formula>IF(OR(#REF!="not",#REF!="resign",#REF!="resign",#REF!="end",#REF!="terminated",#REF!="permanent"),"TRUE","FALSE")</formula>
    </cfRule>
  </conditionalFormatting>
  <conditionalFormatting sqref="M240">
    <cfRule type="expression" dxfId="679" priority="680" stopIfTrue="1">
      <formula>IF(OR($BF240="not",$BF240="resign",$BF240="resign",$BF240="end",$BF240="terminated",$BF240="permanent"),"TRUE","FALSE")</formula>
    </cfRule>
  </conditionalFormatting>
  <conditionalFormatting sqref="AK240:AP240;Z240:AA240;AX240">
    <cfRule type="expression" dxfId="680" priority="681" stopIfTrue="1">
      <formula>IF(OR(#REF!="not",#REF!="resign",#REF!="resign",#REF!="end",#REF!="terminated",#REF!="permanent"),"TRUE","FALSE")</formula>
    </cfRule>
  </conditionalFormatting>
  <conditionalFormatting sqref="E240;R240:U240">
    <cfRule type="expression" dxfId="681" priority="682" stopIfTrue="1">
      <formula>IF(OR(#REF!="not",#REF!="resign",#REF!="resign",#REF!="end",#REF!="terminated",#REF!="permanent"),"TRUE","FALSE")</formula>
    </cfRule>
  </conditionalFormatting>
  <conditionalFormatting sqref="AQ239:AS240;BD377:BD379;BD260">
    <cfRule type="expression" dxfId="682" priority="683" stopIfTrue="1">
      <formula>IF(OR(#REF!="not",#REF!="resign",#REF!="resign",#REF!="end",#REF!="terminated",#REF!="permanent"),"TRUE","FALSE")</formula>
    </cfRule>
  </conditionalFormatting>
  <conditionalFormatting sqref="K240">
    <cfRule type="expression" dxfId="683" priority="684" stopIfTrue="1">
      <formula>IF(OR(#REF!="not",#REF!="resign",#REF!="resign",#REF!="end",#REF!="terminated",#REF!="permanent"),"TRUE","FALSE")</formula>
    </cfRule>
  </conditionalFormatting>
  <conditionalFormatting sqref="L240">
    <cfRule type="expression" dxfId="684" priority="685" stopIfTrue="1">
      <formula>IF(OR(#REF!="not",#REF!="resign",#REF!="resign",#REF!="end",#REF!="terminated",#REF!="permanent"),"TRUE","FALSE")</formula>
    </cfRule>
  </conditionalFormatting>
  <conditionalFormatting sqref="W377;P377:U377">
    <cfRule type="expression" dxfId="685" priority="686" stopIfTrue="1">
      <formula>IF(OR(#REF!="not",#REF!="resign",#REF!="permanent",#REF!="terminated"),"true","false")</formula>
    </cfRule>
  </conditionalFormatting>
  <conditionalFormatting sqref="AG377:AG381">
    <cfRule type="expression" dxfId="686" priority="687" stopIfTrue="1">
      <formula>NOT(ISERROR(SEARCH("warning",AG377)))</formula>
    </cfRule>
  </conditionalFormatting>
  <conditionalFormatting sqref="AT377:BC377">
    <cfRule type="expression" dxfId="687" priority="688" stopIfTrue="1">
      <formula>IF(OR(#REF!="not",#REF!="resign",#REF!="resign",#REF!="end",#REF!="terminated",#REF!="permanent"),"TRUE","FALSE")</formula>
    </cfRule>
  </conditionalFormatting>
  <conditionalFormatting sqref="AO377;AH377:AJ377">
    <cfRule type="expression" dxfId="688" priority="689" stopIfTrue="1">
      <formula>IF(OR(#REF!="not",#REF!="resign",#REF!="resign",#REF!="end",#REF!="terminated",#REF!="permanent"),"TRUE","FALSE")</formula>
    </cfRule>
  </conditionalFormatting>
  <conditionalFormatting sqref="M377">
    <cfRule type="expression" dxfId="689" priority="690" stopIfTrue="1">
      <formula>IF(OR(#REF!="not",#REF!="resign",#REF!="resign",#REF!="end",#REF!="terminated",#REF!="permanent"),"TRUE","FALSE")</formula>
    </cfRule>
  </conditionalFormatting>
  <conditionalFormatting sqref="AQ377:AS377">
    <cfRule type="expression" dxfId="690" priority="691" stopIfTrue="1">
      <formula>IF(OR(#REF!="not",#REF!="resign",#REF!="resign",#REF!="end",#REF!="terminated",#REF!="permanent"),"TRUE","FALSE")</formula>
    </cfRule>
  </conditionalFormatting>
  <conditionalFormatting sqref="R260:U260;AX260;E260;Z260:AA260;L260">
    <cfRule type="expression" dxfId="691" priority="692" stopIfTrue="1">
      <formula>IF(OR(#REF!="not",#REF!="resign",#REF!="resign",#REF!="end",#REF!="terminated",#REF!="permanent"),"TRUE","FALSE")</formula>
    </cfRule>
  </conditionalFormatting>
  <conditionalFormatting sqref="AK260:AL260;AN260:AP260">
    <cfRule type="expression" dxfId="692" priority="693" stopIfTrue="1">
      <formula>IF(OR(#REF!="not",#REF!="resign",#REF!="resign",#REF!="end",#REF!="terminated",#REF!="permanent"),"TRUE","FALSE")</formula>
    </cfRule>
  </conditionalFormatting>
  <conditionalFormatting sqref="K260">
    <cfRule type="expression" dxfId="693" priority="694" stopIfTrue="1">
      <formula>IF(OR(#REF!="not",#REF!="resign",#REF!="resign",#REF!="end",#REF!="terminated",#REF!="permanent"),"TRUE","FALSE")</formula>
    </cfRule>
  </conditionalFormatting>
  <conditionalFormatting sqref="AG260:AG261">
    <cfRule type="expression" dxfId="694" priority="695" stopIfTrue="1">
      <formula>NOT(ISERROR(SEARCH("warning",AG260)))</formula>
    </cfRule>
  </conditionalFormatting>
  <conditionalFormatting sqref="AM260">
    <cfRule type="expression" dxfId="695" priority="696" stopIfTrue="1">
      <formula>IF(OR(#REF!="not",#REF!="resign",#REF!="resign",#REF!="end",#REF!="terminated",#REF!="permanent"),"TRUE","FALSE")</formula>
    </cfRule>
  </conditionalFormatting>
  <conditionalFormatting sqref="AQ260:AS260">
    <cfRule type="expression" dxfId="696" priority="697" stopIfTrue="1">
      <formula>IF(OR(#REF!="not",#REF!="resign",#REF!="resign",#REF!="end",#REF!="terminated",#REF!="permanent"),"TRUE","FALSE")</formula>
    </cfRule>
  </conditionalFormatting>
  <conditionalFormatting sqref="AK379:AN379;AP378:AS379;R378:U379;AX378:AX379;E378:E379;Z378:AA379;K378:L379">
    <cfRule type="expression" dxfId="697" priority="698" stopIfTrue="1">
      <formula>IF(OR(#REF!="not",#REF!="resign",#REF!="resign",#REF!="end",#REF!="terminated",#REF!="permanent"),"TRUE","FALSE")</formula>
    </cfRule>
  </conditionalFormatting>
  <conditionalFormatting sqref="AK378:AL378;AN378">
    <cfRule type="expression" dxfId="698" priority="699" stopIfTrue="1">
      <formula>IF(OR(#REF!="not",#REF!="resign",#REF!="resign",#REF!="end",#REF!="terminated",#REF!="permanent"),"TRUE","FALSE")</formula>
    </cfRule>
  </conditionalFormatting>
  <conditionalFormatting sqref="AO378">
    <cfRule type="expression" dxfId="699" priority="700" stopIfTrue="1">
      <formula>IF(OR(#REF!="not",#REF!="resign",#REF!="resign",#REF!="end",#REF!="terminated",#REF!="permanent"),"TRUE","FALSE")</formula>
    </cfRule>
  </conditionalFormatting>
  <conditionalFormatting sqref="AM378">
    <cfRule type="expression" dxfId="700" priority="701" stopIfTrue="1">
      <formula>IF(OR(#REF!="not",#REF!="resign",#REF!="resign",#REF!="end",#REF!="terminated",#REF!="permanent"),"TRUE","FALSE")</formula>
    </cfRule>
  </conditionalFormatting>
  <conditionalFormatting sqref="AO379">
    <cfRule type="expression" dxfId="701" priority="702" stopIfTrue="1">
      <formula>IF(OR(#REF!="not",#REF!="resign",#REF!="resign",#REF!="end",#REF!="terminated",#REF!="permanent"),"TRUE","FALSE")</formula>
    </cfRule>
  </conditionalFormatting>
  <conditionalFormatting sqref="BD380:BD381">
    <cfRule type="expression" dxfId="702" priority="703" stopIfTrue="1">
      <formula>IF(OR(#REF!="not",#REF!="resign",#REF!="resign",#REF!="end",#REF!="terminated",#REF!="permanent"),"TRUE","FALSE")</formula>
    </cfRule>
  </conditionalFormatting>
  <conditionalFormatting sqref="AK380:AP380;AX380;Z380:AA380">
    <cfRule type="expression" dxfId="703" priority="704" stopIfTrue="1">
      <formula>IF(OR(#REF!="not",#REF!="resign",#REF!="resign",#REF!="end",#REF!="terminated",#REF!="permanent"),"TRUE","FALSE")</formula>
    </cfRule>
  </conditionalFormatting>
  <conditionalFormatting sqref="M380">
    <cfRule type="expression" dxfId="704" priority="705" stopIfTrue="1">
      <formula>IF(OR($BF380="not",$BF380="resign",$BF380="resign",$BF380="end",$BF380="terminated",$BF380="permanent"),"TRUE","FALSE")</formula>
    </cfRule>
  </conditionalFormatting>
  <conditionalFormatting sqref="K380;E380;R380:U380">
    <cfRule type="expression" dxfId="705" priority="706" stopIfTrue="1">
      <formula>IF(OR(#REF!="not",#REF!="resign",#REF!="resign",#REF!="end",#REF!="terminated",#REF!="permanent"),"TRUE","FALSE")</formula>
    </cfRule>
  </conditionalFormatting>
  <conditionalFormatting sqref="L380">
    <cfRule type="expression" dxfId="706" priority="707" stopIfTrue="1">
      <formula>IF(OR(#REF!="not",#REF!="resign",#REF!="resign",#REF!="end",#REF!="terminated",#REF!="permanent"),"TRUE","FALSE")</formula>
    </cfRule>
  </conditionalFormatting>
  <conditionalFormatting sqref="AQ380:AS380">
    <cfRule type="expression" dxfId="707" priority="708" stopIfTrue="1">
      <formula>IF(OR(#REF!="not",#REF!="resign",#REF!="resign",#REF!="end",#REF!="terminated",#REF!="permanent"),"TRUE","FALSE")</formula>
    </cfRule>
  </conditionalFormatting>
  <conditionalFormatting sqref="M381">
    <cfRule type="expression" dxfId="708" priority="709" stopIfTrue="1">
      <formula>IF(OR($BF381="not",$BF381="resign",$BF381="resign",$BF381="end",$BF381="terminated",$BF381="permanent"),"TRUE","FALSE")</formula>
    </cfRule>
  </conditionalFormatting>
  <conditionalFormatting sqref="Z381:AA381;AX381;AK381:AL381;AN381:AP381">
    <cfRule type="expression" dxfId="709" priority="710" stopIfTrue="1">
      <formula>IF(OR(#REF!="not",#REF!="resign",#REF!="resign",#REF!="end",#REF!="terminated",#REF!="permanent"),"TRUE","FALSE")</formula>
    </cfRule>
  </conditionalFormatting>
  <conditionalFormatting sqref="E381;R381:U381;K381">
    <cfRule type="expression" dxfId="710" priority="711" stopIfTrue="1">
      <formula>IF(OR(#REF!="not",#REF!="resign",#REF!="resign",#REF!="end",#REF!="terminated",#REF!="permanent"),"TRUE","FALSE")</formula>
    </cfRule>
  </conditionalFormatting>
  <conditionalFormatting sqref="L381">
    <cfRule type="expression" dxfId="711" priority="712" stopIfTrue="1">
      <formula>IF(OR(#REF!="not",#REF!="resign",#REF!="resign",#REF!="end",#REF!="terminated",#REF!="permanent"),"TRUE","FALSE")</formula>
    </cfRule>
  </conditionalFormatting>
  <conditionalFormatting sqref="AQ381:AS381">
    <cfRule type="expression" dxfId="712" priority="713" stopIfTrue="1">
      <formula>IF(OR(#REF!="not",#REF!="resign",#REF!="resign",#REF!="end",#REF!="terminated",#REF!="permanent"),"TRUE","FALSE")</formula>
    </cfRule>
  </conditionalFormatting>
  <conditionalFormatting sqref="AM381">
    <cfRule type="expression" dxfId="713" priority="714" stopIfTrue="1">
      <formula>IF(OR(#REF!="not",#REF!="resign",#REF!="resign",#REF!="end",#REF!="terminated",#REF!="permanent"),"TRUE","FALSE")</formula>
    </cfRule>
  </conditionalFormatting>
  <conditionalFormatting sqref="Z28">
    <cfRule type="expression" dxfId="714" priority="715" stopIfTrue="1">
      <formula>IF(OR(#REF!="not",#REF!="resign",#REF!="permanent",#REF!="terminated"),"true","false")</formula>
    </cfRule>
  </conditionalFormatting>
  <conditionalFormatting sqref="X29">
    <cfRule type="expression" dxfId="715" priority="716" stopIfTrue="1">
      <formula>IF(OR(#REF!="not",#REF!="resign",#REF!="permanent",#REF!="terminated"),"true","false")</formula>
    </cfRule>
  </conditionalFormatting>
  <conditionalFormatting sqref="M241:M247">
    <cfRule type="expression" dxfId="716" priority="717" stopIfTrue="1">
      <formula>IF(OR($BF241="not",$BF241="resign",$BF241="resign",$BF241="end",$BF241="terminated",$BF241="permanent"),"TRUE","FALSE")</formula>
    </cfRule>
  </conditionalFormatting>
  <conditionalFormatting sqref="AK241:AP247;Z241:AA247;AX241:AX247">
    <cfRule type="expression" dxfId="717" priority="718" stopIfTrue="1">
      <formula>IF(OR(#REF!="not",#REF!="resign",#REF!="resign",#REF!="end",#REF!="terminated",#REF!="permanent"),"TRUE","FALSE")</formula>
    </cfRule>
  </conditionalFormatting>
  <conditionalFormatting sqref="E241:E247;R241:U247">
    <cfRule type="expression" dxfId="718" priority="719" stopIfTrue="1">
      <formula>IF(OR(#REF!="not",#REF!="resign",#REF!="resign",#REF!="end",#REF!="terminated",#REF!="permanent"),"TRUE","FALSE")</formula>
    </cfRule>
  </conditionalFormatting>
  <conditionalFormatting sqref="K241:K247">
    <cfRule type="expression" dxfId="719" priority="720" stopIfTrue="1">
      <formula>IF(OR(#REF!="not",#REF!="resign",#REF!="resign",#REF!="end",#REF!="terminated",#REF!="permanent"),"TRUE","FALSE")</formula>
    </cfRule>
  </conditionalFormatting>
  <conditionalFormatting sqref="L241:L247">
    <cfRule type="expression" dxfId="720" priority="721" stopIfTrue="1">
      <formula>IF(OR(#REF!="not",#REF!="resign",#REF!="resign",#REF!="end",#REF!="terminated",#REF!="permanent"),"TRUE","FALSE")</formula>
    </cfRule>
  </conditionalFormatting>
  <conditionalFormatting sqref="AQ241:AS247">
    <cfRule type="expression" dxfId="721" priority="722" stopIfTrue="1">
      <formula>IF(OR(#REF!="not",#REF!="resign",#REF!="resign",#REF!="end",#REF!="terminated",#REF!="permanent"),"TRUE","FALSE")</formula>
    </cfRule>
  </conditionalFormatting>
  <conditionalFormatting sqref="AG248">
    <cfRule type="expression" dxfId="722" priority="723" stopIfTrue="1">
      <formula>NOT(ISERROR(SEARCH("warning",AG248)))</formula>
    </cfRule>
  </conditionalFormatting>
  <conditionalFormatting sqref="M248">
    <cfRule type="expression" dxfId="723" priority="724" stopIfTrue="1">
      <formula>IF(OR($BF248="not",$BF248="resign",$BF248="resign",$BF248="end",$BF248="terminated",$BF248="permanent"),"TRUE","FALSE")</formula>
    </cfRule>
  </conditionalFormatting>
  <conditionalFormatting sqref="AX248;Z248:AA248;AK248:AP248">
    <cfRule type="expression" dxfId="724" priority="725" stopIfTrue="1">
      <formula>IF(OR(#REF!="not",#REF!="resign",#REF!="resign",#REF!="end",#REF!="terminated",#REF!="permanent"),"TRUE","FALSE")</formula>
    </cfRule>
  </conditionalFormatting>
  <conditionalFormatting sqref="R248:U248;E248">
    <cfRule type="expression" dxfId="725" priority="726" stopIfTrue="1">
      <formula>IF(OR(#REF!="not",#REF!="resign",#REF!="resign",#REF!="end",#REF!="terminated",#REF!="permanent"),"TRUE","FALSE")</formula>
    </cfRule>
  </conditionalFormatting>
  <conditionalFormatting sqref="K248">
    <cfRule type="expression" dxfId="726" priority="727" stopIfTrue="1">
      <formula>IF(OR(#REF!="not",#REF!="resign",#REF!="resign",#REF!="end",#REF!="terminated",#REF!="permanent"),"TRUE","FALSE")</formula>
    </cfRule>
  </conditionalFormatting>
  <conditionalFormatting sqref="L248">
    <cfRule type="expression" dxfId="727" priority="728" stopIfTrue="1">
      <formula>IF(OR(#REF!="not",#REF!="resign",#REF!="resign",#REF!="end",#REF!="terminated",#REF!="permanent"),"TRUE","FALSE")</formula>
    </cfRule>
  </conditionalFormatting>
  <conditionalFormatting sqref="AQ248:AS248">
    <cfRule type="expression" dxfId="728" priority="729" stopIfTrue="1">
      <formula>IF(OR(#REF!="not",#REF!="resign",#REF!="resign",#REF!="end",#REF!="terminated",#REF!="permanent"),"TRUE","FALSE")</formula>
    </cfRule>
  </conditionalFormatting>
  <conditionalFormatting sqref="AG249:AG259">
    <cfRule type="expression" dxfId="729" priority="730" stopIfTrue="1">
      <formula>NOT(ISERROR(SEARCH("warning",AG249)))</formula>
    </cfRule>
  </conditionalFormatting>
  <conditionalFormatting sqref="M249">
    <cfRule type="expression" dxfId="730" priority="731" stopIfTrue="1">
      <formula>IF(OR($BF249="not",$BF249="resign",$BF249="resign",$BF249="end",$BF249="terminated",$BF249="permanent"),"TRUE","FALSE")</formula>
    </cfRule>
  </conditionalFormatting>
  <conditionalFormatting sqref="AX249;Z249:AA249;AK249:AP249">
    <cfRule type="expression" dxfId="731" priority="732" stopIfTrue="1">
      <formula>IF(OR(#REF!="not",#REF!="resign",#REF!="resign",#REF!="end",#REF!="terminated",#REF!="permanent"),"TRUE","FALSE")</formula>
    </cfRule>
  </conditionalFormatting>
  <conditionalFormatting sqref="R249:U249;E249">
    <cfRule type="expression" dxfId="732" priority="733" stopIfTrue="1">
      <formula>IF(OR(#REF!="not",#REF!="resign",#REF!="resign",#REF!="end",#REF!="terminated",#REF!="permanent"),"TRUE","FALSE")</formula>
    </cfRule>
  </conditionalFormatting>
  <conditionalFormatting sqref="K249">
    <cfRule type="expression" dxfId="733" priority="734" stopIfTrue="1">
      <formula>IF(OR(#REF!="not",#REF!="resign",#REF!="resign",#REF!="end",#REF!="terminated",#REF!="permanent"),"TRUE","FALSE")</formula>
    </cfRule>
  </conditionalFormatting>
  <conditionalFormatting sqref="L249">
    <cfRule type="expression" dxfId="734" priority="735" stopIfTrue="1">
      <formula>IF(OR(#REF!="not",#REF!="resign",#REF!="resign",#REF!="end",#REF!="terminated",#REF!="permanent"),"TRUE","FALSE")</formula>
    </cfRule>
  </conditionalFormatting>
  <conditionalFormatting sqref="AQ249:AS249">
    <cfRule type="expression" dxfId="735" priority="736" stopIfTrue="1">
      <formula>IF(OR(#REF!="not",#REF!="resign",#REF!="resign",#REF!="end",#REF!="terminated",#REF!="permanent"),"TRUE","FALSE")</formula>
    </cfRule>
  </conditionalFormatting>
  <conditionalFormatting sqref="M250">
    <cfRule type="expression" dxfId="736" priority="737" stopIfTrue="1">
      <formula>IF(OR($BF250="not",$BF250="resign",$BF250="resign",$BF250="end",$BF250="terminated",$BF250="permanent"),"TRUE","FALSE")</formula>
    </cfRule>
  </conditionalFormatting>
  <conditionalFormatting sqref="AX250;Z250:AA250;AK250:AP250">
    <cfRule type="expression" dxfId="737" priority="738" stopIfTrue="1">
      <formula>IF(OR(#REF!="not",#REF!="resign",#REF!="resign",#REF!="end",#REF!="terminated",#REF!="permanent"),"TRUE","FALSE")</formula>
    </cfRule>
  </conditionalFormatting>
  <conditionalFormatting sqref="R250:U250;E250">
    <cfRule type="expression" dxfId="738" priority="739" stopIfTrue="1">
      <formula>IF(OR(#REF!="not",#REF!="resign",#REF!="resign",#REF!="end",#REF!="terminated",#REF!="permanent"),"TRUE","FALSE")</formula>
    </cfRule>
  </conditionalFormatting>
  <conditionalFormatting sqref="K250">
    <cfRule type="expression" dxfId="739" priority="740" stopIfTrue="1">
      <formula>IF(OR(#REF!="not",#REF!="resign",#REF!="resign",#REF!="end",#REF!="terminated",#REF!="permanent"),"TRUE","FALSE")</formula>
    </cfRule>
  </conditionalFormatting>
  <conditionalFormatting sqref="L250">
    <cfRule type="expression" dxfId="740" priority="741" stopIfTrue="1">
      <formula>IF(OR(#REF!="not",#REF!="resign",#REF!="resign",#REF!="end",#REF!="terminated",#REF!="permanent"),"TRUE","FALSE")</formula>
    </cfRule>
  </conditionalFormatting>
  <conditionalFormatting sqref="M251">
    <cfRule type="expression" dxfId="741" priority="742" stopIfTrue="1">
      <formula>IF(OR($BF251="not",$BF251="resign",$BF251="resign",$BF251="end",$BF251="terminated",$BF251="permanent"),"TRUE","FALSE")</formula>
    </cfRule>
  </conditionalFormatting>
  <conditionalFormatting sqref="AX251;Z251:AA251;AK251:AL251;AN251:AP251">
    <cfRule type="expression" dxfId="742" priority="743" stopIfTrue="1">
      <formula>IF(OR(#REF!="not",#REF!="resign",#REF!="resign",#REF!="end",#REF!="terminated",#REF!="permanent"),"TRUE","FALSE")</formula>
    </cfRule>
  </conditionalFormatting>
  <conditionalFormatting sqref="R251:U251;E251">
    <cfRule type="expression" dxfId="743" priority="744" stopIfTrue="1">
      <formula>IF(OR(#REF!="not",#REF!="resign",#REF!="resign",#REF!="end",#REF!="terminated",#REF!="permanent"),"TRUE","FALSE")</formula>
    </cfRule>
  </conditionalFormatting>
  <conditionalFormatting sqref="M252">
    <cfRule type="expression" dxfId="744" priority="745" stopIfTrue="1">
      <formula>IF(OR($BF252="not",$BF252="resign",$BF252="resign",$BF252="end",$BF252="terminated",$BF252="permanent"),"TRUE","FALSE")</formula>
    </cfRule>
  </conditionalFormatting>
  <conditionalFormatting sqref="AX252;Z252:AA252;AK252:AL252;AN252:AP252">
    <cfRule type="expression" dxfId="745" priority="746" stopIfTrue="1">
      <formula>IF(OR(#REF!="not",#REF!="resign",#REF!="resign",#REF!="end",#REF!="terminated",#REF!="permanent"),"TRUE","FALSE")</formula>
    </cfRule>
  </conditionalFormatting>
  <conditionalFormatting sqref="R252:U252;E252">
    <cfRule type="expression" dxfId="746" priority="747" stopIfTrue="1">
      <formula>IF(OR(#REF!="not",#REF!="resign",#REF!="resign",#REF!="end",#REF!="terminated",#REF!="permanent"),"TRUE","FALSE")</formula>
    </cfRule>
  </conditionalFormatting>
  <conditionalFormatting sqref="M253">
    <cfRule type="expression" dxfId="747" priority="748" stopIfTrue="1">
      <formula>IF(OR($BF253="not",$BF253="resign",$BF253="resign",$BF253="end",$BF253="terminated",$BF253="permanent"),"TRUE","FALSE")</formula>
    </cfRule>
  </conditionalFormatting>
  <conditionalFormatting sqref="AX253;Z253:AA253;AK253:AL253;AN253:AP253">
    <cfRule type="expression" dxfId="748" priority="749" stopIfTrue="1">
      <formula>IF(OR(#REF!="not",#REF!="resign",#REF!="resign",#REF!="end",#REF!="terminated",#REF!="permanent"),"TRUE","FALSE")</formula>
    </cfRule>
  </conditionalFormatting>
  <conditionalFormatting sqref="R253:U253;E253">
    <cfRule type="expression" dxfId="749" priority="750" stopIfTrue="1">
      <formula>IF(OR(#REF!="not",#REF!="resign",#REF!="resign",#REF!="end",#REF!="terminated",#REF!="permanent"),"TRUE","FALSE")</formula>
    </cfRule>
  </conditionalFormatting>
  <conditionalFormatting sqref="K251:K253">
    <cfRule type="expression" dxfId="750" priority="751" stopIfTrue="1">
      <formula>IF(OR(#REF!="not",#REF!="resign",#REF!="resign",#REF!="end",#REF!="terminated",#REF!="permanent"),"TRUE","FALSE")</formula>
    </cfRule>
  </conditionalFormatting>
  <conditionalFormatting sqref="L251:L253">
    <cfRule type="expression" dxfId="751" priority="752" stopIfTrue="1">
      <formula>IF(OR(#REF!="not",#REF!="resign",#REF!="resign",#REF!="end",#REF!="terminated",#REF!="permanent"),"TRUE","FALSE")</formula>
    </cfRule>
  </conditionalFormatting>
  <conditionalFormatting sqref="AM251:AM253">
    <cfRule type="expression" dxfId="752" priority="753" stopIfTrue="1">
      <formula>IF(OR(#REF!="not",#REF!="resign",#REF!="resign",#REF!="end",#REF!="terminated",#REF!="permanent"),"TRUE","FALSE")</formula>
    </cfRule>
  </conditionalFormatting>
  <conditionalFormatting sqref="AQ250:AS253">
    <cfRule type="expression" dxfId="753" priority="754" stopIfTrue="1">
      <formula>IF(OR(#REF!="not",#REF!="resign",#REF!="resign",#REF!="end",#REF!="terminated",#REF!="permanent"),"TRUE","FALSE")</formula>
    </cfRule>
  </conditionalFormatting>
  <conditionalFormatting sqref="M254:M259">
    <cfRule type="expression" dxfId="754" priority="755" stopIfTrue="1">
      <formula>IF(OR($BF254="not",$BF254="resign",$BF254="resign",$BF254="end",$BF254="terminated",$BF254="permanent"),"TRUE","FALSE")</formula>
    </cfRule>
  </conditionalFormatting>
  <conditionalFormatting sqref="AX254:AX259;Z254:AA259;AK254:AL259;AN254:AP259">
    <cfRule type="expression" dxfId="755" priority="756" stopIfTrue="1">
      <formula>IF(OR(#REF!="not",#REF!="resign",#REF!="resign",#REF!="end",#REF!="terminated",#REF!="permanent"),"TRUE","FALSE")</formula>
    </cfRule>
  </conditionalFormatting>
  <conditionalFormatting sqref="R254:U259;E254:E259">
    <cfRule type="expression" dxfId="756" priority="757" stopIfTrue="1">
      <formula>IF(OR(#REF!="not",#REF!="resign",#REF!="resign",#REF!="end",#REF!="terminated",#REF!="permanent"),"TRUE","FALSE")</formula>
    </cfRule>
  </conditionalFormatting>
  <conditionalFormatting sqref="K254:K259">
    <cfRule type="expression" dxfId="757" priority="758" stopIfTrue="1">
      <formula>IF(OR(#REF!="not",#REF!="resign",#REF!="resign",#REF!="end",#REF!="terminated",#REF!="permanent"),"TRUE","FALSE")</formula>
    </cfRule>
  </conditionalFormatting>
  <conditionalFormatting sqref="L254:L259">
    <cfRule type="expression" dxfId="758" priority="759" stopIfTrue="1">
      <formula>IF(OR(#REF!="not",#REF!="resign",#REF!="resign",#REF!="end",#REF!="terminated",#REF!="permanent"),"TRUE","FALSE")</formula>
    </cfRule>
  </conditionalFormatting>
  <conditionalFormatting sqref="AM254:AM259">
    <cfRule type="expression" dxfId="759" priority="760" stopIfTrue="1">
      <formula>IF(OR(#REF!="not",#REF!="resign",#REF!="resign",#REF!="end",#REF!="terminated",#REF!="permanent"),"TRUE","FALSE")</formula>
    </cfRule>
  </conditionalFormatting>
  <conditionalFormatting sqref="AQ254:AS259">
    <cfRule type="expression" dxfId="760" priority="761" stopIfTrue="1">
      <formula>IF(OR(#REF!="not",#REF!="resign",#REF!="resign",#REF!="end",#REF!="terminated",#REF!="permanent"),"TRUE","FALSE")</formula>
    </cfRule>
  </conditionalFormatting>
  <conditionalFormatting sqref="M261">
    <cfRule type="expression" dxfId="761" priority="762" stopIfTrue="1">
      <formula>IF(OR($BF261="not",$BF261="resign",$BF261="resign",$BF261="end",$BF261="terminated",$BF261="permanent"),"TRUE","FALSE")</formula>
    </cfRule>
  </conditionalFormatting>
  <conditionalFormatting sqref="R261:U261;AX261;E261;Z261:AA261;L261">
    <cfRule type="expression" dxfId="762" priority="763" stopIfTrue="1">
      <formula>IF(OR(#REF!="not",#REF!="resign",#REF!="resign",#REF!="end",#REF!="terminated",#REF!="permanent"),"TRUE","FALSE")</formula>
    </cfRule>
  </conditionalFormatting>
  <conditionalFormatting sqref="AK261:AL261;AN261:AP261">
    <cfRule type="expression" dxfId="763" priority="764" stopIfTrue="1">
      <formula>IF(OR(#REF!="not",#REF!="resign",#REF!="resign",#REF!="end",#REF!="terminated",#REF!="permanent"),"TRUE","FALSE")</formula>
    </cfRule>
  </conditionalFormatting>
  <conditionalFormatting sqref="K261">
    <cfRule type="expression" dxfId="764" priority="765" stopIfTrue="1">
      <formula>IF(OR(#REF!="not",#REF!="resign",#REF!="resign",#REF!="end",#REF!="terminated",#REF!="permanent"),"TRUE","FALSE")</formula>
    </cfRule>
  </conditionalFormatting>
  <conditionalFormatting sqref="AM261">
    <cfRule type="expression" dxfId="765" priority="766" stopIfTrue="1">
      <formula>IF(OR(#REF!="not",#REF!="resign",#REF!="resign",#REF!="end",#REF!="terminated",#REF!="permanent"),"TRUE","FALSE")</formula>
    </cfRule>
  </conditionalFormatting>
  <conditionalFormatting sqref="AQ261:AS261">
    <cfRule type="expression" dxfId="766" priority="767" stopIfTrue="1">
      <formula>IF(OR(#REF!="not",#REF!="resign",#REF!="resign",#REF!="end",#REF!="terminated",#REF!="permanent"),"TRUE","FALSE")</formula>
    </cfRule>
  </conditionalFormatting>
  <hyperlinks>
    <hyperlink ref="BB61" location="" display="alfajri999@gmail.com"/>
    <hyperlink ref="BB63" location="" display="santo.elang91@gmail.com       "/>
    <hyperlink ref="BB64" location="" display="Sukma_ucil@yahoo.com"/>
    <hyperlink ref="BB65" location="" display="ihsanl0verosul@gmail.com       "/>
    <hyperlink ref="BB271" location="" display="ibrasae24.inter@gmail.com"/>
    <hyperlink ref="BB272" location="" display="ariedjunyardi@gmail.com       "/>
    <hyperlink ref="BB273" location="" display="yuliantoalfaqiih@gmail.com"/>
    <hyperlink ref="BB284" location="" display="mahfuz.sidiq@gmail.com"/>
    <hyperlink ref="BB286" location="" display="sobrumaulana.jombang28@gmail.com"/>
    <hyperlink ref="BB287" location="" display="ivankonyeng@gmail.com, abdullohposthink313@gmail.com"/>
    <hyperlink ref="BB289" location="" display="dickykrisnandi28@gmail.com"/>
    <hyperlink ref="BB66" location="" display="arbilahavtorruly@gmail.com"/>
    <hyperlink ref="BB294" location="" display="herry.1853@gmail.com       "/>
    <hyperlink ref="BB292" location="" display="masud.arek@gmail.com       "/>
    <hyperlink ref="BB298" location="" display="nahrudin.nahrudin98@gmail.com"/>
    <hyperlink ref="BB300" location="" display="tirtarajamir@gmail.com"/>
    <hyperlink ref="C68" location="" display="OS1610032"/>
    <hyperlink ref="BB69" location="" display="riki.cqa@gmail.com, riki.riki@corphr-nokia.com"/>
    <hyperlink ref="BB71" location="" display="diaz.akbari@indottech.corphr.com"/>
    <hyperlink ref="BB72" location="" display="novri_king@ymail.com"/>
    <hyperlink ref="BB76" location="" display="fernandoantonius27@gmail.com"/>
    <hyperlink ref="BB77" location="" display="syaifulmashuri8@gmail.com"/>
    <hyperlink ref="BB78" location="" display="deddy.setiansyah@gmail.com"/>
    <hyperlink ref="BB79" location="" display="iyank.taufik23@gmail.com"/>
    <hyperlink ref="BB80" location="" display="anggaram47@gmail.com"/>
    <hyperlink ref="BB81" location="" display="sigitmardianto.ceteka@gmail.com"/>
    <hyperlink ref="BB83" location="" display="kholisstylen93@gmail.com"/>
    <hyperlink ref="BB85" location="" display="trispermana11@gmail.com"/>
    <hyperlink ref="BB312" location="" display="tommy_yudha@yahoo.co.id&#10;"/>
    <hyperlink ref="BB88" location="" display="masrianasardi2@gmail.com"/>
    <hyperlink ref="BB87" location="" display="paimansubakti@yahoo.co.id"/>
    <hyperlink ref="BB82" location="" display="rafsanjani.nasrul@gmail.com"/>
    <hyperlink ref="BB86" r:id="rId3" display="satria.adjieputri@gmail.com"/>
    <hyperlink ref="BB89" r:id="rId4" display="safiiimam627@gmail.com"/>
    <hyperlink ref="BB90" r:id="rId5" display="Mohammadkhoir89@gmail.com"/>
    <hyperlink ref="BB91" r:id="rId6" display="brekele_agoes@yahoo.co.id"/>
    <hyperlink ref="BB325" location="" display="dewy.nullah@gmail.com"/>
    <hyperlink ref="BB326" location="" display="hendro.saputro87@gmail.com"/>
    <hyperlink ref="BB335" location="" display="riramdani84@gmail.com"/>
    <hyperlink ref="BB337" location="" display="dewy.nullah@gmail.com"/>
    <hyperlink ref="BB338" location="" display="hendro.saputro87@gmail.com"/>
    <hyperlink ref="BB339" location="" display="khoirul67954@gmail.com"/>
    <hyperlink ref="BB340" r:id="rId7" display="erwinevodia22marbun@gmail.com"/>
    <hyperlink ref="BB341" location="" display="tonysimamora8@gmail.com"/>
    <hyperlink ref="BB342" location="" display="Ruddyevander@gmail.com"/>
    <hyperlink ref="BB345" r:id="rId8" display="mas.azis95@gmail.com"/>
    <hyperlink ref="BB94" r:id="rId9" display="andry.hidayat95@gmail.com"/>
    <hyperlink ref="BB95" r:id="rId10" display="fandirohmat999@gmail.com"/>
    <hyperlink ref="BB96" r:id="rId11" display="argaputra300995@gmail.com"/>
    <hyperlink ref="BB97" r:id="rId12" display="tll386277@gmail.com"/>
    <hyperlink ref="BB98" r:id="rId13" display="ywak77@gmail.com"/>
    <hyperlink ref="BB93" r:id="rId14" display="wendaara2@gmail.com"/>
    <hyperlink ref="BB347" location="" display="junaidisalad2@gmail.com"/>
    <hyperlink ref="BB351" location="" display="koko17389@yahoo.com"/>
    <hyperlink ref="BB349" location="" display="astrowibowo69@gmail.com"/>
    <hyperlink ref="BB352" location="" display="ssutami1438@gmail.com"/>
    <hyperlink ref="BB346" location="" display="akasajjah42@gmail.com"/>
    <hyperlink ref="BB353" location="" display="andi.mendrofa@gmail.com"/>
    <hyperlink ref="BB355" location="" display="massugiyanto59@gmail.com"/>
    <hyperlink ref="BB356" location="" display="wahyujurianto123@gmail. Com"/>
    <hyperlink ref="BB361" location="" display="Ifaalazeta2901@gmail.com"/>
    <hyperlink ref="BB362" location="" display="waiuahmad70@gmail.com"/>
    <hyperlink ref="BB102" r:id="rId15" display="gustiirman66@gmail.com"/>
    <hyperlink ref="BB103" r:id="rId16" display="adryhubeth87@gmail.com"/>
    <hyperlink ref="BB104" r:id="rId17" display="DJAMIANACHMAD@GMAIL.COM"/>
    <hyperlink ref="BB105" r:id="rId18" display="azhar.dirgantara@gmail.com"/>
    <hyperlink ref="BB106" r:id="rId19" display="WAWAN.GCT@GMAIL.COM"/>
    <hyperlink ref="BB107" r:id="rId20" display="zulkifliptk5@gmail.com"/>
    <hyperlink ref="BB108" r:id="rId21" display="Ramdanimunggahari415@gmail.com"/>
    <hyperlink ref="BB109" r:id="rId22" display="candra_wibawa89@yahoo.co.id"/>
    <hyperlink ref="BB110" r:id="rId23" display="Muttaqin_DJ@yahoo.com"/>
    <hyperlink ref="BB111" r:id="rId24" display="abilslow21@gmail.com"/>
    <hyperlink ref="BB113" r:id="rId25" display="hairulhadi20@gmail.com"/>
    <hyperlink ref="BB112" r:id="rId26" display="seno.doank99@gmail.com"/>
    <hyperlink ref="BB114" r:id="rId27" display="marnus160@gmail.com"/>
    <hyperlink ref="BB115" r:id="rId28" display="dian.hariyadi76@gmail.com"/>
    <hyperlink ref="BB116" r:id="rId29" display="fernandosingarimbun118@gmail.com"/>
    <hyperlink ref="BB117" r:id="rId29" display="fernandosingarimbun118@gmail.com"/>
    <hyperlink ref="BB101" r:id="rId30" display="syaifulbahri253@gmail.com"/>
    <hyperlink ref="BB118" r:id="rId31" display="ksukadi3@gmail.com"/>
    <hyperlink ref="BB119" r:id="rId32" display="ganendrabraja09@gmail.com"/>
    <hyperlink ref="BB120" r:id="rId33" display="eyiebatara@gmail.com"/>
    <hyperlink ref="BB121" r:id="rId34" display="adilhuawei89@gmail.com"/>
    <hyperlink ref="BB122" r:id="rId35" display="bahari.ard03@gmail.com"/>
    <hyperlink ref="BB123" r:id="rId36" display="riduwan.rez4@gmail.com"/>
    <hyperlink ref="BB124" r:id="rId37" display="mubarakbarak097@gmail.com"/>
    <hyperlink ref="BB125" r:id="rId38" display="bobby.ir4w4n@gmail.com"/>
    <hyperlink ref="BB127" r:id="rId39" display="Vanthus@Engineer.com"/>
    <hyperlink ref="BB126" r:id="rId40" display="sa4511614@gmail.com"/>
    <hyperlink ref="BB128" r:id="rId41" display="msjumadi@gmail.com"/>
    <hyperlink ref="BB129" r:id="rId42" display="alinasution42@gmail.com"/>
    <hyperlink ref="BB131" r:id="rId43" display="panjiputra2001@gmail.com"/>
    <hyperlink ref="BB132" r:id="rId44" display="zainrahman258@gmail.com"/>
    <hyperlink ref="BB135" r:id="rId45" display="rafli.farichi01@gmail.com"/>
    <hyperlink ref="BB138" r:id="rId46" display="Willi1982.via@gmail.com"/>
    <hyperlink ref="BB100" r:id="rId47" display="achmadrizkiantor@gmail.com"/>
    <hyperlink ref="BB130" r:id="rId48" display="ilham.panjaitan70@yahoo.com"/>
    <hyperlink ref="I386" r:id="rId49" display="abayazali@gmail.com"/>
    <hyperlink ref="I387" r:id="rId50" display="suciati.yunita21@gmail.com"/>
    <hyperlink ref="BB140" r:id="rId51" display="andri.joe88@gmail.com"/>
    <hyperlink ref="BB139" r:id="rId52" display="adityawarmangci@gmail.com"/>
    <hyperlink ref="BB141" r:id="rId53" display="Oniboccis945@gmail.com; "/>
    <hyperlink ref="BB369" r:id="rId54" display="ikha.girsang@gmail.com"/>
    <hyperlink ref="BB370" r:id="rId55" display="didinmahmudin99@yahoo.com"/>
    <hyperlink ref="BB142" r:id="rId56" display="abayazah@gmail.com"/>
    <hyperlink ref="BB143" r:id="rId57" display="rismadewi139@gmail.com"/>
    <hyperlink ref="BB144" r:id="rId58" display="b.drysmile@gmail.com"/>
    <hyperlink ref="BB148" r:id="rId59" display="wahyujurianto123@gmail.com"/>
    <hyperlink ref="BB149" r:id="rId60" display="dadang.syp@gmail.com"/>
    <hyperlink ref="BB150" r:id="rId61" display="citraeliisabet@gmail.com"/>
    <hyperlink ref="BB152" r:id="rId62" display="tinomusmulyadi85@gmail.com"/>
    <hyperlink ref="BB153" r:id="rId63" display="Ariez.ajee@gmail.com"/>
    <hyperlink ref="BB154" r:id="rId38" display="bobby.ir4w4n@gmail.com"/>
    <hyperlink ref="BB155" r:id="rId64" display="uditbox@gmail.com"/>
    <hyperlink ref="BB156" r:id="rId65" display="abymifthahhussalam23@gmail.com"/>
    <hyperlink ref="BB157" r:id="rId66" display="andrefebriansyah1992@gmail.com"/>
    <hyperlink ref="BB160" r:id="rId67" display="khairil010101@gmail.com"/>
    <hyperlink ref="BB162" r:id="rId68" display="mhd.nasrul@gmail.com"/>
    <hyperlink ref="BB163" r:id="rId69" display="parisonehansyari@gmail.com"/>
    <hyperlink ref="BB165" r:id="rId70" display="rusdihariadi1212naya@gmail.com"/>
    <hyperlink ref="BB166" r:id="rId71" display="arikin.e3a@gmail.com"/>
    <hyperlink ref="BB170" r:id="rId72" display="sarjidiyanto@gmail.com"/>
    <hyperlink ref="BB173" r:id="rId73" display="putratamboen67@gmail.com"/>
    <hyperlink ref="BB167" r:id="rId74" display="imamregar5@gmail.com"/>
    <hyperlink ref="BB175" r:id="rId75" display="idrul.najri@yahoo.com"/>
    <hyperlink ref="BB176" r:id="rId76" display="Jokolasmana2@gmail.com "/>
    <hyperlink ref="BB174" r:id="rId77" display="ms.prasetyo04@gmail.com"/>
    <hyperlink ref="BB181" r:id="rId78" display="ronifadly88405@gmail.com"/>
    <hyperlink ref="BB299" r:id="rId79" display="Abhusalim@gmail.com       "/>
    <hyperlink ref="BB178" r:id="rId80" display="dwipa.buana@gmail.com"/>
    <hyperlink ref="BB186" r:id="rId50" display="suciati.yunita21@gmail.com"/>
    <hyperlink ref="BB190" r:id="rId81" display="ratuloly.faisal@gmail.com"/>
    <hyperlink ref="BB180" r:id="rId82" display="zihadzulkarnain@gmail.com"/>
    <hyperlink ref="BB188" r:id="rId83" display="adeaprisetyawan@gmail.com"/>
    <hyperlink ref="BB205" r:id="rId84" display="ukarnation420@gmail.com"/>
    <hyperlink ref="BB193" r:id="rId85" display="Akhdakusuma@yahoo.com"/>
    <hyperlink ref="BB62" r:id="rId86" display="Benicorong@gmail.com"/>
    <hyperlink ref="BB371" location="" display="wandi.mkj@gmail.com"/>
    <hyperlink ref="BB372" r:id="rId87" display="dian.sandiana87@gmail.com"/>
    <hyperlink ref="BB373" r:id="rId88" display="defio7823@gmail.com"/>
    <hyperlink ref="BB374" r:id="rId89" display="bennysyahputra246@gmail.com"/>
    <hyperlink ref="BB194" r:id="rId90" display="danuyusfireza@gmail.com"/>
    <hyperlink ref="BB197" r:id="rId91" display="fithraritonga@gmail.com"/>
    <hyperlink ref="BB204" r:id="rId74" display="imamregar5@gmail.com"/>
    <hyperlink ref="BB216" r:id="rId92" display="bustanil1985@gmail.com"/>
    <hyperlink ref="BB209" r:id="rId93" display="eko18afriyanto@gmail.com"/>
    <hyperlink ref="BB198" r:id="rId94" display="rohembae123@gmail.com"/>
    <hyperlink ref="BB183" r:id="rId95" display="muh.saltut@gmail.com"/>
    <hyperlink ref="BB196" r:id="rId96" display="syafrizal009@gmail.com"/>
    <hyperlink ref="BB201" r:id="rId97" display="aidilhandriandamanik@gmail.com "/>
    <hyperlink ref="BB213" r:id="rId98" display="GALANGYURI@GMAIL.COM"/>
    <hyperlink ref="BB203" r:id="rId99" display="anursetiawan134@gmail.com"/>
    <hyperlink ref="BB217" r:id="rId100" display="Silalahimidian27@gmail.com"/>
    <hyperlink ref="BB223" r:id="rId101" display="andybimq7x@gmail.com"/>
    <hyperlink ref="BB226" r:id="rId102" display="ssafari513@gmail.com"/>
    <hyperlink ref="BB232" r:id="rId103" display="almiebahar@gmail.com"/>
    <hyperlink ref="BB229" r:id="rId104" display="ervinpipin@gmail.com"/>
    <hyperlink ref="BB231" r:id="rId105" display="fatoni46hidayat@gmail.com"/>
    <hyperlink ref="BB228" r:id="rId106" display="arif.lsm2017@gmail.com"/>
    <hyperlink ref="BB235" r:id="rId107" display="choinam1130@gmail.com"/>
    <hyperlink ref="BB220" r:id="rId108" display="harzansm@gmail.com "/>
    <hyperlink ref="BB218" r:id="rId109" display="syaiful.sajja@gmail.com"/>
    <hyperlink ref="BB377" r:id="rId110" display="ihsan.muhammad21@yahoo.com"/>
    <hyperlink ref="BB260" r:id="rId39" display="Vanthus@Engineer.com"/>
    <hyperlink ref="BB378" r:id="rId111" display="sukma_arie@ymail.com"/>
    <hyperlink ref="BB379" r:id="rId112" display="rizno.ahmad@gmail.com"/>
    <hyperlink ref="BB60" r:id="rId113" display="supry29091991@gmail.com"/>
    <hyperlink ref="BB236" r:id="rId114" display="durahman999@gmail.com"/>
    <hyperlink ref="BB233" r:id="rId115" display="idanaditia@gmail.com"/>
    <hyperlink ref="BB241" r:id="rId116" display="kinahbunny@yahoo.co.id"/>
    <hyperlink ref="BB242" r:id="rId117" display="hadi.supian@gmail.com"/>
    <hyperlink ref="BB244" r:id="rId118" display="arie.bhocah@gmail.com"/>
    <hyperlink ref="BB245" r:id="rId119" display="bahranjamil66@gmail.com"/>
    <hyperlink ref="BB246" r:id="rId120" display="rianhidayat931989@gmail.com"/>
    <hyperlink ref="BB238" r:id="rId121" display="Aidilwaris21@gmail.com"/>
    <hyperlink ref="BB251" r:id="rId122" display="salsyabilac.f@gmail.com"/>
    <hyperlink ref="BB254" r:id="rId123" display="akbaraydi@gmail.com"/>
    <hyperlink ref="BB255" r:id="rId124" display="saputra.bungsu557@gmail.com"/>
    <hyperlink ref="BB258" r:id="rId125" display="langitsadhewa88@gmail.com"/>
    <hyperlink ref="BB261" r:id="rId126" display="REZKI.FAHRIZA@YAHOO.COM"/>
  </hyperlinks>
  <pageMargins left="0.699305555555556" right="0.699305555555556"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K128"/>
  <sheetViews>
    <sheetView topLeftCell="B2" workbookViewId="0">
      <pane xSplit="3" ySplit="3" topLeftCell="E12" activePane="bottomRight" state="frozen"/>
      <selection/>
      <selection pane="topRight"/>
      <selection pane="bottomLeft"/>
      <selection pane="bottomRight" activeCell="D14" sqref="D14"/>
    </sheetView>
  </sheetViews>
  <sheetFormatPr defaultColWidth="9" defaultRowHeight="12.75"/>
  <cols>
    <col min="1" max="1" width="9.14166666666667" style="874"/>
    <col min="2" max="2" width="4.85833333333333" style="874" customWidth="1"/>
    <col min="3" max="3" width="10.425" style="874" customWidth="1"/>
    <col min="4" max="4" width="25.8583333333333" style="874" customWidth="1"/>
    <col min="5" max="5" width="22.7083333333333" style="874" customWidth="1"/>
    <col min="6" max="6" width="3.56666666666667" style="874" customWidth="1"/>
    <col min="7" max="7" width="11.1416666666667" style="874" customWidth="1"/>
    <col min="8" max="8" width="7.425" style="874" customWidth="1"/>
    <col min="9" max="9" width="17.2833333333333" style="874" customWidth="1"/>
    <col min="10" max="10" width="7.56666666666667" style="874" customWidth="1"/>
    <col min="11" max="11" width="21.5666666666667" style="874" customWidth="1"/>
    <col min="12" max="12" width="8.425" style="874" customWidth="1"/>
    <col min="13" max="15" width="8.56666666666667" style="874" customWidth="1"/>
    <col min="16" max="16" width="8.425" style="874" customWidth="1"/>
    <col min="17" max="17" width="8.56666666666667" style="874" customWidth="1"/>
    <col min="18" max="18" width="8.425" style="874" customWidth="1"/>
    <col min="19" max="19" width="8.56666666666667" style="874" customWidth="1"/>
    <col min="20" max="20" width="8.28333333333333" style="874" customWidth="1"/>
    <col min="21" max="21" width="7.56666666666667" style="874" customWidth="1"/>
    <col min="22" max="22" width="9.425" style="874" customWidth="1"/>
    <col min="23" max="23" width="8.28333333333333" style="874" customWidth="1"/>
    <col min="24" max="24" width="8.425" style="874" customWidth="1"/>
    <col min="25" max="25" width="8.56666666666667" style="874" customWidth="1"/>
    <col min="26" max="27" width="8.425" style="874" customWidth="1"/>
    <col min="28" max="28" width="9.85833333333333" style="874" customWidth="1"/>
    <col min="29" max="29" width="8.28333333333333" style="874" customWidth="1"/>
    <col min="30" max="30" width="8.425" style="874" customWidth="1"/>
    <col min="31" max="34" width="8.28333333333333" style="874" customWidth="1"/>
    <col min="35" max="37" width="8.28333333333333" style="873" customWidth="1"/>
    <col min="38" max="38" width="9.85833333333333" style="873" customWidth="1"/>
    <col min="39" max="39" width="8" style="874" customWidth="1"/>
    <col min="40" max="40" width="10" style="874" customWidth="1"/>
    <col min="41" max="41" width="12.1416666666667" style="874" customWidth="1"/>
    <col min="42" max="43" width="10.8583333333333" style="874" customWidth="1"/>
    <col min="44" max="45" width="9.56666666666667" style="874" customWidth="1"/>
    <col min="46" max="46" width="12" style="874" customWidth="1"/>
    <col min="47" max="47" width="13" style="874" customWidth="1"/>
    <col min="48" max="48" width="8.70833333333333" style="874" customWidth="1"/>
    <col min="49" max="49" width="4.14166666666667" style="874" customWidth="1"/>
    <col min="50" max="50" width="7.425" style="874" customWidth="1"/>
    <col min="51" max="51" width="47.5666666666667" style="874" customWidth="1"/>
    <col min="52" max="52" width="39.8583333333333" style="874" customWidth="1"/>
    <col min="53" max="53" width="18.7083333333333" style="874" customWidth="1"/>
    <col min="54" max="54" width="24.8583333333333" style="874" customWidth="1"/>
    <col min="55" max="55" width="17.2833333333333" style="874" customWidth="1"/>
    <col min="56" max="56" width="19.2833333333333" style="874" customWidth="1"/>
    <col min="57" max="57" width="12" style="874" customWidth="1"/>
    <col min="58" max="58" width="14.8583333333333" style="874" customWidth="1"/>
    <col min="59" max="59" width="33.1416666666667" style="874" customWidth="1"/>
    <col min="60" max="60" width="20.5666666666667" style="874" customWidth="1"/>
    <col min="61" max="61" width="12.7083333333333" style="874" customWidth="1"/>
    <col min="62" max="62" width="9.85833333333333" style="874" customWidth="1"/>
    <col min="63" max="16384" width="9.14166666666667" style="874"/>
  </cols>
  <sheetData>
    <row r="1" spans="35:38">
      <c r="AI1" s="874"/>
      <c r="AJ1" s="874"/>
      <c r="AK1" s="874"/>
      <c r="AL1" s="874"/>
    </row>
    <row r="2" ht="13.5" spans="35:38">
      <c r="AI2" s="874"/>
      <c r="AJ2" s="874"/>
      <c r="AK2" s="874"/>
      <c r="AL2" s="874"/>
    </row>
    <row r="3" ht="13.5" spans="2:61">
      <c r="B3" s="908" t="s">
        <v>0</v>
      </c>
      <c r="C3" s="908" t="s">
        <v>1</v>
      </c>
      <c r="D3" s="908" t="s">
        <v>2</v>
      </c>
      <c r="E3" s="908" t="s">
        <v>3</v>
      </c>
      <c r="F3" s="908" t="s">
        <v>4</v>
      </c>
      <c r="G3" s="908" t="s">
        <v>5</v>
      </c>
      <c r="H3" s="908" t="s">
        <v>27</v>
      </c>
      <c r="I3" s="908" t="s">
        <v>6</v>
      </c>
      <c r="J3" s="908" t="s">
        <v>7</v>
      </c>
      <c r="K3" s="908" t="s">
        <v>8</v>
      </c>
      <c r="L3" s="929" t="s">
        <v>9</v>
      </c>
      <c r="M3" s="930"/>
      <c r="N3" s="929" t="s">
        <v>7398</v>
      </c>
      <c r="O3" s="982"/>
      <c r="P3" s="982"/>
      <c r="Q3" s="982"/>
      <c r="R3" s="982"/>
      <c r="S3" s="982"/>
      <c r="T3" s="930"/>
      <c r="U3" s="982"/>
      <c r="V3" s="929" t="s">
        <v>11</v>
      </c>
      <c r="W3" s="930"/>
      <c r="X3" s="929" t="s">
        <v>7399</v>
      </c>
      <c r="Y3" s="982"/>
      <c r="Z3" s="982"/>
      <c r="AA3" s="890" t="s">
        <v>4827</v>
      </c>
      <c r="AB3" s="891"/>
      <c r="AC3" s="929" t="s">
        <v>13</v>
      </c>
      <c r="AD3" s="930"/>
      <c r="AE3" s="929" t="s">
        <v>10</v>
      </c>
      <c r="AF3" s="982"/>
      <c r="AG3" s="982"/>
      <c r="AH3" s="982"/>
      <c r="AI3" s="982"/>
      <c r="AJ3" s="930"/>
      <c r="AK3" s="890" t="s">
        <v>4827</v>
      </c>
      <c r="AL3" s="891"/>
      <c r="AM3" s="908" t="s">
        <v>14</v>
      </c>
      <c r="AN3" s="943" t="s">
        <v>15</v>
      </c>
      <c r="AO3" s="943" t="s">
        <v>16</v>
      </c>
      <c r="AP3" s="943" t="s">
        <v>17</v>
      </c>
      <c r="AQ3" s="943" t="s">
        <v>4555</v>
      </c>
      <c r="AR3" s="943" t="s">
        <v>3507</v>
      </c>
      <c r="AS3" s="943" t="s">
        <v>22</v>
      </c>
      <c r="AT3" s="943" t="s">
        <v>7400</v>
      </c>
      <c r="AU3" s="908" t="s">
        <v>7401</v>
      </c>
      <c r="AV3" s="908" t="s">
        <v>25</v>
      </c>
      <c r="AW3" s="908" t="s">
        <v>26</v>
      </c>
      <c r="AX3" s="908" t="s">
        <v>27</v>
      </c>
      <c r="AY3" s="908" t="s">
        <v>15</v>
      </c>
      <c r="AZ3" s="908" t="s">
        <v>28</v>
      </c>
      <c r="BA3" s="908" t="s">
        <v>29</v>
      </c>
      <c r="BB3" s="908" t="s">
        <v>30</v>
      </c>
      <c r="BC3" s="908" t="s">
        <v>31</v>
      </c>
      <c r="BD3" s="908" t="s">
        <v>32</v>
      </c>
      <c r="BE3" s="908" t="s">
        <v>33</v>
      </c>
      <c r="BF3" s="908" t="s">
        <v>34</v>
      </c>
      <c r="BG3" s="908" t="s">
        <v>35</v>
      </c>
      <c r="BH3" s="964" t="s">
        <v>36</v>
      </c>
      <c r="BI3" s="1018" t="s">
        <v>7402</v>
      </c>
    </row>
    <row r="4" ht="13.5" spans="2:61">
      <c r="B4" s="909"/>
      <c r="C4" s="910"/>
      <c r="D4" s="910"/>
      <c r="E4" s="910"/>
      <c r="F4" s="910"/>
      <c r="G4" s="910"/>
      <c r="H4" s="910"/>
      <c r="I4" s="909"/>
      <c r="J4" s="909"/>
      <c r="K4" s="910"/>
      <c r="L4" s="931" t="s">
        <v>37</v>
      </c>
      <c r="M4" s="931" t="s">
        <v>38</v>
      </c>
      <c r="N4" s="931">
        <v>1</v>
      </c>
      <c r="O4" s="931">
        <v>2</v>
      </c>
      <c r="P4" s="931">
        <v>3</v>
      </c>
      <c r="Q4" s="931">
        <v>4</v>
      </c>
      <c r="R4" s="931">
        <v>5</v>
      </c>
      <c r="S4" s="931">
        <v>6</v>
      </c>
      <c r="T4" s="931">
        <v>7</v>
      </c>
      <c r="U4" s="931"/>
      <c r="V4" s="931" t="s">
        <v>37</v>
      </c>
      <c r="W4" s="931" t="s">
        <v>38</v>
      </c>
      <c r="X4" s="931">
        <v>1</v>
      </c>
      <c r="Y4" s="931">
        <v>2</v>
      </c>
      <c r="Z4" s="931">
        <v>3</v>
      </c>
      <c r="AA4" s="892" t="s">
        <v>4829</v>
      </c>
      <c r="AB4" s="892" t="s">
        <v>38</v>
      </c>
      <c r="AC4" s="931" t="s">
        <v>37</v>
      </c>
      <c r="AD4" s="931" t="s">
        <v>38</v>
      </c>
      <c r="AE4" s="990">
        <v>1</v>
      </c>
      <c r="AF4" s="990">
        <v>2</v>
      </c>
      <c r="AG4" s="990">
        <v>3</v>
      </c>
      <c r="AH4" s="990">
        <v>4</v>
      </c>
      <c r="AI4" s="990">
        <v>5</v>
      </c>
      <c r="AJ4" s="990">
        <v>6</v>
      </c>
      <c r="AK4" s="892" t="s">
        <v>4829</v>
      </c>
      <c r="AL4" s="892" t="s">
        <v>38</v>
      </c>
      <c r="AM4" s="910"/>
      <c r="AN4" s="944"/>
      <c r="AO4" s="944"/>
      <c r="AP4" s="944"/>
      <c r="AQ4" s="944"/>
      <c r="AR4" s="944"/>
      <c r="AS4" s="944"/>
      <c r="AT4" s="944"/>
      <c r="AU4" s="910"/>
      <c r="AV4" s="909"/>
      <c r="AW4" s="909"/>
      <c r="AX4" s="909"/>
      <c r="AY4" s="909"/>
      <c r="AZ4" s="909"/>
      <c r="BA4" s="909"/>
      <c r="BB4" s="909"/>
      <c r="BC4" s="909"/>
      <c r="BD4" s="909"/>
      <c r="BE4" s="909"/>
      <c r="BF4" s="909"/>
      <c r="BG4" s="909"/>
      <c r="BH4" s="966"/>
      <c r="BI4" s="1019"/>
    </row>
    <row r="5" s="871" customFormat="1" ht="42.75" spans="2:63">
      <c r="B5" s="1573" t="s">
        <v>39</v>
      </c>
      <c r="C5" s="912" t="s">
        <v>7403</v>
      </c>
      <c r="D5" s="912" t="s">
        <v>7404</v>
      </c>
      <c r="E5" s="920">
        <v>28857</v>
      </c>
      <c r="F5" s="920" t="s">
        <v>43</v>
      </c>
      <c r="G5" s="920" t="s">
        <v>404</v>
      </c>
      <c r="H5" s="920" t="s">
        <v>404</v>
      </c>
      <c r="I5" s="925" t="s">
        <v>3528</v>
      </c>
      <c r="J5" s="925" t="s">
        <v>7405</v>
      </c>
      <c r="K5" s="912" t="s">
        <v>7406</v>
      </c>
      <c r="L5" s="926">
        <v>41593</v>
      </c>
      <c r="M5" s="926">
        <v>42004</v>
      </c>
      <c r="N5" s="926">
        <v>42185</v>
      </c>
      <c r="O5" s="926">
        <v>42369</v>
      </c>
      <c r="P5" s="926"/>
      <c r="Q5" s="926"/>
      <c r="R5" s="926"/>
      <c r="S5" s="926"/>
      <c r="T5" s="926"/>
      <c r="U5" s="926"/>
      <c r="V5" s="926">
        <v>42370</v>
      </c>
      <c r="W5" s="926">
        <v>42735</v>
      </c>
      <c r="X5" s="926">
        <v>42688</v>
      </c>
      <c r="Y5" s="926"/>
      <c r="Z5" s="936"/>
      <c r="AA5" s="936">
        <v>42689</v>
      </c>
      <c r="AB5" s="936">
        <v>42718</v>
      </c>
      <c r="AC5" s="936">
        <v>42719</v>
      </c>
      <c r="AD5" s="936">
        <v>42916</v>
      </c>
      <c r="AE5" s="936">
        <v>43100</v>
      </c>
      <c r="AF5" s="936">
        <v>43281</v>
      </c>
      <c r="AG5" s="991">
        <v>43448</v>
      </c>
      <c r="AH5" s="936"/>
      <c r="AI5" s="936"/>
      <c r="AJ5" s="936"/>
      <c r="AK5" s="991">
        <v>43449</v>
      </c>
      <c r="AL5" s="991">
        <v>43465</v>
      </c>
      <c r="AM5" s="640">
        <f ca="1">SUM(AG5-NOW())</f>
        <v>175.61546296296</v>
      </c>
      <c r="AN5" s="121" t="str">
        <f ca="1" t="shared" ref="AN5:AN13" si="0">IF(AM5&lt;=40,"WARNING","ACTIVE")</f>
        <v>ACTIVE</v>
      </c>
      <c r="AO5" s="996">
        <v>8100000</v>
      </c>
      <c r="AP5" s="945">
        <v>550000</v>
      </c>
      <c r="AQ5" s="945">
        <v>0</v>
      </c>
      <c r="AR5" s="945">
        <v>600000</v>
      </c>
      <c r="AS5" s="945">
        <v>300000</v>
      </c>
      <c r="AT5" s="945"/>
      <c r="AU5" s="945"/>
      <c r="AV5" s="955" t="s">
        <v>7407</v>
      </c>
      <c r="AW5" s="956" t="s">
        <v>48</v>
      </c>
      <c r="AX5" s="956" t="s">
        <v>48</v>
      </c>
      <c r="AY5" s="925" t="s">
        <v>7408</v>
      </c>
      <c r="AZ5" s="285" t="s">
        <v>7409</v>
      </c>
      <c r="BA5" s="285" t="s">
        <v>7410</v>
      </c>
      <c r="BB5" s="285" t="s">
        <v>7411</v>
      </c>
      <c r="BC5" s="285"/>
      <c r="BD5" s="285" t="s">
        <v>7412</v>
      </c>
      <c r="BE5" s="285" t="s">
        <v>7413</v>
      </c>
      <c r="BF5" s="285" t="s">
        <v>7414</v>
      </c>
      <c r="BG5" s="285" t="s">
        <v>7415</v>
      </c>
      <c r="BH5" s="912"/>
      <c r="BI5" s="1020" t="str">
        <f>VLOOKUP(D5,[3]Project_ISAT!$C$3:$K$19,9,0)</f>
        <v>Keep P6</v>
      </c>
      <c r="BJ5" s="906">
        <f>MAX(L5:AH5)</f>
        <v>43448</v>
      </c>
      <c r="BK5" s="1021"/>
    </row>
    <row r="6" s="871" customFormat="1" ht="25.5" spans="2:63">
      <c r="B6" s="1573" t="s">
        <v>56</v>
      </c>
      <c r="C6" s="912" t="s">
        <v>7416</v>
      </c>
      <c r="D6" s="912" t="s">
        <v>7417</v>
      </c>
      <c r="E6" s="920">
        <v>31335</v>
      </c>
      <c r="F6" s="920" t="s">
        <v>43</v>
      </c>
      <c r="G6" s="920" t="s">
        <v>404</v>
      </c>
      <c r="H6" s="920" t="s">
        <v>404</v>
      </c>
      <c r="I6" s="925" t="s">
        <v>7418</v>
      </c>
      <c r="J6" s="925" t="s">
        <v>7405</v>
      </c>
      <c r="K6" s="912" t="s">
        <v>7419</v>
      </c>
      <c r="L6" s="926">
        <v>41640</v>
      </c>
      <c r="M6" s="926">
        <v>41820</v>
      </c>
      <c r="N6" s="926">
        <v>42004</v>
      </c>
      <c r="O6" s="926">
        <v>42063</v>
      </c>
      <c r="P6" s="926">
        <v>42124</v>
      </c>
      <c r="Q6" s="926">
        <v>42216</v>
      </c>
      <c r="R6" s="926">
        <v>42369</v>
      </c>
      <c r="S6" s="926"/>
      <c r="T6" s="926"/>
      <c r="U6" s="926"/>
      <c r="V6" s="926">
        <v>42370</v>
      </c>
      <c r="W6" s="926">
        <v>42551</v>
      </c>
      <c r="X6" s="926">
        <v>42643</v>
      </c>
      <c r="Y6" s="926">
        <v>42735</v>
      </c>
      <c r="Z6" s="936"/>
      <c r="AA6" s="936">
        <v>42736</v>
      </c>
      <c r="AB6" s="936">
        <v>42766</v>
      </c>
      <c r="AC6" s="936">
        <v>42767</v>
      </c>
      <c r="AD6" s="936">
        <v>42825</v>
      </c>
      <c r="AE6" s="936">
        <v>43008</v>
      </c>
      <c r="AF6" s="936">
        <v>43100</v>
      </c>
      <c r="AG6" s="936">
        <v>43190</v>
      </c>
      <c r="AH6" s="936">
        <v>43281</v>
      </c>
      <c r="AI6" s="992">
        <v>43373</v>
      </c>
      <c r="AJ6" s="936"/>
      <c r="AK6" s="936"/>
      <c r="AL6" s="936"/>
      <c r="AM6" s="640">
        <f ca="1">SUM(AI6-NOW())</f>
        <v>100.61546296296</v>
      </c>
      <c r="AN6" s="121" t="str">
        <f ca="1" t="shared" si="0"/>
        <v>ACTIVE</v>
      </c>
      <c r="AO6" s="997">
        <f>7850000+500000</f>
        <v>8350000</v>
      </c>
      <c r="AP6" s="945">
        <v>500000</v>
      </c>
      <c r="AQ6" s="945">
        <v>3500000</v>
      </c>
      <c r="AR6" s="945"/>
      <c r="AS6" s="952">
        <v>400000</v>
      </c>
      <c r="AT6" s="945"/>
      <c r="AU6" s="945"/>
      <c r="AV6" s="1008">
        <v>1000000</v>
      </c>
      <c r="AW6" s="956" t="s">
        <v>48</v>
      </c>
      <c r="AX6" s="956" t="s">
        <v>48</v>
      </c>
      <c r="AY6" s="925" t="s">
        <v>7420</v>
      </c>
      <c r="AZ6" s="285" t="s">
        <v>7421</v>
      </c>
      <c r="BA6" s="285" t="s">
        <v>7422</v>
      </c>
      <c r="BB6" s="285" t="s">
        <v>7423</v>
      </c>
      <c r="BC6" s="285" t="s">
        <v>7424</v>
      </c>
      <c r="BD6" s="285" t="s">
        <v>7425</v>
      </c>
      <c r="BE6" s="285" t="s">
        <v>7413</v>
      </c>
      <c r="BF6" s="285" t="s">
        <v>7426</v>
      </c>
      <c r="BG6" s="285" t="s">
        <v>7427</v>
      </c>
      <c r="BH6" s="912"/>
      <c r="BI6" s="1020" t="str">
        <f>VLOOKUP(D6,[3]Project_ISAT!$C$3:$K$19,9,0)</f>
        <v>Extended until P9</v>
      </c>
      <c r="BJ6" s="906">
        <f t="shared" ref="BJ6:BJ19" si="1">MAX(L6:AH6)</f>
        <v>43281</v>
      </c>
      <c r="BK6" s="1021"/>
    </row>
    <row r="7" s="871" customFormat="1" ht="31.5" spans="2:63">
      <c r="B7" s="1573" t="s">
        <v>68</v>
      </c>
      <c r="C7" s="912" t="s">
        <v>7428</v>
      </c>
      <c r="D7" s="912" t="s">
        <v>7429</v>
      </c>
      <c r="E7" s="920" t="s">
        <v>7430</v>
      </c>
      <c r="F7" s="920" t="s">
        <v>43</v>
      </c>
      <c r="G7" s="920" t="s">
        <v>254</v>
      </c>
      <c r="H7" s="920" t="s">
        <v>254</v>
      </c>
      <c r="I7" s="925" t="s">
        <v>1793</v>
      </c>
      <c r="J7" s="925" t="s">
        <v>7405</v>
      </c>
      <c r="K7" s="912" t="s">
        <v>6540</v>
      </c>
      <c r="L7" s="926">
        <v>41702</v>
      </c>
      <c r="M7" s="926">
        <v>41790</v>
      </c>
      <c r="N7" s="926">
        <v>41882</v>
      </c>
      <c r="O7" s="926">
        <v>42004</v>
      </c>
      <c r="P7" s="926">
        <v>42094</v>
      </c>
      <c r="Q7" s="926">
        <v>42155</v>
      </c>
      <c r="R7" s="926">
        <v>42185</v>
      </c>
      <c r="S7" s="926">
        <v>42216</v>
      </c>
      <c r="T7" s="926">
        <v>42369</v>
      </c>
      <c r="U7" s="926">
        <v>42432</v>
      </c>
      <c r="V7" s="926">
        <v>42433</v>
      </c>
      <c r="W7" s="926">
        <v>42551</v>
      </c>
      <c r="X7" s="926">
        <v>42735</v>
      </c>
      <c r="Y7" s="926">
        <v>42794</v>
      </c>
      <c r="Z7" s="936"/>
      <c r="AA7" s="936">
        <v>42795</v>
      </c>
      <c r="AB7" s="936">
        <v>42825</v>
      </c>
      <c r="AC7" s="936">
        <v>42826</v>
      </c>
      <c r="AD7" s="936">
        <v>43008</v>
      </c>
      <c r="AE7" s="936">
        <v>43100</v>
      </c>
      <c r="AF7" s="936">
        <v>43190</v>
      </c>
      <c r="AG7" s="936">
        <v>43281</v>
      </c>
      <c r="AH7" s="992">
        <v>43373</v>
      </c>
      <c r="AI7" s="936"/>
      <c r="AJ7" s="936"/>
      <c r="AK7" s="936"/>
      <c r="AL7" s="936"/>
      <c r="AM7" s="640">
        <f ca="1">SUM(AH7-NOW())</f>
        <v>100.61546296296</v>
      </c>
      <c r="AN7" s="121" t="str">
        <f ca="1" t="shared" si="0"/>
        <v>ACTIVE</v>
      </c>
      <c r="AO7" s="997">
        <v>8500000</v>
      </c>
      <c r="AP7" s="952">
        <v>700000</v>
      </c>
      <c r="AQ7" s="945">
        <v>3500000</v>
      </c>
      <c r="AR7" s="945">
        <v>500000</v>
      </c>
      <c r="AS7" s="945">
        <v>300000</v>
      </c>
      <c r="AT7" s="945"/>
      <c r="AU7" s="952">
        <v>500000</v>
      </c>
      <c r="AV7" s="955">
        <v>1000000</v>
      </c>
      <c r="AW7" s="956" t="s">
        <v>48</v>
      </c>
      <c r="AX7" s="956" t="s">
        <v>48</v>
      </c>
      <c r="AY7" s="925" t="s">
        <v>7431</v>
      </c>
      <c r="AZ7" s="285" t="s">
        <v>7432</v>
      </c>
      <c r="BA7" s="285" t="s">
        <v>7433</v>
      </c>
      <c r="BB7" s="285" t="s">
        <v>7434</v>
      </c>
      <c r="BC7" s="285"/>
      <c r="BD7" s="285" t="s">
        <v>7435</v>
      </c>
      <c r="BE7" s="285">
        <v>0</v>
      </c>
      <c r="BF7" s="285" t="s">
        <v>7436</v>
      </c>
      <c r="BG7" s="285" t="s">
        <v>7437</v>
      </c>
      <c r="BH7" s="912"/>
      <c r="BI7" s="1020" t="str">
        <f>VLOOKUP(D7,[3]Project_ISAT!$C$3:$K$19,9,0)</f>
        <v>Extended until P9</v>
      </c>
      <c r="BJ7" s="906">
        <f t="shared" si="1"/>
        <v>43373</v>
      </c>
      <c r="BK7" s="1021"/>
    </row>
    <row r="8" s="871" customFormat="1" ht="21" spans="2:63">
      <c r="B8" s="1573" t="s">
        <v>78</v>
      </c>
      <c r="C8" s="912" t="s">
        <v>7438</v>
      </c>
      <c r="D8" s="912" t="s">
        <v>7439</v>
      </c>
      <c r="E8" s="920" t="s">
        <v>4956</v>
      </c>
      <c r="F8" s="920" t="s">
        <v>43</v>
      </c>
      <c r="G8" s="920" t="s">
        <v>254</v>
      </c>
      <c r="H8" s="920" t="s">
        <v>254</v>
      </c>
      <c r="I8" s="925" t="s">
        <v>3528</v>
      </c>
      <c r="J8" s="925" t="s">
        <v>7405</v>
      </c>
      <c r="K8" s="912" t="s">
        <v>7440</v>
      </c>
      <c r="L8" s="926">
        <v>42044</v>
      </c>
      <c r="M8" s="926">
        <v>42185</v>
      </c>
      <c r="N8" s="926">
        <v>42277</v>
      </c>
      <c r="O8" s="926">
        <v>42369</v>
      </c>
      <c r="P8" s="926">
        <v>42735</v>
      </c>
      <c r="Q8" s="926">
        <v>42774</v>
      </c>
      <c r="R8" s="926"/>
      <c r="S8" s="926"/>
      <c r="T8" s="926"/>
      <c r="U8" s="926"/>
      <c r="V8" s="926">
        <v>42775</v>
      </c>
      <c r="W8" s="926">
        <v>42916</v>
      </c>
      <c r="X8" s="936">
        <v>43100</v>
      </c>
      <c r="Y8" s="926">
        <v>43139</v>
      </c>
      <c r="Z8" s="936"/>
      <c r="AA8" s="936">
        <v>43140</v>
      </c>
      <c r="AB8" s="936">
        <v>43167</v>
      </c>
      <c r="AC8" s="936">
        <v>43168</v>
      </c>
      <c r="AD8" s="936">
        <v>43281</v>
      </c>
      <c r="AE8" s="991">
        <v>43465</v>
      </c>
      <c r="AF8" s="936"/>
      <c r="AG8" s="936"/>
      <c r="AH8" s="936"/>
      <c r="AI8" s="936"/>
      <c r="AJ8" s="936"/>
      <c r="AK8" s="936"/>
      <c r="AL8" s="936"/>
      <c r="AM8" s="640">
        <f ca="1">SUM(AE8-NOW())</f>
        <v>192.61546296296</v>
      </c>
      <c r="AN8" s="121" t="str">
        <f ca="1" t="shared" si="0"/>
        <v>ACTIVE</v>
      </c>
      <c r="AO8" s="996">
        <v>6095000</v>
      </c>
      <c r="AP8" s="945">
        <v>500000</v>
      </c>
      <c r="AQ8" s="945"/>
      <c r="AR8" s="945">
        <v>500000</v>
      </c>
      <c r="AS8" s="945">
        <v>200000</v>
      </c>
      <c r="AT8" s="945"/>
      <c r="AU8" s="945"/>
      <c r="AV8" s="955" t="s">
        <v>4850</v>
      </c>
      <c r="AW8" s="956" t="s">
        <v>48</v>
      </c>
      <c r="AX8" s="956" t="s">
        <v>48</v>
      </c>
      <c r="AY8" s="925" t="s">
        <v>7441</v>
      </c>
      <c r="AZ8" s="285" t="s">
        <v>7442</v>
      </c>
      <c r="BA8" s="285" t="s">
        <v>7443</v>
      </c>
      <c r="BB8" s="285" t="s">
        <v>7444</v>
      </c>
      <c r="BC8" s="285" t="s">
        <v>7445</v>
      </c>
      <c r="BD8" s="285" t="s">
        <v>7446</v>
      </c>
      <c r="BE8" s="285">
        <v>14012991338</v>
      </c>
      <c r="BF8" s="285" t="s">
        <v>7447</v>
      </c>
      <c r="BG8" s="285" t="s">
        <v>7448</v>
      </c>
      <c r="BH8" s="912"/>
      <c r="BI8" s="1020" t="str">
        <f>VLOOKUP(D8,[3]Project_ISAT!$C$3:$K$19,9,0)</f>
        <v>Keep P6</v>
      </c>
      <c r="BJ8" s="906">
        <f t="shared" si="1"/>
        <v>43465</v>
      </c>
      <c r="BK8" s="1021"/>
    </row>
    <row r="9" s="871" customFormat="1" ht="21" spans="2:63">
      <c r="B9" s="1573" t="s">
        <v>92</v>
      </c>
      <c r="C9" s="912" t="s">
        <v>7449</v>
      </c>
      <c r="D9" s="912" t="s">
        <v>7450</v>
      </c>
      <c r="E9" s="920" t="s">
        <v>7451</v>
      </c>
      <c r="F9" s="920" t="s">
        <v>43</v>
      </c>
      <c r="G9" s="920" t="s">
        <v>404</v>
      </c>
      <c r="H9" s="920" t="s">
        <v>404</v>
      </c>
      <c r="I9" s="925" t="s">
        <v>3528</v>
      </c>
      <c r="J9" s="925" t="s">
        <v>7405</v>
      </c>
      <c r="K9" s="912" t="s">
        <v>7440</v>
      </c>
      <c r="L9" s="926">
        <v>42065</v>
      </c>
      <c r="M9" s="926">
        <v>42185</v>
      </c>
      <c r="N9" s="926">
        <v>42369</v>
      </c>
      <c r="O9" s="926">
        <v>42735</v>
      </c>
      <c r="P9" s="926">
        <v>42795</v>
      </c>
      <c r="Q9" s="926"/>
      <c r="R9" s="926"/>
      <c r="S9" s="926"/>
      <c r="T9" s="926"/>
      <c r="U9" s="926"/>
      <c r="V9" s="926">
        <v>42796</v>
      </c>
      <c r="W9" s="926">
        <v>42916</v>
      </c>
      <c r="X9" s="936">
        <v>43100</v>
      </c>
      <c r="Y9" s="926">
        <v>43160</v>
      </c>
      <c r="Z9" s="936"/>
      <c r="AA9" s="936">
        <v>43161</v>
      </c>
      <c r="AB9" s="936">
        <v>43191</v>
      </c>
      <c r="AC9" s="936">
        <v>43192</v>
      </c>
      <c r="AD9" s="936">
        <v>43281</v>
      </c>
      <c r="AE9" s="991">
        <v>43465</v>
      </c>
      <c r="AF9" s="936"/>
      <c r="AG9" s="936"/>
      <c r="AH9" s="936"/>
      <c r="AI9" s="936"/>
      <c r="AJ9" s="936"/>
      <c r="AK9" s="936"/>
      <c r="AL9" s="936"/>
      <c r="AM9" s="640">
        <f ca="1">SUM(AE9-NOW())</f>
        <v>192.61546296296</v>
      </c>
      <c r="AN9" s="121" t="str">
        <f ca="1" t="shared" si="0"/>
        <v>ACTIVE</v>
      </c>
      <c r="AO9" s="996">
        <v>7700000</v>
      </c>
      <c r="AP9" s="945">
        <v>500000</v>
      </c>
      <c r="AQ9" s="945"/>
      <c r="AR9" s="945">
        <v>500000</v>
      </c>
      <c r="AS9" s="945">
        <v>200000</v>
      </c>
      <c r="AT9" s="945"/>
      <c r="AU9" s="945"/>
      <c r="AV9" s="955" t="s">
        <v>4850</v>
      </c>
      <c r="AW9" s="956" t="s">
        <v>48</v>
      </c>
      <c r="AX9" s="956" t="s">
        <v>48</v>
      </c>
      <c r="AY9" s="925" t="s">
        <v>7452</v>
      </c>
      <c r="AZ9" s="285" t="s">
        <v>7453</v>
      </c>
      <c r="BA9" s="285" t="s">
        <v>7454</v>
      </c>
      <c r="BB9" s="285" t="s">
        <v>7455</v>
      </c>
      <c r="BC9" s="285" t="s">
        <v>7456</v>
      </c>
      <c r="BD9" s="285" t="s">
        <v>7457</v>
      </c>
      <c r="BE9" s="285">
        <v>14012991361</v>
      </c>
      <c r="BF9" s="285" t="s">
        <v>7458</v>
      </c>
      <c r="BG9" s="285" t="s">
        <v>7459</v>
      </c>
      <c r="BH9" s="912"/>
      <c r="BI9" s="1020" t="str">
        <f>VLOOKUP(D9,[3]Project_ISAT!$C$3:$K$19,9,0)</f>
        <v>Keep P6</v>
      </c>
      <c r="BJ9" s="906">
        <f t="shared" si="1"/>
        <v>43465</v>
      </c>
      <c r="BK9" s="1021"/>
    </row>
    <row r="10" s="871" customFormat="1" ht="52.5" spans="2:63">
      <c r="B10" s="1573" t="s">
        <v>107</v>
      </c>
      <c r="C10" s="912" t="s">
        <v>7460</v>
      </c>
      <c r="D10" s="912" t="s">
        <v>7461</v>
      </c>
      <c r="E10" s="920" t="s">
        <v>7462</v>
      </c>
      <c r="F10" s="920" t="s">
        <v>125</v>
      </c>
      <c r="G10" s="920" t="s">
        <v>404</v>
      </c>
      <c r="H10" s="920" t="s">
        <v>6686</v>
      </c>
      <c r="I10" s="925" t="s">
        <v>3528</v>
      </c>
      <c r="J10" s="925" t="s">
        <v>7405</v>
      </c>
      <c r="K10" s="912" t="s">
        <v>7463</v>
      </c>
      <c r="L10" s="926">
        <v>41518</v>
      </c>
      <c r="M10" s="926">
        <v>41639</v>
      </c>
      <c r="N10" s="926">
        <v>41820</v>
      </c>
      <c r="O10" s="926">
        <v>42004</v>
      </c>
      <c r="P10" s="926">
        <v>42063</v>
      </c>
      <c r="Q10" s="926">
        <v>42124</v>
      </c>
      <c r="R10" s="926">
        <v>42185</v>
      </c>
      <c r="S10" s="926">
        <v>42369</v>
      </c>
      <c r="T10" s="926"/>
      <c r="U10" s="926"/>
      <c r="V10" s="926">
        <v>42370</v>
      </c>
      <c r="W10" s="926">
        <v>42551</v>
      </c>
      <c r="X10" s="926">
        <v>42735</v>
      </c>
      <c r="Y10" s="926">
        <v>42613</v>
      </c>
      <c r="Z10" s="936"/>
      <c r="AA10" s="936">
        <v>42614</v>
      </c>
      <c r="AB10" s="936">
        <v>42643</v>
      </c>
      <c r="AC10" s="936">
        <v>42644</v>
      </c>
      <c r="AD10" s="936">
        <v>42825</v>
      </c>
      <c r="AE10" s="936">
        <v>43008</v>
      </c>
      <c r="AF10" s="936">
        <v>43100</v>
      </c>
      <c r="AG10" s="936">
        <v>43190</v>
      </c>
      <c r="AH10" s="992">
        <v>43281</v>
      </c>
      <c r="AI10" s="992" t="s">
        <v>892</v>
      </c>
      <c r="AJ10" s="991">
        <v>43373</v>
      </c>
      <c r="AK10" s="936"/>
      <c r="AL10" s="936"/>
      <c r="AM10" s="640">
        <f ca="1">SUM(AJ10-NOW())</f>
        <v>100.61546296296</v>
      </c>
      <c r="AN10" s="121" t="str">
        <f ca="1" t="shared" si="0"/>
        <v>ACTIVE</v>
      </c>
      <c r="AO10" s="997">
        <f>6848622+400000</f>
        <v>7248622</v>
      </c>
      <c r="AP10" s="945">
        <v>250000</v>
      </c>
      <c r="AQ10" s="945">
        <v>0</v>
      </c>
      <c r="AR10" s="952">
        <v>500000</v>
      </c>
      <c r="AS10" s="952">
        <v>200000</v>
      </c>
      <c r="AT10" s="945"/>
      <c r="AU10" s="945"/>
      <c r="AV10" s="1008">
        <f>1030000+100000</f>
        <v>1130000</v>
      </c>
      <c r="AW10" s="956" t="s">
        <v>48</v>
      </c>
      <c r="AX10" s="956" t="s">
        <v>48</v>
      </c>
      <c r="AY10" s="925" t="s">
        <v>7464</v>
      </c>
      <c r="AZ10" s="285" t="s">
        <v>7465</v>
      </c>
      <c r="BA10" s="285" t="s">
        <v>7466</v>
      </c>
      <c r="BB10" s="285" t="s">
        <v>7467</v>
      </c>
      <c r="BC10" s="285"/>
      <c r="BD10" s="285" t="s">
        <v>7468</v>
      </c>
      <c r="BE10" s="285">
        <v>8011947184</v>
      </c>
      <c r="BF10" s="285" t="s">
        <v>4713</v>
      </c>
      <c r="BG10" s="285" t="s">
        <v>7469</v>
      </c>
      <c r="BH10" s="912"/>
      <c r="BI10" s="1020" t="str">
        <f>VLOOKUP(D10,[3]Project_ISAT!$C$3:$K$19,9,0)</f>
        <v>Extended until P6</v>
      </c>
      <c r="BJ10" s="906">
        <f t="shared" si="1"/>
        <v>43281</v>
      </c>
      <c r="BK10" s="1021"/>
    </row>
    <row r="11" s="871" customFormat="1" ht="63" spans="2:63">
      <c r="B11" s="1573" t="s">
        <v>121</v>
      </c>
      <c r="C11" s="912" t="s">
        <v>7470</v>
      </c>
      <c r="D11" s="912" t="s">
        <v>7471</v>
      </c>
      <c r="E11" s="920" t="s">
        <v>7472</v>
      </c>
      <c r="F11" s="920" t="s">
        <v>125</v>
      </c>
      <c r="G11" s="920" t="s">
        <v>44</v>
      </c>
      <c r="H11" s="920" t="s">
        <v>44</v>
      </c>
      <c r="I11" s="925" t="s">
        <v>3528</v>
      </c>
      <c r="J11" s="925" t="s">
        <v>7405</v>
      </c>
      <c r="K11" s="912" t="s">
        <v>7473</v>
      </c>
      <c r="L11" s="926">
        <v>41518</v>
      </c>
      <c r="M11" s="926">
        <v>41639</v>
      </c>
      <c r="N11" s="926">
        <v>41820</v>
      </c>
      <c r="O11" s="926">
        <v>42004</v>
      </c>
      <c r="P11" s="926">
        <v>42035</v>
      </c>
      <c r="Q11" s="926">
        <v>42063</v>
      </c>
      <c r="R11" s="926">
        <v>42094</v>
      </c>
      <c r="S11" s="926">
        <v>42185</v>
      </c>
      <c r="T11" s="926">
        <v>42369</v>
      </c>
      <c r="U11" s="926"/>
      <c r="V11" s="926">
        <v>42370</v>
      </c>
      <c r="W11" s="926">
        <v>42551</v>
      </c>
      <c r="X11" s="926">
        <v>42735</v>
      </c>
      <c r="Y11" s="926">
        <v>42613</v>
      </c>
      <c r="Z11" s="936"/>
      <c r="AA11" s="936">
        <v>42614</v>
      </c>
      <c r="AB11" s="936">
        <v>42643</v>
      </c>
      <c r="AC11" s="936">
        <v>42644</v>
      </c>
      <c r="AD11" s="936">
        <v>42825</v>
      </c>
      <c r="AE11" s="936">
        <v>43008</v>
      </c>
      <c r="AF11" s="936">
        <v>43100</v>
      </c>
      <c r="AG11" s="936">
        <v>43190</v>
      </c>
      <c r="AH11" s="992">
        <v>43281</v>
      </c>
      <c r="AI11" s="991">
        <v>43373</v>
      </c>
      <c r="AJ11" s="936"/>
      <c r="AK11" s="936"/>
      <c r="AL11" s="936"/>
      <c r="AM11" s="640">
        <f ca="1">SUM(AI11-NOW())</f>
        <v>100.61546296296</v>
      </c>
      <c r="AN11" s="121" t="str">
        <f ca="1" t="shared" si="0"/>
        <v>ACTIVE</v>
      </c>
      <c r="AO11" s="996">
        <f>4773500+500000</f>
        <v>5273500</v>
      </c>
      <c r="AP11" s="945">
        <v>450000</v>
      </c>
      <c r="AQ11" s="945">
        <v>0</v>
      </c>
      <c r="AR11" s="945">
        <v>500000</v>
      </c>
      <c r="AS11" s="945">
        <v>250000</v>
      </c>
      <c r="AT11" s="945"/>
      <c r="AU11" s="945"/>
      <c r="AV11" s="955">
        <v>600000</v>
      </c>
      <c r="AW11" s="956" t="s">
        <v>48</v>
      </c>
      <c r="AX11" s="956" t="s">
        <v>48</v>
      </c>
      <c r="AY11" s="925" t="s">
        <v>7474</v>
      </c>
      <c r="AZ11" s="285" t="s">
        <v>7475</v>
      </c>
      <c r="BA11" s="1552" t="s">
        <v>7476</v>
      </c>
      <c r="BB11" s="285" t="s">
        <v>7477</v>
      </c>
      <c r="BC11" s="285"/>
      <c r="BD11" s="285" t="s">
        <v>7478</v>
      </c>
      <c r="BE11" s="285">
        <v>12011387961</v>
      </c>
      <c r="BF11" s="285" t="s">
        <v>7479</v>
      </c>
      <c r="BG11" s="285" t="s">
        <v>7480</v>
      </c>
      <c r="BH11" s="912"/>
      <c r="BI11" s="1020" t="str">
        <f>VLOOKUP(D11,[3]Project_ISAT!$C$3:$K$19,9,0)</f>
        <v>Extended until P6</v>
      </c>
      <c r="BJ11" s="906">
        <f t="shared" si="1"/>
        <v>43281</v>
      </c>
      <c r="BK11" s="1021"/>
    </row>
    <row r="12" s="871" customFormat="1" ht="31.5" spans="2:63">
      <c r="B12" s="1573" t="s">
        <v>135</v>
      </c>
      <c r="C12" s="912" t="s">
        <v>7481</v>
      </c>
      <c r="D12" s="912" t="s">
        <v>7482</v>
      </c>
      <c r="E12" s="920">
        <v>29496</v>
      </c>
      <c r="F12" s="920" t="s">
        <v>125</v>
      </c>
      <c r="G12" s="920" t="s">
        <v>44</v>
      </c>
      <c r="H12" s="920" t="s">
        <v>44</v>
      </c>
      <c r="I12" s="925" t="s">
        <v>1068</v>
      </c>
      <c r="J12" s="925" t="s">
        <v>7483</v>
      </c>
      <c r="K12" s="912" t="s">
        <v>4922</v>
      </c>
      <c r="L12" s="926">
        <v>41593</v>
      </c>
      <c r="M12" s="926">
        <v>42004</v>
      </c>
      <c r="N12" s="926">
        <v>42035</v>
      </c>
      <c r="O12" s="926">
        <v>42094</v>
      </c>
      <c r="P12" s="926">
        <v>42124</v>
      </c>
      <c r="Q12" s="926">
        <v>42216</v>
      </c>
      <c r="R12" s="926">
        <v>42277</v>
      </c>
      <c r="S12" s="926">
        <v>42369</v>
      </c>
      <c r="T12" s="926"/>
      <c r="U12" s="926"/>
      <c r="V12" s="926">
        <v>42370</v>
      </c>
      <c r="W12" s="926">
        <v>42551</v>
      </c>
      <c r="X12" s="926">
        <v>42643</v>
      </c>
      <c r="Y12" s="926">
        <v>42735</v>
      </c>
      <c r="Z12" s="936">
        <v>42688</v>
      </c>
      <c r="AA12" s="936">
        <v>42689</v>
      </c>
      <c r="AB12" s="936">
        <v>42718</v>
      </c>
      <c r="AC12" s="936">
        <v>42719</v>
      </c>
      <c r="AD12" s="936">
        <v>42825</v>
      </c>
      <c r="AE12" s="936">
        <v>43008</v>
      </c>
      <c r="AF12" s="936">
        <v>43100</v>
      </c>
      <c r="AG12" s="936">
        <v>43190</v>
      </c>
      <c r="AH12" s="993">
        <v>43373</v>
      </c>
      <c r="AI12" s="936"/>
      <c r="AJ12" s="936"/>
      <c r="AK12" s="936"/>
      <c r="AL12" s="936"/>
      <c r="AM12" s="640">
        <f ca="1">SUM(AH12-NOW())</f>
        <v>100.61546296296</v>
      </c>
      <c r="AN12" s="121" t="str">
        <f ca="1" t="shared" si="0"/>
        <v>ACTIVE</v>
      </c>
      <c r="AO12" s="997">
        <f>4614375+500000</f>
        <v>5114375</v>
      </c>
      <c r="AP12" s="945">
        <v>500000</v>
      </c>
      <c r="AQ12" s="945">
        <v>0</v>
      </c>
      <c r="AR12" s="945">
        <v>500000</v>
      </c>
      <c r="AS12" s="952">
        <v>450000</v>
      </c>
      <c r="AT12" s="945"/>
      <c r="AU12" s="945"/>
      <c r="AV12" s="955" t="s">
        <v>7484</v>
      </c>
      <c r="AW12" s="956" t="s">
        <v>48</v>
      </c>
      <c r="AX12" s="956" t="s">
        <v>48</v>
      </c>
      <c r="AY12" s="925" t="s">
        <v>7485</v>
      </c>
      <c r="AZ12" s="285" t="s">
        <v>7486</v>
      </c>
      <c r="BA12" s="285" t="s">
        <v>7487</v>
      </c>
      <c r="BB12" s="285" t="s">
        <v>7488</v>
      </c>
      <c r="BC12" s="285"/>
      <c r="BD12" s="285" t="s">
        <v>7489</v>
      </c>
      <c r="BE12" s="285"/>
      <c r="BF12" s="285" t="s">
        <v>7490</v>
      </c>
      <c r="BG12" s="285" t="s">
        <v>7491</v>
      </c>
      <c r="BH12" s="912"/>
      <c r="BI12" s="1020" t="str">
        <f>VLOOKUP(D12,[3]Project_ISAT!$C$3:$K$19,9,0)</f>
        <v>Extended until P9</v>
      </c>
      <c r="BJ12" s="906">
        <f t="shared" si="1"/>
        <v>43373</v>
      </c>
      <c r="BK12" s="1021"/>
    </row>
    <row r="13" s="871" customFormat="1" ht="31.5" spans="2:63">
      <c r="B13" s="1573" t="s">
        <v>146</v>
      </c>
      <c r="C13" s="912" t="s">
        <v>7492</v>
      </c>
      <c r="D13" s="912" t="s">
        <v>7493</v>
      </c>
      <c r="E13" s="920" t="s">
        <v>7494</v>
      </c>
      <c r="F13" s="920" t="s">
        <v>43</v>
      </c>
      <c r="G13" s="920" t="s">
        <v>60</v>
      </c>
      <c r="H13" s="920" t="s">
        <v>60</v>
      </c>
      <c r="I13" s="925" t="s">
        <v>3528</v>
      </c>
      <c r="J13" s="925" t="s">
        <v>7483</v>
      </c>
      <c r="K13" s="912" t="s">
        <v>7495</v>
      </c>
      <c r="L13" s="926">
        <v>42278</v>
      </c>
      <c r="M13" s="926">
        <v>42369</v>
      </c>
      <c r="N13" s="926">
        <v>42460</v>
      </c>
      <c r="O13" s="926">
        <v>42551</v>
      </c>
      <c r="P13" s="926">
        <v>42704</v>
      </c>
      <c r="Q13" s="926">
        <v>42735</v>
      </c>
      <c r="R13" s="926">
        <v>42825</v>
      </c>
      <c r="S13" s="926">
        <v>42916</v>
      </c>
      <c r="T13" s="926">
        <v>43008</v>
      </c>
      <c r="U13" s="926"/>
      <c r="V13" s="926">
        <v>43009</v>
      </c>
      <c r="W13" s="936">
        <v>43100</v>
      </c>
      <c r="X13" s="936">
        <v>43190</v>
      </c>
      <c r="Y13" s="932">
        <v>43373</v>
      </c>
      <c r="Z13" s="986" t="s">
        <v>7496</v>
      </c>
      <c r="AA13" s="936"/>
      <c r="AB13" s="936"/>
      <c r="AC13" s="936"/>
      <c r="AD13" s="936"/>
      <c r="AE13" s="936"/>
      <c r="AF13" s="936"/>
      <c r="AG13" s="936"/>
      <c r="AH13" s="936"/>
      <c r="AI13" s="936"/>
      <c r="AJ13" s="936"/>
      <c r="AK13" s="936"/>
      <c r="AL13" s="936"/>
      <c r="AM13" s="640">
        <f ca="1">SUM(Y13-NOW())</f>
        <v>100.61546296296</v>
      </c>
      <c r="AN13" s="121" t="str">
        <f ca="1" t="shared" si="0"/>
        <v>ACTIVE</v>
      </c>
      <c r="AO13" s="998">
        <v>14000000</v>
      </c>
      <c r="AP13" s="945">
        <v>1000000</v>
      </c>
      <c r="AQ13" s="999">
        <v>2500000</v>
      </c>
      <c r="AR13" s="945">
        <v>500000</v>
      </c>
      <c r="AS13" s="999">
        <v>400000</v>
      </c>
      <c r="AT13" s="945">
        <v>0</v>
      </c>
      <c r="AU13" s="945"/>
      <c r="AV13" s="955" t="s">
        <v>4669</v>
      </c>
      <c r="AW13" s="956" t="s">
        <v>48</v>
      </c>
      <c r="AX13" s="956" t="s">
        <v>48</v>
      </c>
      <c r="AY13" s="925" t="s">
        <v>7497</v>
      </c>
      <c r="AZ13" s="285" t="s">
        <v>7498</v>
      </c>
      <c r="BA13" s="285" t="s">
        <v>7499</v>
      </c>
      <c r="BB13" s="285" t="s">
        <v>7500</v>
      </c>
      <c r="BC13" s="285" t="s">
        <v>7501</v>
      </c>
      <c r="BD13" s="285" t="s">
        <v>7502</v>
      </c>
      <c r="BE13" s="285">
        <v>14035444307</v>
      </c>
      <c r="BF13" s="285" t="s">
        <v>7503</v>
      </c>
      <c r="BG13" s="285" t="s">
        <v>7504</v>
      </c>
      <c r="BH13" s="912"/>
      <c r="BI13" s="1020" t="str">
        <f>VLOOKUP(D13,[3]Project_ISAT!$C$3:$K$19,9,0)</f>
        <v>Extended until P9</v>
      </c>
      <c r="BJ13" s="906">
        <f t="shared" si="1"/>
        <v>43373</v>
      </c>
      <c r="BK13" s="1021"/>
    </row>
    <row r="14" s="907" customFormat="1" ht="31.5" spans="2:63">
      <c r="B14" s="1573" t="s">
        <v>157</v>
      </c>
      <c r="C14" s="972" t="s">
        <v>2798</v>
      </c>
      <c r="D14" s="973" t="s">
        <v>2799</v>
      </c>
      <c r="E14" s="975" t="s">
        <v>2800</v>
      </c>
      <c r="F14" s="976" t="s">
        <v>43</v>
      </c>
      <c r="G14" s="977" t="s">
        <v>254</v>
      </c>
      <c r="H14" s="977" t="s">
        <v>254</v>
      </c>
      <c r="I14" s="976" t="s">
        <v>7505</v>
      </c>
      <c r="J14" s="976" t="s">
        <v>7506</v>
      </c>
      <c r="K14" s="976" t="s">
        <v>7507</v>
      </c>
      <c r="L14" s="980">
        <v>42522</v>
      </c>
      <c r="M14" s="980">
        <v>42603</v>
      </c>
      <c r="N14" s="980">
        <v>42695</v>
      </c>
      <c r="O14" s="980">
        <v>42855</v>
      </c>
      <c r="P14" s="980">
        <v>42916</v>
      </c>
      <c r="Q14" s="980">
        <v>43008</v>
      </c>
      <c r="R14" s="980">
        <v>43131</v>
      </c>
      <c r="S14" s="981">
        <v>43251</v>
      </c>
      <c r="T14" s="980"/>
      <c r="U14" s="980"/>
      <c r="V14" s="980">
        <v>43252</v>
      </c>
      <c r="W14" s="981">
        <v>43281</v>
      </c>
      <c r="X14" s="985">
        <v>43465</v>
      </c>
      <c r="Y14" s="980"/>
      <c r="Z14" s="980"/>
      <c r="AA14" s="987"/>
      <c r="AB14" s="987"/>
      <c r="AC14" s="987"/>
      <c r="AD14" s="987"/>
      <c r="AE14" s="987"/>
      <c r="AF14" s="987"/>
      <c r="AG14" s="987"/>
      <c r="AH14" s="987"/>
      <c r="AI14" s="987"/>
      <c r="AJ14" s="936"/>
      <c r="AK14" s="936"/>
      <c r="AL14" s="936"/>
      <c r="AM14" s="640">
        <f ca="1">SUM(X14-NOW())</f>
        <v>192.61546296296</v>
      </c>
      <c r="AN14" s="121" t="str">
        <f ca="1" t="shared" ref="AN14:AN20" si="2">IF(AM14&lt;=40,"WARNING","ACTIVE")</f>
        <v>ACTIVE</v>
      </c>
      <c r="AO14" s="1000">
        <v>7000000</v>
      </c>
      <c r="AP14" s="1000">
        <v>500000</v>
      </c>
      <c r="AQ14" s="1001">
        <v>2000000</v>
      </c>
      <c r="AR14" s="1001">
        <v>500000</v>
      </c>
      <c r="AS14" s="1001">
        <v>250000</v>
      </c>
      <c r="AT14" s="1001"/>
      <c r="AU14" s="1001">
        <v>500000</v>
      </c>
      <c r="AV14" s="1001" t="s">
        <v>7508</v>
      </c>
      <c r="AW14" s="1001" t="s">
        <v>113</v>
      </c>
      <c r="AX14" s="1001" t="s">
        <v>7509</v>
      </c>
      <c r="AY14" s="976" t="s">
        <v>7510</v>
      </c>
      <c r="AZ14" s="976" t="s">
        <v>2803</v>
      </c>
      <c r="BA14" s="1533" t="s">
        <v>2804</v>
      </c>
      <c r="BB14" s="1011" t="s">
        <v>2805</v>
      </c>
      <c r="BC14" s="1011" t="s">
        <v>2806</v>
      </c>
      <c r="BD14" s="1011" t="s">
        <v>2807</v>
      </c>
      <c r="BE14" s="1011">
        <v>10032638990</v>
      </c>
      <c r="BF14" s="1011" t="s">
        <v>2808</v>
      </c>
      <c r="BG14" s="1011" t="s">
        <v>2809</v>
      </c>
      <c r="BH14" s="980"/>
      <c r="BI14" s="1020" t="str">
        <f>VLOOKUP(D14,[3]Project_ISAT!$C$3:$K$19,9,0)</f>
        <v>Keep P6</v>
      </c>
      <c r="BJ14" s="906">
        <f t="shared" si="1"/>
        <v>43465</v>
      </c>
      <c r="BK14" s="1021"/>
    </row>
    <row r="15" s="873" customFormat="1" ht="21" spans="2:63">
      <c r="B15" s="1573" t="s">
        <v>168</v>
      </c>
      <c r="C15" s="164" t="s">
        <v>7511</v>
      </c>
      <c r="D15" s="164" t="s">
        <v>7512</v>
      </c>
      <c r="E15" s="975" t="s">
        <v>7513</v>
      </c>
      <c r="F15" s="978" t="s">
        <v>43</v>
      </c>
      <c r="G15" s="978" t="s">
        <v>254</v>
      </c>
      <c r="H15" s="978" t="s">
        <v>254</v>
      </c>
      <c r="I15" s="925" t="s">
        <v>7514</v>
      </c>
      <c r="J15" s="925" t="s">
        <v>7515</v>
      </c>
      <c r="K15" s="925" t="s">
        <v>5325</v>
      </c>
      <c r="L15" s="981">
        <v>42552</v>
      </c>
      <c r="M15" s="981">
        <v>42643</v>
      </c>
      <c r="N15" s="981">
        <v>42825</v>
      </c>
      <c r="O15" s="981">
        <v>42855</v>
      </c>
      <c r="P15" s="981">
        <v>42916</v>
      </c>
      <c r="Q15" s="981">
        <v>42978</v>
      </c>
      <c r="R15" s="981">
        <v>43131</v>
      </c>
      <c r="S15" s="981">
        <v>43281</v>
      </c>
      <c r="T15" s="981"/>
      <c r="U15" s="981"/>
      <c r="V15" s="981">
        <v>43282</v>
      </c>
      <c r="W15" s="984">
        <v>43465</v>
      </c>
      <c r="X15" s="981"/>
      <c r="Y15" s="981"/>
      <c r="Z15" s="988"/>
      <c r="AA15" s="988"/>
      <c r="AB15" s="988"/>
      <c r="AC15" s="988"/>
      <c r="AD15" s="988"/>
      <c r="AE15" s="988"/>
      <c r="AF15" s="988"/>
      <c r="AG15" s="988"/>
      <c r="AH15" s="988"/>
      <c r="AI15" s="988"/>
      <c r="AJ15" s="936"/>
      <c r="AK15" s="936"/>
      <c r="AL15" s="936"/>
      <c r="AM15" s="640">
        <f ca="1">SUM(W15-NOW())</f>
        <v>192.61546296296</v>
      </c>
      <c r="AN15" s="121" t="str">
        <f ca="1" t="shared" si="2"/>
        <v>ACTIVE</v>
      </c>
      <c r="AO15" s="1002">
        <v>19500000</v>
      </c>
      <c r="AP15" s="1002">
        <v>1000000</v>
      </c>
      <c r="AQ15" s="1002"/>
      <c r="AR15" s="1002">
        <v>500000</v>
      </c>
      <c r="AS15" s="1002">
        <v>200000</v>
      </c>
      <c r="AT15" s="1002">
        <v>1500000</v>
      </c>
      <c r="AU15" s="1002">
        <v>1200000</v>
      </c>
      <c r="AV15" s="1009" t="s">
        <v>0</v>
      </c>
      <c r="AW15" s="1010" t="s">
        <v>48</v>
      </c>
      <c r="AX15" s="1010" t="s">
        <v>48</v>
      </c>
      <c r="AY15" s="1010"/>
      <c r="AZ15" s="285" t="s">
        <v>7516</v>
      </c>
      <c r="BA15" s="961" t="s">
        <v>7517</v>
      </c>
      <c r="BB15" s="1012" t="s">
        <v>7518</v>
      </c>
      <c r="BC15" s="1009" t="s">
        <v>7519</v>
      </c>
      <c r="BD15" s="1009" t="s">
        <v>7520</v>
      </c>
      <c r="BE15" s="1009" t="s">
        <v>7521</v>
      </c>
      <c r="BF15" s="1015" t="s">
        <v>7522</v>
      </c>
      <c r="BG15" s="961" t="s">
        <v>7523</v>
      </c>
      <c r="BH15" s="1016" t="s">
        <v>5146</v>
      </c>
      <c r="BI15" s="1020" t="str">
        <f>VLOOKUP(D15,[3]Project_ISAT!$C$3:$K$19,9,0)</f>
        <v>Keep P6</v>
      </c>
      <c r="BJ15" s="906">
        <f t="shared" si="1"/>
        <v>43465</v>
      </c>
      <c r="BK15" s="1021"/>
    </row>
    <row r="16" s="873" customFormat="1" ht="25.5" spans="2:63">
      <c r="B16" s="1573" t="s">
        <v>181</v>
      </c>
      <c r="C16" s="164" t="s">
        <v>7524</v>
      </c>
      <c r="D16" s="164" t="s">
        <v>7525</v>
      </c>
      <c r="E16" s="975">
        <v>30838</v>
      </c>
      <c r="F16" s="978" t="s">
        <v>43</v>
      </c>
      <c r="G16" s="978" t="s">
        <v>254</v>
      </c>
      <c r="H16" s="978" t="s">
        <v>254</v>
      </c>
      <c r="I16" s="925" t="s">
        <v>7526</v>
      </c>
      <c r="J16" s="925" t="s">
        <v>7515</v>
      </c>
      <c r="K16" s="925" t="s">
        <v>6331</v>
      </c>
      <c r="L16" s="981">
        <v>42738</v>
      </c>
      <c r="M16" s="981">
        <v>42825</v>
      </c>
      <c r="N16" s="981">
        <v>42886</v>
      </c>
      <c r="O16" s="981">
        <v>42916</v>
      </c>
      <c r="P16" s="981">
        <v>42978</v>
      </c>
      <c r="Q16" s="981">
        <v>43131</v>
      </c>
      <c r="R16" s="981">
        <v>43281</v>
      </c>
      <c r="S16" s="984">
        <v>43465</v>
      </c>
      <c r="T16" s="981"/>
      <c r="U16" s="981"/>
      <c r="V16" s="981"/>
      <c r="W16" s="981"/>
      <c r="X16" s="981"/>
      <c r="Y16" s="981"/>
      <c r="Z16" s="988"/>
      <c r="AA16" s="988"/>
      <c r="AB16" s="988"/>
      <c r="AC16" s="988"/>
      <c r="AD16" s="988"/>
      <c r="AE16" s="988"/>
      <c r="AF16" s="988"/>
      <c r="AG16" s="988"/>
      <c r="AH16" s="988"/>
      <c r="AI16" s="988"/>
      <c r="AJ16" s="936"/>
      <c r="AK16" s="936"/>
      <c r="AL16" s="936"/>
      <c r="AM16" s="640">
        <f ca="1">SUM(S16-NOW())</f>
        <v>192.61546296296</v>
      </c>
      <c r="AN16" s="121" t="str">
        <f ca="1" t="shared" si="2"/>
        <v>ACTIVE</v>
      </c>
      <c r="AO16" s="1002">
        <v>11000000</v>
      </c>
      <c r="AP16" s="1002">
        <v>500000</v>
      </c>
      <c r="AQ16" s="1002">
        <v>1500000</v>
      </c>
      <c r="AR16" s="1002">
        <v>500000</v>
      </c>
      <c r="AS16" s="1002">
        <v>250000</v>
      </c>
      <c r="AT16" s="1002"/>
      <c r="AU16" s="1002">
        <v>500000</v>
      </c>
      <c r="AV16" s="1009" t="s">
        <v>112</v>
      </c>
      <c r="AW16" s="1010" t="s">
        <v>113</v>
      </c>
      <c r="AX16" s="1010" t="s">
        <v>113</v>
      </c>
      <c r="AY16" s="1010"/>
      <c r="AZ16" s="285" t="s">
        <v>7527</v>
      </c>
      <c r="BA16" s="961" t="s">
        <v>7528</v>
      </c>
      <c r="BB16" s="1012" t="s">
        <v>7529</v>
      </c>
      <c r="BC16" s="1009"/>
      <c r="BD16" s="1009" t="s">
        <v>7530</v>
      </c>
      <c r="BE16" s="1009">
        <v>10030051089</v>
      </c>
      <c r="BF16" s="1015"/>
      <c r="BG16" s="961" t="s">
        <v>7531</v>
      </c>
      <c r="BH16" s="1016" t="s">
        <v>5146</v>
      </c>
      <c r="BI16" s="1020" t="str">
        <f>VLOOKUP(D16,[3]Project_ISAT!$C$3:$K$19,9,0)</f>
        <v>Extended until P6</v>
      </c>
      <c r="BJ16" s="906">
        <f t="shared" si="1"/>
        <v>43465</v>
      </c>
      <c r="BK16" s="1021"/>
    </row>
    <row r="17" s="873" customFormat="1" ht="15.95" customHeight="1" spans="2:63">
      <c r="B17" s="1573" t="s">
        <v>194</v>
      </c>
      <c r="C17" s="164" t="s">
        <v>7532</v>
      </c>
      <c r="D17" s="164" t="s">
        <v>7533</v>
      </c>
      <c r="E17" s="975" t="s">
        <v>7534</v>
      </c>
      <c r="F17" s="978" t="s">
        <v>43</v>
      </c>
      <c r="G17" s="978" t="s">
        <v>254</v>
      </c>
      <c r="H17" s="978" t="s">
        <v>254</v>
      </c>
      <c r="I17" s="925" t="s">
        <v>1068</v>
      </c>
      <c r="J17" s="925" t="s">
        <v>7535</v>
      </c>
      <c r="K17" s="925" t="s">
        <v>993</v>
      </c>
      <c r="L17" s="981">
        <v>43018</v>
      </c>
      <c r="M17" s="981">
        <v>43048</v>
      </c>
      <c r="N17" s="981">
        <v>43078</v>
      </c>
      <c r="O17" s="981">
        <v>43263</v>
      </c>
      <c r="P17" s="983">
        <v>43446</v>
      </c>
      <c r="Q17" s="981"/>
      <c r="R17" s="981"/>
      <c r="S17" s="981"/>
      <c r="T17" s="981"/>
      <c r="U17" s="981"/>
      <c r="V17" s="981"/>
      <c r="W17" s="981"/>
      <c r="X17" s="981"/>
      <c r="Y17" s="981"/>
      <c r="Z17" s="988"/>
      <c r="AA17" s="988"/>
      <c r="AB17" s="988"/>
      <c r="AC17" s="988"/>
      <c r="AD17" s="988"/>
      <c r="AE17" s="988"/>
      <c r="AF17" s="988"/>
      <c r="AG17" s="988"/>
      <c r="AH17" s="988"/>
      <c r="AI17" s="988"/>
      <c r="AJ17" s="936"/>
      <c r="AK17" s="936"/>
      <c r="AL17" s="936"/>
      <c r="AM17" s="640">
        <f ca="1">SUM(P17-NOW())</f>
        <v>173.61546296296</v>
      </c>
      <c r="AN17" s="121" t="str">
        <f ca="1" t="shared" si="2"/>
        <v>ACTIVE</v>
      </c>
      <c r="AO17" s="1002">
        <v>9000000</v>
      </c>
      <c r="AP17" s="1002">
        <v>250000</v>
      </c>
      <c r="AQ17" s="1002">
        <v>1500000</v>
      </c>
      <c r="AR17" s="1002"/>
      <c r="AS17" s="1002"/>
      <c r="AT17" s="1002"/>
      <c r="AU17" s="1002">
        <v>1000000</v>
      </c>
      <c r="AV17" s="1009" t="s">
        <v>112</v>
      </c>
      <c r="AW17" s="1010" t="s">
        <v>113</v>
      </c>
      <c r="AX17" s="1010" t="s">
        <v>113</v>
      </c>
      <c r="AY17" s="1010"/>
      <c r="AZ17" s="285" t="s">
        <v>7536</v>
      </c>
      <c r="BA17" s="961" t="s">
        <v>7537</v>
      </c>
      <c r="BB17" s="1012" t="s">
        <v>7538</v>
      </c>
      <c r="BC17" s="1009" t="s">
        <v>7539</v>
      </c>
      <c r="BD17" s="1009" t="s">
        <v>7540</v>
      </c>
      <c r="BE17" s="1009"/>
      <c r="BF17" s="1015"/>
      <c r="BG17" s="127" t="s">
        <v>7541</v>
      </c>
      <c r="BH17" s="1016"/>
      <c r="BI17" s="1020" t="str">
        <f>VLOOKUP(D17,[3]Project_ISAT!$C$3:$K$19,9,0)</f>
        <v>12 of June 2018</v>
      </c>
      <c r="BJ17" s="906">
        <f t="shared" si="1"/>
        <v>43446</v>
      </c>
      <c r="BK17" s="1021"/>
    </row>
    <row r="18" s="873" customFormat="1" ht="15.95" customHeight="1" spans="2:63">
      <c r="B18" s="1573" t="s">
        <v>204</v>
      </c>
      <c r="C18" s="164" t="s">
        <v>4680</v>
      </c>
      <c r="D18" s="164" t="s">
        <v>4681</v>
      </c>
      <c r="E18" s="975" t="s">
        <v>733</v>
      </c>
      <c r="F18" s="978" t="s">
        <v>43</v>
      </c>
      <c r="G18" s="978" t="s">
        <v>60</v>
      </c>
      <c r="H18" s="978" t="s">
        <v>60</v>
      </c>
      <c r="I18" s="925" t="s">
        <v>2910</v>
      </c>
      <c r="J18" s="925" t="s">
        <v>7535</v>
      </c>
      <c r="K18" s="925" t="s">
        <v>993</v>
      </c>
      <c r="L18" s="981">
        <v>43102</v>
      </c>
      <c r="M18" s="981">
        <v>43281</v>
      </c>
      <c r="N18" s="984">
        <v>43465</v>
      </c>
      <c r="O18" s="981"/>
      <c r="P18" s="981"/>
      <c r="Q18" s="981"/>
      <c r="R18" s="981"/>
      <c r="S18" s="981"/>
      <c r="T18" s="981"/>
      <c r="U18" s="981"/>
      <c r="V18" s="981"/>
      <c r="W18" s="981"/>
      <c r="X18" s="981"/>
      <c r="Y18" s="981"/>
      <c r="Z18" s="988"/>
      <c r="AA18" s="988"/>
      <c r="AB18" s="988"/>
      <c r="AC18" s="988"/>
      <c r="AD18" s="988"/>
      <c r="AE18" s="988"/>
      <c r="AF18" s="988"/>
      <c r="AG18" s="988"/>
      <c r="AH18" s="988"/>
      <c r="AI18" s="988"/>
      <c r="AJ18" s="936"/>
      <c r="AK18" s="936"/>
      <c r="AL18" s="936"/>
      <c r="AM18" s="640">
        <f ca="1">SUM(N18-NOW())</f>
        <v>192.61546296296</v>
      </c>
      <c r="AN18" s="121" t="str">
        <f ca="1" t="shared" si="2"/>
        <v>ACTIVE</v>
      </c>
      <c r="AO18" s="1002">
        <v>8000000</v>
      </c>
      <c r="AP18" s="1002">
        <v>500000</v>
      </c>
      <c r="AQ18" s="1002">
        <v>2500000</v>
      </c>
      <c r="AR18" s="1002">
        <v>500000</v>
      </c>
      <c r="AS18" s="1002">
        <v>250000</v>
      </c>
      <c r="AT18" s="1002"/>
      <c r="AU18" s="1002">
        <v>2000000</v>
      </c>
      <c r="AV18" s="1009" t="s">
        <v>6823</v>
      </c>
      <c r="AW18" s="1010" t="s">
        <v>113</v>
      </c>
      <c r="AX18" s="1010" t="s">
        <v>113</v>
      </c>
      <c r="AY18" s="1010"/>
      <c r="AZ18" s="285" t="s">
        <v>7542</v>
      </c>
      <c r="BA18" s="961" t="s">
        <v>4687</v>
      </c>
      <c r="BB18" s="1012" t="s">
        <v>7543</v>
      </c>
      <c r="BC18" s="1009" t="s">
        <v>4689</v>
      </c>
      <c r="BD18" s="1009" t="s">
        <v>4690</v>
      </c>
      <c r="BE18" s="1009"/>
      <c r="BF18" s="1015"/>
      <c r="BG18" s="127" t="s">
        <v>4691</v>
      </c>
      <c r="BH18" s="1016"/>
      <c r="BI18" s="1020" t="str">
        <f>VLOOKUP(D18,[3]Project_ISAT!$C$3:$K$19,9,0)</f>
        <v>Keep P6</v>
      </c>
      <c r="BJ18" s="906">
        <f t="shared" si="1"/>
        <v>43465</v>
      </c>
      <c r="BK18" s="1021"/>
    </row>
    <row r="19" s="873" customFormat="1" ht="15.95" customHeight="1" spans="2:62">
      <c r="B19" s="1573" t="s">
        <v>215</v>
      </c>
      <c r="C19" s="164" t="s">
        <v>7544</v>
      </c>
      <c r="D19" s="164" t="s">
        <v>7227</v>
      </c>
      <c r="E19" s="975" t="s">
        <v>7545</v>
      </c>
      <c r="F19" s="978" t="s">
        <v>43</v>
      </c>
      <c r="G19" s="978" t="s">
        <v>60</v>
      </c>
      <c r="H19" s="978" t="s">
        <v>60</v>
      </c>
      <c r="I19" s="925" t="s">
        <v>1300</v>
      </c>
      <c r="J19" s="925" t="s">
        <v>7535</v>
      </c>
      <c r="K19" s="925" t="s">
        <v>993</v>
      </c>
      <c r="L19" s="981">
        <v>43145</v>
      </c>
      <c r="M19" s="981">
        <v>43325</v>
      </c>
      <c r="N19" s="984">
        <v>43373</v>
      </c>
      <c r="O19" s="981"/>
      <c r="P19" s="981"/>
      <c r="Q19" s="981"/>
      <c r="R19" s="981"/>
      <c r="S19" s="981"/>
      <c r="T19" s="981"/>
      <c r="U19" s="981"/>
      <c r="V19" s="981"/>
      <c r="W19" s="981"/>
      <c r="X19" s="981"/>
      <c r="Y19" s="981"/>
      <c r="Z19" s="988"/>
      <c r="AA19" s="988"/>
      <c r="AB19" s="988"/>
      <c r="AC19" s="988"/>
      <c r="AD19" s="988"/>
      <c r="AE19" s="988"/>
      <c r="AF19" s="988"/>
      <c r="AG19" s="988"/>
      <c r="AH19" s="988"/>
      <c r="AI19" s="988"/>
      <c r="AJ19" s="936"/>
      <c r="AK19" s="936"/>
      <c r="AL19" s="936"/>
      <c r="AM19" s="640">
        <f ca="1">SUM(N19-NOW())</f>
        <v>100.61546296296</v>
      </c>
      <c r="AN19" s="121" t="str">
        <f ca="1" t="shared" si="2"/>
        <v>ACTIVE</v>
      </c>
      <c r="AO19" s="1002">
        <v>8500000</v>
      </c>
      <c r="AP19" s="1002">
        <v>500000</v>
      </c>
      <c r="AQ19" s="1002">
        <v>2000000</v>
      </c>
      <c r="AR19" s="1002">
        <v>500000</v>
      </c>
      <c r="AS19" s="1002">
        <v>250000</v>
      </c>
      <c r="AT19" s="1002"/>
      <c r="AU19" s="1002"/>
      <c r="AV19" s="1009" t="s">
        <v>112</v>
      </c>
      <c r="AW19" s="1010" t="s">
        <v>113</v>
      </c>
      <c r="AX19" s="1010" t="s">
        <v>113</v>
      </c>
      <c r="AY19" s="1010"/>
      <c r="AZ19" s="285" t="s">
        <v>7229</v>
      </c>
      <c r="BA19" s="961" t="s">
        <v>7230</v>
      </c>
      <c r="BB19" s="1012" t="s">
        <v>7546</v>
      </c>
      <c r="BC19" s="1009" t="s">
        <v>7232</v>
      </c>
      <c r="BD19" s="1009" t="s">
        <v>7233</v>
      </c>
      <c r="BE19" s="1009" t="s">
        <v>7345</v>
      </c>
      <c r="BF19" s="1015"/>
      <c r="BG19" s="127" t="s">
        <v>7234</v>
      </c>
      <c r="BH19" s="1016"/>
      <c r="BI19" s="1020" t="str">
        <f>VLOOKUP(D19,[3]Project_ISAT!$C$3:$K$19,9,0)</f>
        <v>6 months</v>
      </c>
      <c r="BJ19" s="873">
        <f t="shared" si="1"/>
        <v>43373</v>
      </c>
    </row>
    <row r="20" s="873" customFormat="1" ht="15.95" customHeight="1" spans="2:61">
      <c r="B20" s="1573" t="s">
        <v>229</v>
      </c>
      <c r="C20" s="164" t="s">
        <v>7547</v>
      </c>
      <c r="D20" s="164" t="s">
        <v>7548</v>
      </c>
      <c r="E20" s="975" t="s">
        <v>7549</v>
      </c>
      <c r="F20" s="978" t="s">
        <v>43</v>
      </c>
      <c r="G20" s="978" t="s">
        <v>44</v>
      </c>
      <c r="H20" s="978" t="s">
        <v>44</v>
      </c>
      <c r="I20" s="925" t="s">
        <v>3528</v>
      </c>
      <c r="J20" s="925" t="s">
        <v>7535</v>
      </c>
      <c r="K20" s="925" t="s">
        <v>4565</v>
      </c>
      <c r="L20" s="981">
        <v>43206</v>
      </c>
      <c r="M20" s="981">
        <v>43388</v>
      </c>
      <c r="N20" s="984">
        <v>43373</v>
      </c>
      <c r="O20" s="981"/>
      <c r="P20" s="981"/>
      <c r="Q20" s="981"/>
      <c r="R20" s="981"/>
      <c r="S20" s="981"/>
      <c r="T20" s="981"/>
      <c r="U20" s="981"/>
      <c r="V20" s="981"/>
      <c r="W20" s="981"/>
      <c r="X20" s="981"/>
      <c r="Y20" s="981"/>
      <c r="Z20" s="988"/>
      <c r="AA20" s="988"/>
      <c r="AB20" s="988"/>
      <c r="AC20" s="988"/>
      <c r="AD20" s="988"/>
      <c r="AE20" s="988"/>
      <c r="AF20" s="988"/>
      <c r="AG20" s="988"/>
      <c r="AH20" s="988"/>
      <c r="AI20" s="988"/>
      <c r="AJ20" s="936"/>
      <c r="AK20" s="936"/>
      <c r="AL20" s="936"/>
      <c r="AM20" s="640">
        <f ca="1">SUM(M20-NOW())</f>
        <v>115.61546296296</v>
      </c>
      <c r="AN20" s="121" t="str">
        <f ca="1" t="shared" si="2"/>
        <v>ACTIVE</v>
      </c>
      <c r="AO20" s="1002">
        <v>5500000</v>
      </c>
      <c r="AP20" s="1002">
        <v>500000</v>
      </c>
      <c r="AQ20" s="1002"/>
      <c r="AR20" s="1002">
        <v>500000</v>
      </c>
      <c r="AS20" s="1002"/>
      <c r="AT20" s="1002" t="s">
        <v>583</v>
      </c>
      <c r="AU20" s="1002" t="s">
        <v>583</v>
      </c>
      <c r="AV20" s="1009" t="s">
        <v>112</v>
      </c>
      <c r="AW20" s="1010" t="s">
        <v>113</v>
      </c>
      <c r="AX20" s="1010" t="s">
        <v>113</v>
      </c>
      <c r="AY20" s="1010"/>
      <c r="AZ20" s="285" t="s">
        <v>7550</v>
      </c>
      <c r="BA20" s="1537" t="s">
        <v>7551</v>
      </c>
      <c r="BB20" s="1012" t="s">
        <v>7552</v>
      </c>
      <c r="BC20" s="1537" t="s">
        <v>7553</v>
      </c>
      <c r="BD20" s="1009"/>
      <c r="BE20" s="1009"/>
      <c r="BF20" s="1564" t="s">
        <v>7554</v>
      </c>
      <c r="BG20" s="127" t="s">
        <v>7555</v>
      </c>
      <c r="BH20" s="1016"/>
      <c r="BI20" s="1020" t="str">
        <f>VLOOKUP(D20,[3]Project_ISAT!$C$3:$K$19,9,0)</f>
        <v>6 months start 16 April</v>
      </c>
    </row>
    <row r="21" s="873" customFormat="1" ht="15.95" customHeight="1" spans="3:52">
      <c r="C21" s="974"/>
      <c r="D21" s="974"/>
      <c r="E21" s="974"/>
      <c r="I21" s="974"/>
      <c r="K21" s="974"/>
      <c r="L21" s="974"/>
      <c r="M21" s="974"/>
      <c r="R21" s="974"/>
      <c r="S21" s="974"/>
      <c r="AO21" s="974"/>
      <c r="AP21" s="974"/>
      <c r="AQ21" s="974"/>
      <c r="AR21" s="974"/>
      <c r="AS21" s="974"/>
      <c r="AT21" s="974"/>
      <c r="AU21" s="974"/>
      <c r="AZ21" s="974"/>
    </row>
    <row r="22" s="873" customFormat="1" ht="15.95" customHeight="1" spans="3:52">
      <c r="C22" s="974"/>
      <c r="D22" s="974"/>
      <c r="E22" s="974"/>
      <c r="I22" s="974"/>
      <c r="K22" s="974"/>
      <c r="L22" s="974"/>
      <c r="M22" s="974"/>
      <c r="R22" s="974"/>
      <c r="S22" s="974"/>
      <c r="AO22" s="974"/>
      <c r="AP22" s="974"/>
      <c r="AQ22" s="974"/>
      <c r="AR22" s="974"/>
      <c r="AS22" s="974"/>
      <c r="AT22" s="974"/>
      <c r="AU22" s="974"/>
      <c r="AZ22" s="974"/>
    </row>
    <row r="23" s="873" customFormat="1" ht="15.95" customHeight="1"/>
    <row r="24" s="873" customFormat="1" ht="14.1" customHeight="1" spans="2:48">
      <c r="B24" s="844" t="s">
        <v>2552</v>
      </c>
      <c r="C24" s="845"/>
      <c r="AO24" s="1003"/>
      <c r="AP24" s="1003"/>
      <c r="AQ24" s="1003"/>
      <c r="AR24" s="1003"/>
      <c r="AS24" s="1003"/>
      <c r="AT24" s="1003"/>
      <c r="AU24" s="1003"/>
      <c r="AV24" s="1003"/>
    </row>
    <row r="25" s="873" customFormat="1" ht="14.1" customHeight="1" spans="2:60">
      <c r="B25" s="915">
        <v>17</v>
      </c>
      <c r="C25" s="168" t="s">
        <v>7556</v>
      </c>
      <c r="D25" s="168" t="s">
        <v>7557</v>
      </c>
      <c r="E25" s="922">
        <v>29419</v>
      </c>
      <c r="F25" s="922" t="s">
        <v>43</v>
      </c>
      <c r="G25" s="922" t="s">
        <v>404</v>
      </c>
      <c r="H25" s="922" t="s">
        <v>404</v>
      </c>
      <c r="I25" s="927" t="s">
        <v>7558</v>
      </c>
      <c r="J25" s="927" t="s">
        <v>7405</v>
      </c>
      <c r="K25" s="168" t="s">
        <v>7559</v>
      </c>
      <c r="L25" s="934">
        <v>41593</v>
      </c>
      <c r="M25" s="934">
        <v>42004</v>
      </c>
      <c r="N25" s="934">
        <v>41973</v>
      </c>
      <c r="O25" s="934">
        <v>42094</v>
      </c>
      <c r="P25" s="934">
        <v>42124</v>
      </c>
      <c r="Q25" s="934">
        <v>42155</v>
      </c>
      <c r="R25" s="934">
        <v>42216</v>
      </c>
      <c r="S25" s="934">
        <v>42369</v>
      </c>
      <c r="T25" s="934"/>
      <c r="U25" s="934"/>
      <c r="V25" s="934">
        <v>42370</v>
      </c>
      <c r="W25" s="934">
        <v>42551</v>
      </c>
      <c r="X25" s="934"/>
      <c r="Y25" s="934"/>
      <c r="Z25" s="989"/>
      <c r="AA25" s="989"/>
      <c r="AB25" s="989"/>
      <c r="AC25" s="989"/>
      <c r="AD25" s="989"/>
      <c r="AE25" s="989"/>
      <c r="AF25" s="989"/>
      <c r="AG25" s="989"/>
      <c r="AH25" s="989"/>
      <c r="AI25" s="989"/>
      <c r="AJ25" s="989"/>
      <c r="AK25" s="989"/>
      <c r="AL25" s="989"/>
      <c r="AM25" s="994">
        <v>-274.746660763885</v>
      </c>
      <c r="AN25" s="995" t="s">
        <v>2569</v>
      </c>
      <c r="AO25" s="1004">
        <v>32650000</v>
      </c>
      <c r="AP25" s="1004">
        <v>0</v>
      </c>
      <c r="AQ25" s="1004">
        <v>0</v>
      </c>
      <c r="AR25" s="1005" t="s">
        <v>0</v>
      </c>
      <c r="AS25" s="1004"/>
      <c r="AT25" s="1004"/>
      <c r="AU25" s="1004"/>
      <c r="AV25" s="1005" t="s">
        <v>0</v>
      </c>
      <c r="AW25" s="957" t="s">
        <v>0</v>
      </c>
      <c r="AX25" s="957" t="s">
        <v>48</v>
      </c>
      <c r="AY25" s="927"/>
      <c r="AZ25" s="290" t="s">
        <v>7560</v>
      </c>
      <c r="BA25" s="290" t="s">
        <v>7561</v>
      </c>
      <c r="BB25" s="290" t="s">
        <v>7562</v>
      </c>
      <c r="BC25" s="290"/>
      <c r="BD25" s="1013" t="s">
        <v>7563</v>
      </c>
      <c r="BE25" s="1013">
        <v>10001881647</v>
      </c>
      <c r="BF25" s="1013" t="s">
        <v>7564</v>
      </c>
      <c r="BG25" s="290" t="s">
        <v>7565</v>
      </c>
      <c r="BH25" s="168" t="s">
        <v>7566</v>
      </c>
    </row>
    <row r="26" s="873" customFormat="1" ht="14.1" customHeight="1" spans="2:60">
      <c r="B26" s="915">
        <v>18</v>
      </c>
      <c r="C26" s="168" t="s">
        <v>7567</v>
      </c>
      <c r="D26" s="168" t="s">
        <v>7568</v>
      </c>
      <c r="E26" s="922" t="s">
        <v>5834</v>
      </c>
      <c r="F26" s="922" t="s">
        <v>125</v>
      </c>
      <c r="G26" s="922" t="s">
        <v>44</v>
      </c>
      <c r="H26" s="922" t="s">
        <v>44</v>
      </c>
      <c r="I26" s="927" t="s">
        <v>7418</v>
      </c>
      <c r="J26" s="927" t="s">
        <v>7405</v>
      </c>
      <c r="K26" s="168" t="s">
        <v>4922</v>
      </c>
      <c r="L26" s="934">
        <v>42256</v>
      </c>
      <c r="M26" s="934">
        <v>42369</v>
      </c>
      <c r="N26" s="934">
        <v>42460</v>
      </c>
      <c r="O26" s="934">
        <v>42521</v>
      </c>
      <c r="P26" s="934"/>
      <c r="Q26" s="934"/>
      <c r="R26" s="934"/>
      <c r="S26" s="934"/>
      <c r="T26" s="934"/>
      <c r="U26" s="934"/>
      <c r="V26" s="934"/>
      <c r="W26" s="934"/>
      <c r="X26" s="934"/>
      <c r="Y26" s="934"/>
      <c r="Z26" s="989"/>
      <c r="AA26" s="989"/>
      <c r="AB26" s="989"/>
      <c r="AC26" s="989"/>
      <c r="AD26" s="989"/>
      <c r="AE26" s="989"/>
      <c r="AF26" s="989"/>
      <c r="AG26" s="989"/>
      <c r="AH26" s="989"/>
      <c r="AI26" s="989"/>
      <c r="AJ26" s="989"/>
      <c r="AK26" s="989"/>
      <c r="AL26" s="989"/>
      <c r="AM26" s="994">
        <v>-304.746660763885</v>
      </c>
      <c r="AN26" s="995" t="s">
        <v>2569</v>
      </c>
      <c r="AO26" s="1004">
        <v>4000000</v>
      </c>
      <c r="AP26" s="1004">
        <v>250000</v>
      </c>
      <c r="AQ26" s="1004"/>
      <c r="AR26" s="1005"/>
      <c r="AS26" s="1004"/>
      <c r="AT26" s="1004"/>
      <c r="AU26" s="1004"/>
      <c r="AV26" s="1005" t="s">
        <v>0</v>
      </c>
      <c r="AW26" s="957" t="s">
        <v>48</v>
      </c>
      <c r="AX26" s="957" t="s">
        <v>48</v>
      </c>
      <c r="AY26" s="927"/>
      <c r="AZ26" s="290" t="s">
        <v>7569</v>
      </c>
      <c r="BA26" s="290">
        <v>85276863638</v>
      </c>
      <c r="BB26" s="290" t="s">
        <v>7570</v>
      </c>
      <c r="BC26" s="290" t="s">
        <v>5839</v>
      </c>
      <c r="BD26" s="1013" t="s">
        <v>7571</v>
      </c>
      <c r="BE26" s="1013" t="s">
        <v>7572</v>
      </c>
      <c r="BF26" s="1013" t="s">
        <v>7573</v>
      </c>
      <c r="BG26" s="290" t="s">
        <v>7574</v>
      </c>
      <c r="BH26" s="168" t="s">
        <v>7575</v>
      </c>
    </row>
    <row r="27" s="873" customFormat="1" ht="14.1" customHeight="1" spans="2:60">
      <c r="B27" s="915" t="s">
        <v>39</v>
      </c>
      <c r="C27" s="168" t="s">
        <v>7576</v>
      </c>
      <c r="D27" s="168" t="s">
        <v>7577</v>
      </c>
      <c r="E27" s="922">
        <v>25500</v>
      </c>
      <c r="F27" s="922" t="s">
        <v>43</v>
      </c>
      <c r="G27" s="922" t="s">
        <v>96</v>
      </c>
      <c r="H27" s="922" t="s">
        <v>96</v>
      </c>
      <c r="I27" s="927" t="s">
        <v>7578</v>
      </c>
      <c r="J27" s="927" t="s">
        <v>7405</v>
      </c>
      <c r="K27" s="168" t="s">
        <v>6540</v>
      </c>
      <c r="L27" s="934">
        <v>41593</v>
      </c>
      <c r="M27" s="934">
        <v>42004</v>
      </c>
      <c r="N27" s="934">
        <v>42094</v>
      </c>
      <c r="O27" s="934">
        <v>42124</v>
      </c>
      <c r="P27" s="934">
        <v>42185</v>
      </c>
      <c r="Q27" s="934">
        <v>42216</v>
      </c>
      <c r="R27" s="934">
        <v>42277</v>
      </c>
      <c r="S27" s="934">
        <v>42369</v>
      </c>
      <c r="T27" s="934"/>
      <c r="U27" s="934"/>
      <c r="V27" s="934">
        <v>42370</v>
      </c>
      <c r="W27" s="934">
        <v>42551</v>
      </c>
      <c r="X27" s="934">
        <v>42735</v>
      </c>
      <c r="Y27" s="934"/>
      <c r="Z27" s="989"/>
      <c r="AA27" s="989"/>
      <c r="AB27" s="989"/>
      <c r="AC27" s="989"/>
      <c r="AD27" s="989"/>
      <c r="AE27" s="989"/>
      <c r="AF27" s="989"/>
      <c r="AG27" s="989"/>
      <c r="AH27" s="989"/>
      <c r="AI27" s="989"/>
      <c r="AJ27" s="989"/>
      <c r="AK27" s="989"/>
      <c r="AL27" s="989"/>
      <c r="AM27" s="994">
        <v>-701.746660763885</v>
      </c>
      <c r="AN27" s="995" t="s">
        <v>2569</v>
      </c>
      <c r="AO27" s="1004">
        <v>14680203.75</v>
      </c>
      <c r="AP27" s="1004">
        <v>550000</v>
      </c>
      <c r="AQ27" s="1004">
        <v>3500000</v>
      </c>
      <c r="AR27" s="1005"/>
      <c r="AS27" s="1004"/>
      <c r="AT27" s="1004"/>
      <c r="AU27" s="1004"/>
      <c r="AV27" s="1005" t="s">
        <v>0</v>
      </c>
      <c r="AW27" s="957" t="s">
        <v>48</v>
      </c>
      <c r="AX27" s="957" t="s">
        <v>48</v>
      </c>
      <c r="AY27" s="927" t="s">
        <v>7579</v>
      </c>
      <c r="AZ27" s="290" t="s">
        <v>7580</v>
      </c>
      <c r="BA27" s="290" t="s">
        <v>7581</v>
      </c>
      <c r="BB27" s="290" t="s">
        <v>7582</v>
      </c>
      <c r="BC27" s="290"/>
      <c r="BD27" s="1013" t="s">
        <v>7583</v>
      </c>
      <c r="BE27" s="1013">
        <v>0</v>
      </c>
      <c r="BF27" s="1013" t="s">
        <v>7584</v>
      </c>
      <c r="BG27" s="290" t="s">
        <v>7585</v>
      </c>
      <c r="BH27" s="168" t="s">
        <v>7586</v>
      </c>
    </row>
    <row r="28" s="873" customFormat="1" ht="14.1" customHeight="1" spans="2:60">
      <c r="B28" s="915" t="s">
        <v>68</v>
      </c>
      <c r="C28" s="168" t="s">
        <v>7587</v>
      </c>
      <c r="D28" s="168" t="s">
        <v>7588</v>
      </c>
      <c r="E28" s="922">
        <v>28179</v>
      </c>
      <c r="F28" s="922" t="s">
        <v>43</v>
      </c>
      <c r="G28" s="922" t="s">
        <v>60</v>
      </c>
      <c r="H28" s="922" t="s">
        <v>60</v>
      </c>
      <c r="I28" s="927" t="s">
        <v>3904</v>
      </c>
      <c r="J28" s="927" t="s">
        <v>7405</v>
      </c>
      <c r="K28" s="168" t="s">
        <v>7406</v>
      </c>
      <c r="L28" s="934">
        <v>41593</v>
      </c>
      <c r="M28" s="934">
        <v>42004</v>
      </c>
      <c r="N28" s="934">
        <v>42185</v>
      </c>
      <c r="O28" s="934">
        <v>42369</v>
      </c>
      <c r="P28" s="934"/>
      <c r="Q28" s="934"/>
      <c r="R28" s="934"/>
      <c r="S28" s="934"/>
      <c r="T28" s="934"/>
      <c r="U28" s="934"/>
      <c r="V28" s="934">
        <v>42370</v>
      </c>
      <c r="W28" s="934">
        <v>42551</v>
      </c>
      <c r="X28" s="934">
        <v>42582</v>
      </c>
      <c r="Y28" s="934">
        <v>42735</v>
      </c>
      <c r="Z28" s="989"/>
      <c r="AA28" s="989"/>
      <c r="AB28" s="989"/>
      <c r="AC28" s="989"/>
      <c r="AD28" s="989"/>
      <c r="AE28" s="989"/>
      <c r="AF28" s="989"/>
      <c r="AG28" s="989"/>
      <c r="AH28" s="989"/>
      <c r="AI28" s="989"/>
      <c r="AJ28" s="989"/>
      <c r="AK28" s="989"/>
      <c r="AL28" s="989"/>
      <c r="AM28" s="994">
        <v>-456.746660763885</v>
      </c>
      <c r="AN28" s="995" t="s">
        <v>2569</v>
      </c>
      <c r="AO28" s="1004">
        <v>8025000</v>
      </c>
      <c r="AP28" s="1004">
        <v>550000</v>
      </c>
      <c r="AQ28" s="1004">
        <v>3500000</v>
      </c>
      <c r="AR28" s="1005"/>
      <c r="AS28" s="1004">
        <v>200000</v>
      </c>
      <c r="AT28" s="1004"/>
      <c r="AU28" s="1004"/>
      <c r="AV28" s="1005" t="s">
        <v>0</v>
      </c>
      <c r="AW28" s="957" t="s">
        <v>48</v>
      </c>
      <c r="AX28" s="957" t="s">
        <v>48</v>
      </c>
      <c r="AY28" s="927" t="s">
        <v>7589</v>
      </c>
      <c r="AZ28" s="290" t="s">
        <v>7590</v>
      </c>
      <c r="BA28" s="290" t="s">
        <v>7591</v>
      </c>
      <c r="BB28" s="290" t="s">
        <v>7592</v>
      </c>
      <c r="BC28" s="290"/>
      <c r="BD28" s="1013" t="s">
        <v>7593</v>
      </c>
      <c r="BE28" s="1013" t="s">
        <v>7594</v>
      </c>
      <c r="BF28" s="1013" t="s">
        <v>7595</v>
      </c>
      <c r="BG28" s="290" t="s">
        <v>7596</v>
      </c>
      <c r="BH28" s="168" t="s">
        <v>7597</v>
      </c>
    </row>
    <row r="29" s="873" customFormat="1" ht="14.1" customHeight="1" spans="2:60">
      <c r="B29" s="915">
        <v>21</v>
      </c>
      <c r="C29" s="168" t="s">
        <v>7598</v>
      </c>
      <c r="D29" s="168" t="s">
        <v>7599</v>
      </c>
      <c r="E29" s="922">
        <v>31507</v>
      </c>
      <c r="F29" s="922" t="s">
        <v>43</v>
      </c>
      <c r="G29" s="922" t="s">
        <v>96</v>
      </c>
      <c r="H29" s="922" t="s">
        <v>96</v>
      </c>
      <c r="I29" s="927" t="s">
        <v>361</v>
      </c>
      <c r="J29" s="927" t="s">
        <v>7405</v>
      </c>
      <c r="K29" s="168" t="s">
        <v>6540</v>
      </c>
      <c r="L29" s="934">
        <v>42731</v>
      </c>
      <c r="M29" s="934">
        <v>42761</v>
      </c>
      <c r="N29" s="934"/>
      <c r="O29" s="934"/>
      <c r="P29" s="934"/>
      <c r="Q29" s="934"/>
      <c r="R29" s="934"/>
      <c r="S29" s="934"/>
      <c r="T29" s="934"/>
      <c r="U29" s="934"/>
      <c r="V29" s="934"/>
      <c r="W29" s="934"/>
      <c r="X29" s="934"/>
      <c r="Y29" s="934"/>
      <c r="Z29" s="989"/>
      <c r="AA29" s="989"/>
      <c r="AB29" s="989"/>
      <c r="AC29" s="989"/>
      <c r="AD29" s="989"/>
      <c r="AE29" s="989"/>
      <c r="AF29" s="989"/>
      <c r="AG29" s="989"/>
      <c r="AH29" s="989"/>
      <c r="AI29" s="989"/>
      <c r="AJ29" s="989"/>
      <c r="AK29" s="989"/>
      <c r="AL29" s="989"/>
      <c r="AM29" s="994">
        <v>-64.7466607638853</v>
      </c>
      <c r="AN29" s="995" t="s">
        <v>2569</v>
      </c>
      <c r="AO29" s="1004">
        <v>12000000</v>
      </c>
      <c r="AP29" s="1004">
        <v>750000</v>
      </c>
      <c r="AQ29" s="1004"/>
      <c r="AR29" s="1005"/>
      <c r="AS29" s="1004">
        <v>200000</v>
      </c>
      <c r="AT29" s="1004"/>
      <c r="AU29" s="1004">
        <v>1500000</v>
      </c>
      <c r="AV29" s="1005" t="s">
        <v>4850</v>
      </c>
      <c r="AW29" s="957" t="s">
        <v>48</v>
      </c>
      <c r="AX29" s="957" t="s">
        <v>48</v>
      </c>
      <c r="AY29" s="927"/>
      <c r="AZ29" s="290" t="s">
        <v>7600</v>
      </c>
      <c r="BA29" s="290" t="s">
        <v>7601</v>
      </c>
      <c r="BB29" s="290" t="s">
        <v>7602</v>
      </c>
      <c r="BC29" s="290" t="s">
        <v>7603</v>
      </c>
      <c r="BD29" s="1013" t="s">
        <v>7604</v>
      </c>
      <c r="BE29" s="1013" t="s">
        <v>7605</v>
      </c>
      <c r="BF29" s="1013"/>
      <c r="BG29" s="290" t="s">
        <v>7606</v>
      </c>
      <c r="BH29" s="168" t="s">
        <v>7607</v>
      </c>
    </row>
    <row r="30" s="873" customFormat="1" ht="14.1" customHeight="1" spans="2:60">
      <c r="B30" s="1574" t="s">
        <v>215</v>
      </c>
      <c r="C30" s="168" t="s">
        <v>7608</v>
      </c>
      <c r="D30" s="168" t="s">
        <v>7609</v>
      </c>
      <c r="E30" s="979" t="s">
        <v>7610</v>
      </c>
      <c r="F30" s="922" t="s">
        <v>43</v>
      </c>
      <c r="G30" s="922" t="s">
        <v>254</v>
      </c>
      <c r="H30" s="922" t="s">
        <v>254</v>
      </c>
      <c r="I30" s="927" t="s">
        <v>1068</v>
      </c>
      <c r="J30" s="927"/>
      <c r="K30" s="927" t="s">
        <v>7076</v>
      </c>
      <c r="L30" s="934">
        <v>43031</v>
      </c>
      <c r="M30" s="934">
        <v>43061</v>
      </c>
      <c r="N30" s="934">
        <v>43426</v>
      </c>
      <c r="O30" s="934"/>
      <c r="P30" s="934"/>
      <c r="Q30" s="934"/>
      <c r="R30" s="934"/>
      <c r="S30" s="934"/>
      <c r="T30" s="934"/>
      <c r="U30" s="934"/>
      <c r="V30" s="934"/>
      <c r="W30" s="934"/>
      <c r="X30" s="934"/>
      <c r="Y30" s="934"/>
      <c r="Z30" s="989"/>
      <c r="AA30" s="989"/>
      <c r="AB30" s="989"/>
      <c r="AC30" s="989"/>
      <c r="AD30" s="989"/>
      <c r="AE30" s="989"/>
      <c r="AF30" s="989"/>
      <c r="AG30" s="989"/>
      <c r="AH30" s="989"/>
      <c r="AI30" s="989"/>
      <c r="AJ30" s="989"/>
      <c r="AK30" s="989"/>
      <c r="AL30" s="989"/>
      <c r="AM30" s="641">
        <f ca="1">SUM(M30-NOW())</f>
        <v>-211.38453703704</v>
      </c>
      <c r="AN30" s="187" t="str">
        <f ca="1">IF(AM30&lt;=40,"WARNING","ACTIVE")</f>
        <v>WARNING</v>
      </c>
      <c r="AO30" s="1006">
        <v>16000000</v>
      </c>
      <c r="AP30" s="1006">
        <v>500000</v>
      </c>
      <c r="AQ30" s="1006">
        <v>2500000</v>
      </c>
      <c r="AR30" s="1006"/>
      <c r="AS30" s="1006"/>
      <c r="AT30" s="1006"/>
      <c r="AU30" s="1006">
        <v>0</v>
      </c>
      <c r="AV30" s="1006">
        <v>1500000</v>
      </c>
      <c r="AW30" s="957" t="s">
        <v>113</v>
      </c>
      <c r="AX30" s="957" t="s">
        <v>113</v>
      </c>
      <c r="AY30" s="957"/>
      <c r="AZ30" s="290" t="s">
        <v>7611</v>
      </c>
      <c r="BA30" s="962" t="s">
        <v>7612</v>
      </c>
      <c r="BB30" s="1014" t="s">
        <v>7613</v>
      </c>
      <c r="BC30" s="963" t="s">
        <v>7614</v>
      </c>
      <c r="BD30" s="963" t="s">
        <v>7614</v>
      </c>
      <c r="BE30" s="963" t="s">
        <v>7615</v>
      </c>
      <c r="BF30" s="1566" t="s">
        <v>7616</v>
      </c>
      <c r="BG30" s="127" t="s">
        <v>7617</v>
      </c>
      <c r="BH30" s="1017" t="s">
        <v>7618</v>
      </c>
    </row>
    <row r="31" s="971" customFormat="1" ht="21" spans="2:63">
      <c r="B31" s="1574" t="s">
        <v>78</v>
      </c>
      <c r="C31" s="919" t="s">
        <v>7619</v>
      </c>
      <c r="D31" s="919" t="s">
        <v>7620</v>
      </c>
      <c r="E31" s="923">
        <v>28613</v>
      </c>
      <c r="F31" s="923" t="s">
        <v>43</v>
      </c>
      <c r="G31" s="923" t="s">
        <v>254</v>
      </c>
      <c r="H31" s="923" t="s">
        <v>254</v>
      </c>
      <c r="I31" s="927" t="s">
        <v>3528</v>
      </c>
      <c r="J31" s="927" t="s">
        <v>7405</v>
      </c>
      <c r="K31" s="919" t="s">
        <v>6540</v>
      </c>
      <c r="L31" s="928">
        <v>41593</v>
      </c>
      <c r="M31" s="928">
        <v>42004</v>
      </c>
      <c r="N31" s="928">
        <v>42124</v>
      </c>
      <c r="O31" s="928">
        <v>42247</v>
      </c>
      <c r="P31" s="928">
        <v>42369</v>
      </c>
      <c r="Q31" s="928"/>
      <c r="R31" s="928"/>
      <c r="S31" s="928"/>
      <c r="T31" s="928"/>
      <c r="U31" s="928"/>
      <c r="V31" s="928">
        <v>42370</v>
      </c>
      <c r="W31" s="928">
        <v>42551</v>
      </c>
      <c r="X31" s="928">
        <v>42735</v>
      </c>
      <c r="Y31" s="928">
        <v>42688</v>
      </c>
      <c r="Z31" s="942"/>
      <c r="AA31" s="942">
        <v>42689</v>
      </c>
      <c r="AB31" s="942">
        <v>42718</v>
      </c>
      <c r="AC31" s="942">
        <v>42719</v>
      </c>
      <c r="AD31" s="942">
        <v>42825</v>
      </c>
      <c r="AE31" s="942">
        <v>42916</v>
      </c>
      <c r="AF31" s="942">
        <v>43100</v>
      </c>
      <c r="AG31" s="942">
        <v>43190</v>
      </c>
      <c r="AH31" s="942"/>
      <c r="AI31" s="942"/>
      <c r="AJ31" s="942"/>
      <c r="AK31" s="942"/>
      <c r="AL31" s="942"/>
      <c r="AM31" s="641">
        <f ca="1">SUM(AG31-NOW())</f>
        <v>-82.38453703704</v>
      </c>
      <c r="AN31" s="187" t="str">
        <f ca="1" t="shared" ref="AN31" si="3">IF(AM31&lt;=40,"WARNING","ACTIVE")</f>
        <v>WARNING</v>
      </c>
      <c r="AO31" s="1007">
        <v>8625750</v>
      </c>
      <c r="AP31" s="951">
        <v>550000</v>
      </c>
      <c r="AQ31" s="951">
        <v>0</v>
      </c>
      <c r="AR31" s="951">
        <v>500000</v>
      </c>
      <c r="AS31" s="951"/>
      <c r="AT31" s="951"/>
      <c r="AU31" s="951"/>
      <c r="AV31" s="959" t="s">
        <v>0</v>
      </c>
      <c r="AW31" s="960" t="s">
        <v>48</v>
      </c>
      <c r="AX31" s="960" t="s">
        <v>48</v>
      </c>
      <c r="AY31" s="927" t="s">
        <v>7621</v>
      </c>
      <c r="AZ31" s="290" t="s">
        <v>7622</v>
      </c>
      <c r="BA31" s="290" t="s">
        <v>7623</v>
      </c>
      <c r="BB31" s="290" t="s">
        <v>7624</v>
      </c>
      <c r="BC31" s="290"/>
      <c r="BD31" s="290" t="s">
        <v>7625</v>
      </c>
      <c r="BE31" s="290" t="s">
        <v>7626</v>
      </c>
      <c r="BF31" s="290" t="s">
        <v>7627</v>
      </c>
      <c r="BG31" s="290" t="s">
        <v>7628</v>
      </c>
      <c r="BH31" s="919" t="s">
        <v>4508</v>
      </c>
      <c r="BI31" s="1020" t="e">
        <f>VLOOKUP(D31,[3]Project_ISAT!$C$3:$K$19,9,0)</f>
        <v>#N/A</v>
      </c>
      <c r="BJ31" s="970">
        <f t="shared" ref="BJ31" si="4">MAX(L31:AH31)</f>
        <v>43190</v>
      </c>
      <c r="BK31" s="1022"/>
    </row>
    <row r="32" s="873" customFormat="1"/>
    <row r="33" s="873" customFormat="1"/>
    <row r="34" s="873" customFormat="1"/>
    <row r="35" s="873" customFormat="1"/>
    <row r="36" s="873" customFormat="1"/>
    <row r="37" s="873" customFormat="1"/>
    <row r="38" s="873" customFormat="1"/>
    <row r="39" s="873" customFormat="1"/>
    <row r="40" s="873" customFormat="1"/>
    <row r="41" s="873" customFormat="1"/>
    <row r="42" s="873" customFormat="1"/>
    <row r="43" s="873" customFormat="1"/>
    <row r="44" s="873" customFormat="1"/>
    <row r="45" s="873" customFormat="1"/>
    <row r="46" s="873" customFormat="1"/>
    <row r="47" s="873" customFormat="1"/>
    <row r="48" s="873" customFormat="1"/>
    <row r="49" s="873" customFormat="1"/>
    <row r="50" s="873" customFormat="1"/>
    <row r="51" s="873" customFormat="1"/>
    <row r="52" s="873" customFormat="1"/>
    <row r="53" s="873" customFormat="1"/>
    <row r="54" s="873" customFormat="1"/>
    <row r="55" s="873" customFormat="1"/>
    <row r="56" s="873" customFormat="1"/>
    <row r="57" s="873" customFormat="1"/>
    <row r="58" s="873" customFormat="1"/>
    <row r="59" s="873" customFormat="1"/>
    <row r="60" s="873" customFormat="1"/>
    <row r="61" s="873" customFormat="1"/>
    <row r="62" s="873" customFormat="1"/>
    <row r="63" s="873" customFormat="1"/>
    <row r="64" s="873" customFormat="1"/>
    <row r="65" s="873" customFormat="1"/>
    <row r="66" s="873" customFormat="1"/>
    <row r="67" s="873" customFormat="1"/>
    <row r="68" s="873" customFormat="1"/>
    <row r="69" s="873" customFormat="1"/>
    <row r="70" s="873" customFormat="1"/>
    <row r="71" s="873" customFormat="1"/>
    <row r="72" s="873" customFormat="1"/>
    <row r="73" s="873" customFormat="1"/>
    <row r="74" s="873" customFormat="1"/>
    <row r="75" s="873" customFormat="1"/>
    <row r="76" s="873" customFormat="1"/>
    <row r="77" s="873" customFormat="1"/>
    <row r="78" s="873" customFormat="1"/>
    <row r="79" s="873" customFormat="1"/>
    <row r="80" s="873" customFormat="1"/>
    <row r="81" s="873" customFormat="1"/>
    <row r="82" s="873" customFormat="1"/>
    <row r="83" s="873" customFormat="1"/>
    <row r="84" s="873" customFormat="1"/>
    <row r="85" s="873" customFormat="1"/>
    <row r="86" s="873" customFormat="1"/>
    <row r="87" s="873" customFormat="1"/>
    <row r="88" s="873" customFormat="1"/>
    <row r="89" s="873" customFormat="1"/>
    <row r="90" s="873" customFormat="1"/>
    <row r="91" s="873" customFormat="1"/>
    <row r="92" s="873" customFormat="1"/>
    <row r="93" s="873" customFormat="1"/>
    <row r="94" s="873" customFormat="1"/>
    <row r="95" s="873" customFormat="1"/>
    <row r="96" s="873" customFormat="1"/>
    <row r="97" s="873" customFormat="1"/>
    <row r="98" s="873" customFormat="1"/>
    <row r="99" s="873" customFormat="1"/>
    <row r="100" s="873" customFormat="1"/>
    <row r="101" s="873" customFormat="1"/>
    <row r="102" s="873" customFormat="1"/>
    <row r="103" s="873" customFormat="1"/>
    <row r="104" s="873" customFormat="1"/>
    <row r="105" s="873" customFormat="1"/>
    <row r="106" s="873" customFormat="1"/>
    <row r="107" s="873" customFormat="1"/>
    <row r="108" s="873" customFormat="1"/>
    <row r="109" s="873" customFormat="1"/>
    <row r="110" s="873" customFormat="1"/>
    <row r="111" s="873" customFormat="1"/>
    <row r="112" s="873" customFormat="1"/>
    <row r="113" s="873" customFormat="1"/>
    <row r="114" s="873" customFormat="1"/>
    <row r="115" s="873" customFormat="1"/>
    <row r="116" s="873" customFormat="1"/>
    <row r="117" s="873" customFormat="1"/>
    <row r="118" s="873" customFormat="1"/>
    <row r="119" s="873" customFormat="1"/>
    <row r="120" s="873" customFormat="1"/>
    <row r="121" s="873" customFormat="1"/>
    <row r="122" s="873" customFormat="1"/>
    <row r="123" s="873" customFormat="1"/>
    <row r="124" s="873" customFormat="1"/>
    <row r="125" s="873" customFormat="1"/>
    <row r="126" s="873" customFormat="1"/>
    <row r="127" s="873" customFormat="1"/>
    <row r="128" s="873" customFormat="1"/>
  </sheetData>
  <autoFilter ref="A4:BK20"/>
  <mergeCells count="41">
    <mergeCell ref="L3:M3"/>
    <mergeCell ref="N3:T3"/>
    <mergeCell ref="V3:W3"/>
    <mergeCell ref="X3:Z3"/>
    <mergeCell ref="AA3:AB3"/>
    <mergeCell ref="AC3:AD3"/>
    <mergeCell ref="AE3:AJ3"/>
    <mergeCell ref="AK3:AL3"/>
    <mergeCell ref="B3:B4"/>
    <mergeCell ref="C3:C4"/>
    <mergeCell ref="D3:D4"/>
    <mergeCell ref="E3:E4"/>
    <mergeCell ref="F3:F4"/>
    <mergeCell ref="G3:G4"/>
    <mergeCell ref="H3:H4"/>
    <mergeCell ref="I3:I4"/>
    <mergeCell ref="J3:J4"/>
    <mergeCell ref="K3:K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 ref="BD3:BD4"/>
    <mergeCell ref="BE3:BE4"/>
    <mergeCell ref="BF3:BF4"/>
    <mergeCell ref="BG3:BG4"/>
    <mergeCell ref="BH3:BH4"/>
    <mergeCell ref="BI3:BI4"/>
  </mergeCells>
  <conditionalFormatting sqref="AO5:AO13">
    <cfRule type="expression" dxfId="961" priority="1" stopIfTrue="1">
      <formula>IF(OR($BK5="not",$BK5="resign",$BK5="resign",$BK5="end",$BK5="terminated",$BK5="permanent"),"TRUE","FALSE")</formula>
    </cfRule>
  </conditionalFormatting>
  <conditionalFormatting sqref="AN3:AN4">
    <cfRule type="expression" dxfId="962" priority="2" stopIfTrue="1">
      <formula>NOT(ISERROR(SEARCH("warning",AN3)))</formula>
    </cfRule>
  </conditionalFormatting>
  <conditionalFormatting sqref="AN25:AN29">
    <cfRule type="expression" dxfId="963" priority="3" stopIfTrue="1">
      <formula>IF(OR(#REF!="not",#REF!="resign",#REF!="permanent",#REF!="terminated"),"true","false")</formula>
    </cfRule>
  </conditionalFormatting>
  <conditionalFormatting sqref="BH14">
    <cfRule type="expression" dxfId="964" priority="4" stopIfTrue="1">
      <formula>IF(OR(#REF!="not",#REF!="resign",#REF!="permanent",#REF!="terminated"),"true","false")</formula>
    </cfRule>
  </conditionalFormatting>
  <conditionalFormatting sqref="AT14">
    <cfRule type="expression" dxfId="965" priority="5" stopIfTrue="1">
      <formula>IF(OR(#REF!="not",#REF!="resign",#REF!="resign",#REF!="end",#REF!="terminated",#REF!="permanent"),"TRUE","FALSE")</formula>
    </cfRule>
  </conditionalFormatting>
  <conditionalFormatting sqref="AN32:AN1048576;AN1:AN30">
    <cfRule type="expression" dxfId="966" priority="6" stopIfTrue="1">
      <formula>NOT(ISERROR(SEARCH("warning",AN1)))</formula>
    </cfRule>
  </conditionalFormatting>
  <conditionalFormatting sqref="BC15:BC16">
    <cfRule type="expression" dxfId="967" priority="7" stopIfTrue="1">
      <formula>IF(OR(#REF!="not",#REF!="resign",#REF!="resign",#REF!="end",#REF!="terminated",#REF!="permanent"),"TRUE","FALSE")</formula>
    </cfRule>
  </conditionalFormatting>
  <conditionalFormatting sqref="AM25:AN26">
    <cfRule type="expression" dxfId="968" priority="8" stopIfTrue="1">
      <formula>IF(OR(#REF!="not",#REF!="resign",#REF!="permanent",#REF!="terminated"),"true","false")</formula>
    </cfRule>
    <cfRule type="expression" dxfId="969" priority="9" stopIfTrue="1">
      <formula>IF(OR(#REF!="not",#REF!="resign",#REF!="permanent",#REF!="terminated"),"true","false")</formula>
    </cfRule>
  </conditionalFormatting>
  <conditionalFormatting sqref="AN25:AN26">
    <cfRule type="expression" dxfId="970" priority="10" stopIfTrue="1">
      <formula>IF(OR(#REF!="not",#REF!="resign",#REF!="permanent",#REF!="terminated"),"true","false")</formula>
    </cfRule>
  </conditionalFormatting>
  <conditionalFormatting sqref="BC17">
    <cfRule type="expression" dxfId="971" priority="11" stopIfTrue="1">
      <formula>IF(OR(#REF!="not",#REF!="resign",#REF!="resign",#REF!="end",#REF!="terminated",#REF!="permanent"),"TRUE","FALSE")</formula>
    </cfRule>
  </conditionalFormatting>
  <conditionalFormatting sqref="AM27:AN28">
    <cfRule type="expression" dxfId="972" priority="12" stopIfTrue="1">
      <formula>IF(OR($CD17="not",$CD17="resign",$CD17="permanent",$CD17="terminated"),"true","false")</formula>
    </cfRule>
    <cfRule type="expression" dxfId="973" priority="13" stopIfTrue="1">
      <formula>IF(OR($CE17="not",$CE17="resign",$CE17="permanent",$CE17="terminated"),"true","false")</formula>
    </cfRule>
  </conditionalFormatting>
  <conditionalFormatting sqref="AN27:AN28">
    <cfRule type="expression" dxfId="974" priority="14" stopIfTrue="1">
      <formula>IF(OR($CC17="not",$CC17="resign",$CC17="permanent",$CC17="terminated"),"true","false")</formula>
    </cfRule>
  </conditionalFormatting>
  <conditionalFormatting sqref="BC30;E30">
    <cfRule type="expression" dxfId="975" priority="15" stopIfTrue="1">
      <formula>IF(OR(#REF!="not",#REF!="resign",#REF!="resign",#REF!="end",#REF!="terminated",#REF!="permanent"),"TRUE","FALSE")</formula>
    </cfRule>
  </conditionalFormatting>
  <conditionalFormatting sqref="BC18">
    <cfRule type="expression" dxfId="976" priority="16" stopIfTrue="1">
      <formula>IF(OR(#REF!="not",#REF!="resign",#REF!="resign",#REF!="end",#REF!="terminated",#REF!="permanent"),"TRUE","FALSE")</formula>
    </cfRule>
  </conditionalFormatting>
  <conditionalFormatting sqref="BC19">
    <cfRule type="expression" dxfId="977" priority="17" stopIfTrue="1">
      <formula>IF(OR(#REF!="not",#REF!="resign",#REF!="resign",#REF!="end",#REF!="terminated",#REF!="permanent"),"TRUE","FALSE")</formula>
    </cfRule>
  </conditionalFormatting>
  <conditionalFormatting sqref="Q14:R14;T14:V14">
    <cfRule type="expression" dxfId="978" priority="18" stopIfTrue="1">
      <formula>IF(OR(#REF!="not",#REF!="resign",#REF!="permanent",#REF!="terminated"),"true","false")</formula>
    </cfRule>
    <cfRule type="expression" dxfId="979" priority="19" stopIfTrue="1">
      <formula>IF(OR(#REF!="not",#REF!="resign",#REF!="permanent",#REF!="terminated"),"true","false")</formula>
    </cfRule>
    <cfRule type="expression" dxfId="980" priority="20" stopIfTrue="1">
      <formula>IF(OR(#REF!="not",#REF!="resign",#REF!="permanent",#REF!="terminated"),"true","false")</formula>
    </cfRule>
  </conditionalFormatting>
  <conditionalFormatting sqref="P14">
    <cfRule type="expression" dxfId="981" priority="21" stopIfTrue="1">
      <formula>IF(OR(#REF!="not",#REF!="resign",#REF!="permanent",#REF!="terminated"),"true","false")</formula>
    </cfRule>
  </conditionalFormatting>
  <conditionalFormatting sqref="D14:G14;I14:R14;T14:V14;X14:Z14">
    <cfRule type="expression" dxfId="982" priority="22" stopIfTrue="1">
      <formula>IF(OR(#REF!="not",#REF!="resign",#REF!="resign",#REF!="end",#REF!="terminated",#REF!="permanent"),"TRUE","FALSE")</formula>
    </cfRule>
  </conditionalFormatting>
  <conditionalFormatting sqref="H14">
    <cfRule type="expression" dxfId="983" priority="23" stopIfTrue="1">
      <formula>IF(OR(#REF!="not",#REF!="resign",#REF!="resign",#REF!="end",#REF!="terminated",#REF!="permanent"),"TRUE","FALSE")</formula>
    </cfRule>
  </conditionalFormatting>
  <conditionalFormatting sqref="E15:E16">
    <cfRule type="expression" dxfId="984" priority="24" stopIfTrue="1">
      <formula>IF(OR(#REF!="not",#REF!="resign",#REF!="resign",#REF!="end",#REF!="terminated",#REF!="permanent"),"TRUE","FALSE")</formula>
    </cfRule>
  </conditionalFormatting>
  <conditionalFormatting sqref="E17">
    <cfRule type="expression" dxfId="985" priority="25" stopIfTrue="1">
      <formula>IF(OR(#REF!="not",#REF!="resign",#REF!="resign",#REF!="end",#REF!="terminated",#REF!="permanent"),"TRUE","FALSE")</formula>
    </cfRule>
  </conditionalFormatting>
  <conditionalFormatting sqref="E18">
    <cfRule type="expression" dxfId="986" priority="26" stopIfTrue="1">
      <formula>IF(OR(#REF!="not",#REF!="resign",#REF!="resign",#REF!="end",#REF!="terminated",#REF!="permanent"),"TRUE","FALSE")</formula>
    </cfRule>
  </conditionalFormatting>
  <conditionalFormatting sqref="E19">
    <cfRule type="expression" dxfId="987" priority="27" stopIfTrue="1">
      <formula>IF(OR(#REF!="not",#REF!="resign",#REF!="resign",#REF!="end",#REF!="terminated",#REF!="permanent"),"TRUE","FALSE")</formula>
    </cfRule>
  </conditionalFormatting>
  <conditionalFormatting sqref="BC20">
    <cfRule type="expression" dxfId="988" priority="28" stopIfTrue="1">
      <formula>IF(OR(#REF!="not",#REF!="resign",#REF!="resign",#REF!="end",#REF!="terminated",#REF!="permanent"),"TRUE","FALSE")</formula>
    </cfRule>
  </conditionalFormatting>
  <conditionalFormatting sqref="E20">
    <cfRule type="expression" dxfId="989" priority="29" stopIfTrue="1">
      <formula>IF(OR(#REF!="not",#REF!="resign",#REF!="resign",#REF!="end",#REF!="terminated",#REF!="permanent"),"TRUE","FALSE")</formula>
    </cfRule>
  </conditionalFormatting>
  <conditionalFormatting sqref="AO31">
    <cfRule type="expression" dxfId="990" priority="30" stopIfTrue="1">
      <formula>IF(OR($BK31="not",$BK31="resign",$BK31="resign",$BK31="end",$BK31="terminated",$BK31="permanent"),"TRUE","FALSE")</formula>
    </cfRule>
  </conditionalFormatting>
  <conditionalFormatting sqref="AN31">
    <cfRule type="expression" dxfId="991" priority="31" stopIfTrue="1">
      <formula>NOT(ISERROR(SEARCH("warning",AN31)))</formula>
    </cfRule>
  </conditionalFormatting>
  <hyperlinks>
    <hyperlink ref="BG17" location="" display="audi.iswahyudiono@gmail.com"/>
    <hyperlink ref="C17" location="" display="OS1710052"/>
    <hyperlink ref="BG30" r:id="rId3" display="roy.suzman@gmail.com"/>
    <hyperlink ref="BG18" r:id="rId4" display="always.sendy88@gmail.com"/>
    <hyperlink ref="BG19" r:id="rId5" display="haloho.sugi@gmail.com"/>
    <hyperlink ref="BG20" r:id="rId6" display="humamalif9@gmail.com"/>
  </hyperlinks>
  <pageMargins left="0.699305555555556" right="0.699305555555556"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BD109"/>
  <sheetViews>
    <sheetView topLeftCell="B3" workbookViewId="0">
      <pane xSplit="3" ySplit="2" topLeftCell="Q20" activePane="bottomRight" state="frozen"/>
      <selection/>
      <selection pane="topRight"/>
      <selection pane="bottomLeft"/>
      <selection pane="bottomRight" activeCell="AL5" sqref="AL5"/>
    </sheetView>
  </sheetViews>
  <sheetFormatPr defaultColWidth="9" defaultRowHeight="12.75"/>
  <cols>
    <col min="1" max="1" width="9.14166666666667" style="874"/>
    <col min="2" max="2" width="5.425" style="874" customWidth="1"/>
    <col min="3" max="3" width="9.14166666666667" style="874" customWidth="1"/>
    <col min="4" max="4" width="21.5666666666667" style="874" customWidth="1"/>
    <col min="5" max="5" width="21.1416666666667" style="874" customWidth="1"/>
    <col min="6" max="6" width="3.56666666666667" style="874" customWidth="1"/>
    <col min="7" max="7" width="11.1416666666667" style="874" customWidth="1"/>
    <col min="8" max="8" width="7.425" style="874" customWidth="1"/>
    <col min="9" max="9" width="9" style="874" customWidth="1"/>
    <col min="10" max="10" width="12.425" style="874" customWidth="1"/>
    <col min="11" max="11" width="32.1416666666667" style="874" customWidth="1"/>
    <col min="12" max="12" width="13.2833333333333" style="874" customWidth="1"/>
    <col min="13" max="13" width="8.425" style="874" customWidth="1"/>
    <col min="14" max="17" width="8.56666666666667" style="874" customWidth="1"/>
    <col min="18" max="19" width="8.425" style="874" customWidth="1"/>
    <col min="20" max="20" width="8.56666666666667" style="874" customWidth="1"/>
    <col min="21" max="21" width="8.425" style="874" customWidth="1"/>
    <col min="22" max="22" width="8.56666666666667" style="874" customWidth="1"/>
    <col min="23" max="23" width="8.28333333333333" style="874" customWidth="1"/>
    <col min="24" max="24" width="8.14166666666667" style="874" customWidth="1"/>
    <col min="25" max="25" width="8.56666666666667" style="874" customWidth="1"/>
    <col min="26" max="26" width="8.425" style="874" customWidth="1"/>
    <col min="27" max="27" width="8.28333333333333" style="874" customWidth="1"/>
    <col min="28" max="28" width="8.56666666666667" style="874" customWidth="1"/>
    <col min="29" max="29" width="8.425" style="874" customWidth="1"/>
    <col min="30" max="30" width="8.56666666666667" style="874" customWidth="1"/>
    <col min="31" max="31" width="8.425" style="874" customWidth="1"/>
    <col min="32" max="32" width="8.28333333333333" style="874" customWidth="1"/>
    <col min="33" max="33" width="8.14166666666667" style="874" customWidth="1"/>
    <col min="34" max="34" width="8.425" style="874" customWidth="1"/>
    <col min="35" max="35" width="11.7083333333333" style="874" customWidth="1"/>
    <col min="36" max="36" width="9.56666666666667" style="874" customWidth="1"/>
    <col min="37" max="37" width="10.8583333333333" style="874" customWidth="1"/>
    <col min="38" max="38" width="9.56666666666667" style="874" customWidth="1"/>
    <col min="39" max="39" width="8.56666666666667" style="874" customWidth="1"/>
    <col min="40" max="40" width="10.8583333333333" style="874" customWidth="1"/>
    <col min="41" max="41" width="8.70833333333333" style="874" customWidth="1"/>
    <col min="42" max="42" width="4.28333333333333" style="874" customWidth="1"/>
    <col min="43" max="43" width="7.425" style="874" customWidth="1"/>
    <col min="44" max="44" width="50.7083333333333" style="874" customWidth="1"/>
    <col min="45" max="45" width="15.425" style="874" customWidth="1"/>
    <col min="46" max="46" width="33.5666666666667" style="874" customWidth="1"/>
    <col min="47" max="47" width="24.1416666666667" style="874" customWidth="1"/>
    <col min="48" max="48" width="21.1416666666667" style="874" customWidth="1"/>
    <col min="49" max="49" width="14.8583333333333" style="874" customWidth="1"/>
    <col min="50" max="50" width="16.2833333333333" style="874" customWidth="1"/>
    <col min="51" max="52" width="13.1416666666667" style="874" customWidth="1"/>
    <col min="53" max="53" width="32.2833333333333" style="874" customWidth="1"/>
    <col min="54" max="54" width="22.2833333333333" style="874" customWidth="1"/>
    <col min="55" max="55" width="10.1416666666667" style="874" customWidth="1"/>
    <col min="56" max="56" width="9.425" style="874" customWidth="1"/>
    <col min="57" max="16384" width="9.14166666666667" style="874"/>
  </cols>
  <sheetData>
    <row r="3" ht="13.5" spans="2:55">
      <c r="B3" s="908" t="s">
        <v>0</v>
      </c>
      <c r="C3" s="908" t="s">
        <v>1</v>
      </c>
      <c r="D3" s="908" t="s">
        <v>2</v>
      </c>
      <c r="E3" s="908" t="s">
        <v>3</v>
      </c>
      <c r="F3" s="908" t="s">
        <v>4</v>
      </c>
      <c r="G3" s="908" t="s">
        <v>5</v>
      </c>
      <c r="H3" s="908" t="s">
        <v>27</v>
      </c>
      <c r="I3" s="908" t="s">
        <v>6</v>
      </c>
      <c r="J3" s="908" t="s">
        <v>7</v>
      </c>
      <c r="K3" s="908" t="s">
        <v>8</v>
      </c>
      <c r="L3" s="908" t="s">
        <v>7629</v>
      </c>
      <c r="M3" s="929" t="s">
        <v>9</v>
      </c>
      <c r="N3" s="930"/>
      <c r="O3" s="930"/>
      <c r="P3" s="930"/>
      <c r="Q3" s="930"/>
      <c r="R3" s="930"/>
      <c r="S3" s="929" t="s">
        <v>11</v>
      </c>
      <c r="T3" s="930"/>
      <c r="U3" s="929" t="s">
        <v>4810</v>
      </c>
      <c r="V3" s="930"/>
      <c r="W3" s="935"/>
      <c r="X3" s="929" t="s">
        <v>13</v>
      </c>
      <c r="Y3" s="930"/>
      <c r="Z3" s="929" t="s">
        <v>7398</v>
      </c>
      <c r="AA3" s="930"/>
      <c r="AB3" s="937"/>
      <c r="AC3" s="939" t="s">
        <v>12</v>
      </c>
      <c r="AD3" s="940"/>
      <c r="AE3" s="929" t="s">
        <v>13</v>
      </c>
      <c r="AF3" s="930"/>
      <c r="AG3" s="908" t="s">
        <v>14</v>
      </c>
      <c r="AH3" s="908" t="s">
        <v>15</v>
      </c>
      <c r="AI3" s="943" t="s">
        <v>16</v>
      </c>
      <c r="AJ3" s="943" t="s">
        <v>17</v>
      </c>
      <c r="AK3" s="943" t="s">
        <v>4555</v>
      </c>
      <c r="AL3" s="943" t="s">
        <v>3507</v>
      </c>
      <c r="AM3" s="943" t="s">
        <v>22</v>
      </c>
      <c r="AN3" s="943" t="s">
        <v>7630</v>
      </c>
      <c r="AO3" s="943" t="s">
        <v>25</v>
      </c>
      <c r="AP3" s="908" t="s">
        <v>26</v>
      </c>
      <c r="AQ3" s="908" t="s">
        <v>27</v>
      </c>
      <c r="AR3" s="908" t="s">
        <v>15</v>
      </c>
      <c r="AS3" s="908" t="s">
        <v>3509</v>
      </c>
      <c r="AT3" s="908" t="s">
        <v>28</v>
      </c>
      <c r="AU3" s="908" t="s">
        <v>29</v>
      </c>
      <c r="AV3" s="908" t="s">
        <v>30</v>
      </c>
      <c r="AW3" s="908" t="s">
        <v>31</v>
      </c>
      <c r="AX3" s="908" t="s">
        <v>32</v>
      </c>
      <c r="AY3" s="908" t="s">
        <v>33</v>
      </c>
      <c r="AZ3" s="908" t="s">
        <v>34</v>
      </c>
      <c r="BA3" s="908" t="s">
        <v>35</v>
      </c>
      <c r="BB3" s="964" t="s">
        <v>36</v>
      </c>
      <c r="BC3" s="902" t="s">
        <v>7631</v>
      </c>
    </row>
    <row r="4" ht="13.5" spans="2:55">
      <c r="B4" s="909"/>
      <c r="C4" s="910"/>
      <c r="D4" s="910"/>
      <c r="E4" s="910"/>
      <c r="F4" s="910"/>
      <c r="G4" s="910"/>
      <c r="H4" s="910"/>
      <c r="I4" s="909"/>
      <c r="J4" s="909"/>
      <c r="K4" s="910"/>
      <c r="L4" s="924"/>
      <c r="M4" s="931" t="s">
        <v>37</v>
      </c>
      <c r="N4" s="931" t="s">
        <v>38</v>
      </c>
      <c r="O4" s="931">
        <v>1</v>
      </c>
      <c r="P4" s="931">
        <v>2</v>
      </c>
      <c r="Q4" s="908">
        <v>3</v>
      </c>
      <c r="R4" s="908">
        <v>4</v>
      </c>
      <c r="S4" s="908" t="s">
        <v>37</v>
      </c>
      <c r="T4" s="908" t="s">
        <v>38</v>
      </c>
      <c r="U4" s="908">
        <v>1</v>
      </c>
      <c r="V4" s="908">
        <v>2</v>
      </c>
      <c r="W4" s="908">
        <v>3</v>
      </c>
      <c r="X4" s="908" t="s">
        <v>37</v>
      </c>
      <c r="Y4" s="908" t="s">
        <v>38</v>
      </c>
      <c r="Z4" s="908">
        <v>1</v>
      </c>
      <c r="AA4" s="908">
        <v>2</v>
      </c>
      <c r="AB4" s="938">
        <v>3</v>
      </c>
      <c r="AC4" s="941" t="s">
        <v>37</v>
      </c>
      <c r="AD4" s="941" t="s">
        <v>38</v>
      </c>
      <c r="AE4" s="908" t="s">
        <v>37</v>
      </c>
      <c r="AF4" s="908" t="s">
        <v>38</v>
      </c>
      <c r="AG4" s="910"/>
      <c r="AH4" s="910"/>
      <c r="AI4" s="944"/>
      <c r="AJ4" s="944"/>
      <c r="AK4" s="944"/>
      <c r="AL4" s="944"/>
      <c r="AM4" s="944"/>
      <c r="AN4" s="944"/>
      <c r="AO4" s="954"/>
      <c r="AP4" s="909"/>
      <c r="AQ4" s="909"/>
      <c r="AR4" s="909"/>
      <c r="AS4" s="909"/>
      <c r="AT4" s="909"/>
      <c r="AU4" s="909"/>
      <c r="AV4" s="909"/>
      <c r="AW4" s="909"/>
      <c r="AX4" s="909"/>
      <c r="AY4" s="909"/>
      <c r="AZ4" s="909"/>
      <c r="BA4" s="965"/>
      <c r="BB4" s="966"/>
      <c r="BC4" s="904"/>
    </row>
    <row r="5" s="871" customFormat="1" ht="21.75" spans="2:56">
      <c r="B5" s="1551" t="s">
        <v>39</v>
      </c>
      <c r="C5" s="912" t="s">
        <v>7632</v>
      </c>
      <c r="D5" s="912" t="s">
        <v>7633</v>
      </c>
      <c r="E5" s="920">
        <v>29847</v>
      </c>
      <c r="F5" s="920" t="s">
        <v>125</v>
      </c>
      <c r="G5" s="920" t="s">
        <v>404</v>
      </c>
      <c r="H5" s="920" t="s">
        <v>6686</v>
      </c>
      <c r="I5" s="925" t="s">
        <v>3528</v>
      </c>
      <c r="J5" s="925" t="s">
        <v>4922</v>
      </c>
      <c r="K5" s="912" t="s">
        <v>4922</v>
      </c>
      <c r="L5" s="926"/>
      <c r="M5" s="926">
        <v>41593</v>
      </c>
      <c r="N5" s="926">
        <v>42004</v>
      </c>
      <c r="O5" s="926">
        <v>42185</v>
      </c>
      <c r="P5" s="926">
        <v>42369</v>
      </c>
      <c r="Q5" s="926"/>
      <c r="R5" s="926"/>
      <c r="S5" s="926">
        <v>42005</v>
      </c>
      <c r="T5" s="926">
        <v>42688</v>
      </c>
      <c r="U5" s="926"/>
      <c r="V5" s="926"/>
      <c r="W5" s="926"/>
      <c r="X5" s="926"/>
      <c r="Y5" s="926"/>
      <c r="Z5" s="926"/>
      <c r="AA5" s="926"/>
      <c r="AB5" s="926"/>
      <c r="AC5" s="926">
        <v>42689</v>
      </c>
      <c r="AD5" s="926">
        <v>42749</v>
      </c>
      <c r="AE5" s="936">
        <v>42750</v>
      </c>
      <c r="AF5" s="936">
        <v>43281</v>
      </c>
      <c r="AG5" s="640">
        <f ca="1">SUM(AF5-NOW())</f>
        <v>8.61546296296001</v>
      </c>
      <c r="AH5" s="121" t="str">
        <f ca="1" t="shared" ref="AH5:AH24" si="0">IF(AG5&lt;=40,"WARNING","ACTIVE")</f>
        <v>WARNING</v>
      </c>
      <c r="AI5" s="945">
        <v>6474785</v>
      </c>
      <c r="AJ5" s="945">
        <v>500000</v>
      </c>
      <c r="AK5" s="945">
        <v>0</v>
      </c>
      <c r="AL5" s="952">
        <v>500000</v>
      </c>
      <c r="AM5" s="945">
        <v>200000</v>
      </c>
      <c r="AN5" s="945"/>
      <c r="AO5" s="955" t="s">
        <v>48</v>
      </c>
      <c r="AP5" s="956" t="s">
        <v>48</v>
      </c>
      <c r="AQ5" s="956" t="s">
        <v>48</v>
      </c>
      <c r="AR5" s="925" t="s">
        <v>7634</v>
      </c>
      <c r="AS5" s="925"/>
      <c r="AT5" s="285" t="s">
        <v>7635</v>
      </c>
      <c r="AU5" s="285" t="s">
        <v>7636</v>
      </c>
      <c r="AV5" s="285" t="s">
        <v>7637</v>
      </c>
      <c r="AW5" s="285"/>
      <c r="AX5" s="285" t="s">
        <v>7638</v>
      </c>
      <c r="AY5" s="285">
        <v>11027795712</v>
      </c>
      <c r="AZ5" s="285" t="s">
        <v>4713</v>
      </c>
      <c r="BA5" s="285" t="s">
        <v>7639</v>
      </c>
      <c r="BB5" s="912"/>
      <c r="BC5" s="906"/>
      <c r="BD5" s="906"/>
    </row>
    <row r="6" s="871" customFormat="1" ht="21" spans="2:56">
      <c r="B6" s="1551" t="s">
        <v>56</v>
      </c>
      <c r="C6" s="912" t="s">
        <v>7640</v>
      </c>
      <c r="D6" s="912" t="s">
        <v>7641</v>
      </c>
      <c r="E6" s="920">
        <v>28764</v>
      </c>
      <c r="F6" s="920" t="s">
        <v>43</v>
      </c>
      <c r="G6" s="920" t="s">
        <v>254</v>
      </c>
      <c r="H6" s="920" t="s">
        <v>254</v>
      </c>
      <c r="I6" s="925" t="s">
        <v>3528</v>
      </c>
      <c r="J6" s="925" t="s">
        <v>4922</v>
      </c>
      <c r="K6" s="912" t="s">
        <v>4922</v>
      </c>
      <c r="L6" s="926"/>
      <c r="M6" s="926">
        <v>41593</v>
      </c>
      <c r="N6" s="926">
        <v>42004</v>
      </c>
      <c r="O6" s="926">
        <v>42094</v>
      </c>
      <c r="P6" s="926">
        <v>42277</v>
      </c>
      <c r="Q6" s="926">
        <v>42322</v>
      </c>
      <c r="R6" s="926"/>
      <c r="S6" s="926">
        <v>42323</v>
      </c>
      <c r="T6" s="926">
        <v>42688</v>
      </c>
      <c r="U6" s="926"/>
      <c r="V6" s="926"/>
      <c r="W6" s="926"/>
      <c r="X6" s="926"/>
      <c r="Y6" s="926"/>
      <c r="Z6" s="926"/>
      <c r="AA6" s="926"/>
      <c r="AB6" s="926"/>
      <c r="AC6" s="926">
        <v>42689</v>
      </c>
      <c r="AD6" s="926">
        <v>42749</v>
      </c>
      <c r="AE6" s="936">
        <v>42750</v>
      </c>
      <c r="AF6" s="936">
        <v>43281</v>
      </c>
      <c r="AG6" s="640">
        <f ca="1" t="shared" ref="AG6:AG11" si="1">SUM(AF6-NOW())</f>
        <v>8.61546296296001</v>
      </c>
      <c r="AH6" s="121" t="str">
        <f ca="1" t="shared" si="0"/>
        <v>WARNING</v>
      </c>
      <c r="AI6" s="945">
        <v>6380839</v>
      </c>
      <c r="AJ6" s="945">
        <v>500000</v>
      </c>
      <c r="AK6" s="945">
        <v>0</v>
      </c>
      <c r="AL6" s="945">
        <v>500000</v>
      </c>
      <c r="AM6" s="945">
        <v>200000</v>
      </c>
      <c r="AN6" s="945"/>
      <c r="AO6" s="955" t="s">
        <v>48</v>
      </c>
      <c r="AP6" s="956" t="s">
        <v>48</v>
      </c>
      <c r="AQ6" s="956" t="s">
        <v>48</v>
      </c>
      <c r="AR6" s="925" t="s">
        <v>7642</v>
      </c>
      <c r="AS6" s="925"/>
      <c r="AT6" s="285" t="s">
        <v>7643</v>
      </c>
      <c r="AU6" s="285" t="s">
        <v>7644</v>
      </c>
      <c r="AV6" s="285" t="s">
        <v>7645</v>
      </c>
      <c r="AW6" s="285"/>
      <c r="AX6" s="285" t="s">
        <v>7646</v>
      </c>
      <c r="AY6" s="285">
        <v>8026848054</v>
      </c>
      <c r="AZ6" s="285" t="s">
        <v>7647</v>
      </c>
      <c r="BA6" s="285" t="s">
        <v>7648</v>
      </c>
      <c r="BB6" s="912"/>
      <c r="BC6" s="906"/>
      <c r="BD6" s="906"/>
    </row>
    <row r="7" s="871" customFormat="1" ht="21" spans="2:56">
      <c r="B7" s="1551" t="s">
        <v>68</v>
      </c>
      <c r="C7" s="912" t="s">
        <v>7649</v>
      </c>
      <c r="D7" s="912" t="s">
        <v>7650</v>
      </c>
      <c r="E7" s="920" t="s">
        <v>7651</v>
      </c>
      <c r="F7" s="920" t="s">
        <v>125</v>
      </c>
      <c r="G7" s="920" t="s">
        <v>60</v>
      </c>
      <c r="H7" s="920" t="s">
        <v>1110</v>
      </c>
      <c r="I7" s="925" t="s">
        <v>3528</v>
      </c>
      <c r="J7" s="925" t="s">
        <v>4922</v>
      </c>
      <c r="K7" s="912" t="s">
        <v>4922</v>
      </c>
      <c r="L7" s="926"/>
      <c r="M7" s="926">
        <v>41791</v>
      </c>
      <c r="N7" s="926">
        <v>41973</v>
      </c>
      <c r="O7" s="926">
        <v>42155</v>
      </c>
      <c r="P7" s="926">
        <v>42369</v>
      </c>
      <c r="Q7" s="926">
        <v>42521</v>
      </c>
      <c r="R7" s="926"/>
      <c r="S7" s="926">
        <v>42522</v>
      </c>
      <c r="T7" s="926">
        <v>42886</v>
      </c>
      <c r="U7" s="926"/>
      <c r="V7" s="926"/>
      <c r="W7" s="926"/>
      <c r="X7" s="926"/>
      <c r="Y7" s="926"/>
      <c r="Z7" s="926"/>
      <c r="AA7" s="926"/>
      <c r="AB7" s="926"/>
      <c r="AC7" s="926">
        <v>42887</v>
      </c>
      <c r="AD7" s="926">
        <v>42916</v>
      </c>
      <c r="AE7" s="936">
        <v>42917</v>
      </c>
      <c r="AF7" s="936">
        <v>43281</v>
      </c>
      <c r="AG7" s="640">
        <f ca="1" t="shared" si="1"/>
        <v>8.61546296296001</v>
      </c>
      <c r="AH7" s="121" t="str">
        <f ca="1" t="shared" si="0"/>
        <v>WARNING</v>
      </c>
      <c r="AI7" s="945">
        <v>6900000</v>
      </c>
      <c r="AJ7" s="945">
        <v>600000</v>
      </c>
      <c r="AK7" s="945" t="s">
        <v>583</v>
      </c>
      <c r="AL7" s="945" t="s">
        <v>0</v>
      </c>
      <c r="AM7" s="945">
        <v>200000</v>
      </c>
      <c r="AN7" s="945"/>
      <c r="AO7" s="955" t="s">
        <v>48</v>
      </c>
      <c r="AP7" s="956" t="s">
        <v>48</v>
      </c>
      <c r="AQ7" s="956" t="s">
        <v>48</v>
      </c>
      <c r="AR7" s="925" t="s">
        <v>7652</v>
      </c>
      <c r="AS7" s="925"/>
      <c r="AT7" s="285" t="s">
        <v>7653</v>
      </c>
      <c r="AU7" s="285" t="s">
        <v>7654</v>
      </c>
      <c r="AV7" s="285" t="s">
        <v>7655</v>
      </c>
      <c r="AW7" s="285" t="s">
        <v>7656</v>
      </c>
      <c r="AX7" s="285" t="s">
        <v>7657</v>
      </c>
      <c r="AY7" s="285"/>
      <c r="AZ7" s="285" t="s">
        <v>7658</v>
      </c>
      <c r="BA7" s="285" t="s">
        <v>7659</v>
      </c>
      <c r="BB7" s="912"/>
      <c r="BC7" s="906"/>
      <c r="BD7" s="906"/>
    </row>
    <row r="8" s="871" customFormat="1" ht="31.5" spans="2:56">
      <c r="B8" s="1551" t="s">
        <v>78</v>
      </c>
      <c r="C8" s="912" t="s">
        <v>7660</v>
      </c>
      <c r="D8" s="912" t="s">
        <v>7661</v>
      </c>
      <c r="E8" s="920" t="s">
        <v>7662</v>
      </c>
      <c r="F8" s="920" t="s">
        <v>125</v>
      </c>
      <c r="G8" s="920" t="s">
        <v>254</v>
      </c>
      <c r="H8" s="920" t="s">
        <v>6039</v>
      </c>
      <c r="I8" s="925" t="s">
        <v>3528</v>
      </c>
      <c r="J8" s="925" t="s">
        <v>4922</v>
      </c>
      <c r="K8" s="912" t="s">
        <v>4922</v>
      </c>
      <c r="L8" s="926"/>
      <c r="M8" s="926">
        <v>41791</v>
      </c>
      <c r="N8" s="926">
        <v>41973</v>
      </c>
      <c r="O8" s="926">
        <v>42155</v>
      </c>
      <c r="P8" s="926">
        <v>42369</v>
      </c>
      <c r="Q8" s="926">
        <v>42521</v>
      </c>
      <c r="R8" s="926"/>
      <c r="S8" s="926">
        <v>42522</v>
      </c>
      <c r="T8" s="926">
        <v>42886</v>
      </c>
      <c r="U8" s="926"/>
      <c r="V8" s="926"/>
      <c r="W8" s="926"/>
      <c r="X8" s="926"/>
      <c r="Y8" s="926"/>
      <c r="Z8" s="926"/>
      <c r="AA8" s="926"/>
      <c r="AB8" s="926"/>
      <c r="AC8" s="926">
        <v>42887</v>
      </c>
      <c r="AD8" s="926">
        <v>42916</v>
      </c>
      <c r="AE8" s="936">
        <v>42917</v>
      </c>
      <c r="AF8" s="936">
        <v>43281</v>
      </c>
      <c r="AG8" s="640">
        <f ca="1" t="shared" si="1"/>
        <v>8.61546296296001</v>
      </c>
      <c r="AH8" s="121" t="str">
        <f ca="1" t="shared" si="0"/>
        <v>WARNING</v>
      </c>
      <c r="AI8" s="945">
        <v>8957883</v>
      </c>
      <c r="AJ8" s="945">
        <v>500000</v>
      </c>
      <c r="AK8" s="945" t="s">
        <v>583</v>
      </c>
      <c r="AL8" s="945">
        <v>500000</v>
      </c>
      <c r="AM8" s="945">
        <v>200000</v>
      </c>
      <c r="AN8" s="945"/>
      <c r="AO8" s="955" t="s">
        <v>48</v>
      </c>
      <c r="AP8" s="956" t="s">
        <v>48</v>
      </c>
      <c r="AQ8" s="956" t="s">
        <v>48</v>
      </c>
      <c r="AR8" s="925" t="s">
        <v>7663</v>
      </c>
      <c r="AS8" s="925"/>
      <c r="AT8" s="285" t="s">
        <v>7664</v>
      </c>
      <c r="AU8" s="285" t="s">
        <v>7665</v>
      </c>
      <c r="AV8" s="285" t="s">
        <v>7666</v>
      </c>
      <c r="AW8" s="285" t="s">
        <v>7667</v>
      </c>
      <c r="AX8" s="285" t="s">
        <v>7668</v>
      </c>
      <c r="AY8" s="285">
        <v>0</v>
      </c>
      <c r="AZ8" s="285" t="s">
        <v>4713</v>
      </c>
      <c r="BA8" s="285" t="s">
        <v>7669</v>
      </c>
      <c r="BB8" s="912"/>
      <c r="BC8" s="906"/>
      <c r="BD8" s="906"/>
    </row>
    <row r="9" s="871" customFormat="1" ht="21" spans="2:56">
      <c r="B9" s="1551" t="s">
        <v>92</v>
      </c>
      <c r="C9" s="912" t="s">
        <v>7670</v>
      </c>
      <c r="D9" s="912" t="s">
        <v>7671</v>
      </c>
      <c r="E9" s="920" t="s">
        <v>7672</v>
      </c>
      <c r="F9" s="920" t="s">
        <v>125</v>
      </c>
      <c r="G9" s="920" t="s">
        <v>6039</v>
      </c>
      <c r="H9" s="920" t="s">
        <v>6039</v>
      </c>
      <c r="I9" s="925" t="s">
        <v>3528</v>
      </c>
      <c r="J9" s="925" t="s">
        <v>4922</v>
      </c>
      <c r="K9" s="912" t="s">
        <v>4922</v>
      </c>
      <c r="L9" s="926"/>
      <c r="M9" s="926">
        <v>41791</v>
      </c>
      <c r="N9" s="926">
        <v>41973</v>
      </c>
      <c r="O9" s="926">
        <v>42155</v>
      </c>
      <c r="P9" s="926">
        <v>42369</v>
      </c>
      <c r="Q9" s="926">
        <v>42521</v>
      </c>
      <c r="R9" s="926"/>
      <c r="S9" s="926">
        <v>42522</v>
      </c>
      <c r="T9" s="926">
        <v>42886</v>
      </c>
      <c r="U9" s="926"/>
      <c r="V9" s="926"/>
      <c r="W9" s="926"/>
      <c r="X9" s="926"/>
      <c r="Y9" s="926"/>
      <c r="Z9" s="926"/>
      <c r="AA9" s="926"/>
      <c r="AB9" s="926"/>
      <c r="AC9" s="926">
        <v>42887</v>
      </c>
      <c r="AD9" s="926">
        <v>42916</v>
      </c>
      <c r="AE9" s="936">
        <v>42917</v>
      </c>
      <c r="AF9" s="936">
        <v>43281</v>
      </c>
      <c r="AG9" s="640">
        <f ca="1" t="shared" si="1"/>
        <v>8.61546296296001</v>
      </c>
      <c r="AH9" s="121" t="str">
        <f ca="1" t="shared" si="0"/>
        <v>WARNING</v>
      </c>
      <c r="AI9" s="945">
        <v>7717775</v>
      </c>
      <c r="AJ9" s="945">
        <v>600000</v>
      </c>
      <c r="AK9" s="945" t="s">
        <v>583</v>
      </c>
      <c r="AL9" s="945" t="s">
        <v>0</v>
      </c>
      <c r="AM9" s="945">
        <v>200000</v>
      </c>
      <c r="AN9" s="945"/>
      <c r="AO9" s="955" t="s">
        <v>48</v>
      </c>
      <c r="AP9" s="956" t="s">
        <v>48</v>
      </c>
      <c r="AQ9" s="956" t="s">
        <v>48</v>
      </c>
      <c r="AR9" s="925" t="s">
        <v>7673</v>
      </c>
      <c r="AS9" s="925"/>
      <c r="AT9" s="285" t="s">
        <v>7674</v>
      </c>
      <c r="AU9" s="285" t="s">
        <v>7675</v>
      </c>
      <c r="AV9" s="285" t="s">
        <v>7676</v>
      </c>
      <c r="AW9" s="285" t="s">
        <v>7677</v>
      </c>
      <c r="AX9" s="285" t="s">
        <v>7678</v>
      </c>
      <c r="AY9" s="285">
        <v>14013435806</v>
      </c>
      <c r="AZ9" s="285" t="s">
        <v>7679</v>
      </c>
      <c r="BA9" s="285" t="s">
        <v>7680</v>
      </c>
      <c r="BB9" s="912"/>
      <c r="BC9" s="906"/>
      <c r="BD9" s="906"/>
    </row>
    <row r="10" s="871" customFormat="1" ht="31.5" spans="2:56">
      <c r="B10" s="1551" t="s">
        <v>107</v>
      </c>
      <c r="C10" s="912" t="s">
        <v>7681</v>
      </c>
      <c r="D10" s="912" t="s">
        <v>7682</v>
      </c>
      <c r="E10" s="920" t="s">
        <v>7683</v>
      </c>
      <c r="F10" s="920" t="s">
        <v>125</v>
      </c>
      <c r="G10" s="920" t="s">
        <v>254</v>
      </c>
      <c r="H10" s="920" t="s">
        <v>254</v>
      </c>
      <c r="I10" s="925" t="s">
        <v>3528</v>
      </c>
      <c r="J10" s="925" t="s">
        <v>4922</v>
      </c>
      <c r="K10" s="912" t="s">
        <v>4922</v>
      </c>
      <c r="L10" s="926"/>
      <c r="M10" s="926">
        <v>41791</v>
      </c>
      <c r="N10" s="926">
        <v>41973</v>
      </c>
      <c r="O10" s="926">
        <v>42155</v>
      </c>
      <c r="P10" s="926">
        <v>42369</v>
      </c>
      <c r="Q10" s="926">
        <v>42521</v>
      </c>
      <c r="R10" s="926"/>
      <c r="S10" s="926">
        <v>42522</v>
      </c>
      <c r="T10" s="926">
        <v>42886</v>
      </c>
      <c r="U10" s="926"/>
      <c r="V10" s="926"/>
      <c r="W10" s="926"/>
      <c r="X10" s="926"/>
      <c r="Y10" s="926"/>
      <c r="Z10" s="926"/>
      <c r="AA10" s="926"/>
      <c r="AB10" s="926"/>
      <c r="AC10" s="926">
        <v>42887</v>
      </c>
      <c r="AD10" s="926">
        <v>42916</v>
      </c>
      <c r="AE10" s="936">
        <v>42917</v>
      </c>
      <c r="AF10" s="936">
        <v>43281</v>
      </c>
      <c r="AG10" s="640">
        <f ca="1" t="shared" si="1"/>
        <v>8.61546296296001</v>
      </c>
      <c r="AH10" s="121" t="str">
        <f ca="1" t="shared" si="0"/>
        <v>WARNING</v>
      </c>
      <c r="AI10" s="945">
        <v>8250000</v>
      </c>
      <c r="AJ10" s="945">
        <v>500000</v>
      </c>
      <c r="AK10" s="945"/>
      <c r="AL10" s="945">
        <v>500000</v>
      </c>
      <c r="AM10" s="945" t="s">
        <v>7684</v>
      </c>
      <c r="AN10" s="945"/>
      <c r="AO10" s="955" t="s">
        <v>48</v>
      </c>
      <c r="AP10" s="956" t="s">
        <v>48</v>
      </c>
      <c r="AQ10" s="956" t="s">
        <v>48</v>
      </c>
      <c r="AR10" s="925" t="s">
        <v>7685</v>
      </c>
      <c r="AS10" s="925"/>
      <c r="AT10" s="285" t="s">
        <v>7686</v>
      </c>
      <c r="AU10" s="285" t="s">
        <v>7687</v>
      </c>
      <c r="AV10" s="285" t="s">
        <v>7688</v>
      </c>
      <c r="AW10" s="285" t="s">
        <v>7689</v>
      </c>
      <c r="AX10" s="285" t="s">
        <v>7690</v>
      </c>
      <c r="AY10" s="285">
        <v>0</v>
      </c>
      <c r="AZ10" s="285" t="s">
        <v>7691</v>
      </c>
      <c r="BA10" s="285" t="s">
        <v>7692</v>
      </c>
      <c r="BB10" s="912"/>
      <c r="BC10" s="906"/>
      <c r="BD10" s="906"/>
    </row>
    <row r="11" s="871" customFormat="1" ht="21" spans="2:56">
      <c r="B11" s="1551" t="s">
        <v>121</v>
      </c>
      <c r="C11" s="912" t="s">
        <v>7693</v>
      </c>
      <c r="D11" s="912" t="s">
        <v>7694</v>
      </c>
      <c r="E11" s="920" t="s">
        <v>7695</v>
      </c>
      <c r="F11" s="920" t="s">
        <v>125</v>
      </c>
      <c r="G11" s="920" t="s">
        <v>254</v>
      </c>
      <c r="H11" s="920" t="s">
        <v>254</v>
      </c>
      <c r="I11" s="925" t="s">
        <v>3528</v>
      </c>
      <c r="J11" s="925" t="s">
        <v>4922</v>
      </c>
      <c r="K11" s="912" t="s">
        <v>7696</v>
      </c>
      <c r="L11" s="926"/>
      <c r="M11" s="926">
        <v>41991</v>
      </c>
      <c r="N11" s="926">
        <v>42185</v>
      </c>
      <c r="O11" s="926">
        <v>42369</v>
      </c>
      <c r="P11" s="926">
        <v>42721</v>
      </c>
      <c r="Q11" s="926"/>
      <c r="R11" s="926"/>
      <c r="S11" s="926">
        <v>42722</v>
      </c>
      <c r="T11" s="926">
        <v>43086</v>
      </c>
      <c r="U11" s="926"/>
      <c r="V11" s="926"/>
      <c r="W11" s="926"/>
      <c r="X11" s="926"/>
      <c r="Y11" s="926"/>
      <c r="Z11" s="926"/>
      <c r="AA11" s="926"/>
      <c r="AB11" s="926"/>
      <c r="AC11" s="926">
        <v>43087</v>
      </c>
      <c r="AD11" s="926">
        <v>43117</v>
      </c>
      <c r="AE11" s="936">
        <v>43118</v>
      </c>
      <c r="AF11" s="936">
        <v>43281</v>
      </c>
      <c r="AG11" s="640">
        <f ca="1" t="shared" si="1"/>
        <v>8.61546296296001</v>
      </c>
      <c r="AH11" s="121" t="str">
        <f ca="1" t="shared" si="0"/>
        <v>WARNING</v>
      </c>
      <c r="AI11" s="945">
        <v>10800000</v>
      </c>
      <c r="AJ11" s="945">
        <v>550000</v>
      </c>
      <c r="AK11" s="945"/>
      <c r="AL11" s="945">
        <v>500000</v>
      </c>
      <c r="AM11" s="945"/>
      <c r="AN11" s="945"/>
      <c r="AO11" s="955" t="s">
        <v>0</v>
      </c>
      <c r="AP11" s="956" t="s">
        <v>48</v>
      </c>
      <c r="AQ11" s="956" t="s">
        <v>48</v>
      </c>
      <c r="AR11" s="925" t="s">
        <v>7697</v>
      </c>
      <c r="AS11" s="925"/>
      <c r="AT11" s="285" t="s">
        <v>7698</v>
      </c>
      <c r="AU11" s="285" t="s">
        <v>7699</v>
      </c>
      <c r="AV11" s="285" t="s">
        <v>7700</v>
      </c>
      <c r="AW11" s="285" t="s">
        <v>7701</v>
      </c>
      <c r="AX11" s="285" t="s">
        <v>7702</v>
      </c>
      <c r="AY11" s="285" t="s">
        <v>2574</v>
      </c>
      <c r="AZ11" s="285" t="s">
        <v>7703</v>
      </c>
      <c r="BA11" s="285" t="s">
        <v>7704</v>
      </c>
      <c r="BB11" s="912"/>
      <c r="BC11" s="906"/>
      <c r="BD11" s="906"/>
    </row>
    <row r="12" s="871" customFormat="1" ht="31.5" spans="2:56">
      <c r="B12" s="1551" t="s">
        <v>135</v>
      </c>
      <c r="C12" s="912" t="s">
        <v>7705</v>
      </c>
      <c r="D12" s="912" t="s">
        <v>7706</v>
      </c>
      <c r="E12" s="920">
        <v>30399</v>
      </c>
      <c r="F12" s="920" t="s">
        <v>43</v>
      </c>
      <c r="G12" s="920" t="s">
        <v>96</v>
      </c>
      <c r="H12" s="920" t="s">
        <v>254</v>
      </c>
      <c r="I12" s="925" t="s">
        <v>6809</v>
      </c>
      <c r="J12" s="925" t="s">
        <v>7707</v>
      </c>
      <c r="K12" s="912" t="s">
        <v>4639</v>
      </c>
      <c r="L12" s="926">
        <v>40817</v>
      </c>
      <c r="M12" s="926">
        <v>42736</v>
      </c>
      <c r="N12" s="926">
        <v>43281</v>
      </c>
      <c r="O12" s="926"/>
      <c r="P12" s="926"/>
      <c r="Q12" s="926"/>
      <c r="R12" s="926"/>
      <c r="S12" s="926"/>
      <c r="T12" s="926"/>
      <c r="U12" s="926"/>
      <c r="V12" s="926"/>
      <c r="W12" s="926"/>
      <c r="X12" s="926"/>
      <c r="Y12" s="926"/>
      <c r="Z12" s="926"/>
      <c r="AA12" s="926"/>
      <c r="AB12" s="926"/>
      <c r="AC12" s="926"/>
      <c r="AD12" s="926"/>
      <c r="AE12" s="936"/>
      <c r="AF12" s="936"/>
      <c r="AG12" s="640">
        <f ca="1">SUM(N12-NOW())</f>
        <v>8.61546296296001</v>
      </c>
      <c r="AH12" s="121" t="str">
        <f ca="1" t="shared" si="0"/>
        <v>WARNING</v>
      </c>
      <c r="AI12" s="945">
        <v>3367000</v>
      </c>
      <c r="AJ12" s="945">
        <v>0</v>
      </c>
      <c r="AK12" s="945"/>
      <c r="AL12" s="945"/>
      <c r="AM12" s="945"/>
      <c r="AN12" s="945"/>
      <c r="AO12" s="955">
        <v>1287572</v>
      </c>
      <c r="AP12" s="956" t="s">
        <v>113</v>
      </c>
      <c r="AQ12" s="956" t="s">
        <v>113</v>
      </c>
      <c r="AR12" s="925" t="s">
        <v>7708</v>
      </c>
      <c r="AS12" s="925" t="s">
        <v>6812</v>
      </c>
      <c r="AT12" s="285" t="s">
        <v>7709</v>
      </c>
      <c r="AU12" s="285" t="s">
        <v>7710</v>
      </c>
      <c r="AV12" s="285" t="s">
        <v>7711</v>
      </c>
      <c r="AW12" s="285"/>
      <c r="AX12" s="285" t="s">
        <v>7712</v>
      </c>
      <c r="AY12" s="285">
        <v>10027252062</v>
      </c>
      <c r="AZ12" s="285" t="s">
        <v>7713</v>
      </c>
      <c r="BA12" s="285" t="s">
        <v>7714</v>
      </c>
      <c r="BB12" s="912" t="s">
        <v>7715</v>
      </c>
      <c r="BC12" s="906"/>
      <c r="BD12" s="906"/>
    </row>
    <row r="13" s="871" customFormat="1" ht="42" spans="2:56">
      <c r="B13" s="1551" t="s">
        <v>146</v>
      </c>
      <c r="C13" s="912" t="s">
        <v>7716</v>
      </c>
      <c r="D13" s="912" t="s">
        <v>7717</v>
      </c>
      <c r="E13" s="920">
        <v>32225</v>
      </c>
      <c r="F13" s="920" t="s">
        <v>43</v>
      </c>
      <c r="G13" s="920" t="s">
        <v>404</v>
      </c>
      <c r="H13" s="920" t="s">
        <v>404</v>
      </c>
      <c r="I13" s="925" t="s">
        <v>6809</v>
      </c>
      <c r="J13" s="925" t="s">
        <v>7707</v>
      </c>
      <c r="K13" s="912" t="s">
        <v>4639</v>
      </c>
      <c r="L13" s="926">
        <v>40817</v>
      </c>
      <c r="M13" s="926">
        <v>42736</v>
      </c>
      <c r="N13" s="926">
        <v>43281</v>
      </c>
      <c r="O13" s="926"/>
      <c r="P13" s="926"/>
      <c r="Q13" s="926"/>
      <c r="R13" s="926"/>
      <c r="S13" s="926"/>
      <c r="T13" s="926"/>
      <c r="U13" s="926"/>
      <c r="V13" s="926"/>
      <c r="W13" s="926"/>
      <c r="X13" s="926"/>
      <c r="Y13" s="926"/>
      <c r="Z13" s="926"/>
      <c r="AA13" s="926"/>
      <c r="AB13" s="926"/>
      <c r="AC13" s="926"/>
      <c r="AD13" s="926"/>
      <c r="AE13" s="936"/>
      <c r="AF13" s="936"/>
      <c r="AG13" s="640">
        <f ca="1">SUM(N13-NOW())</f>
        <v>8.61546296296001</v>
      </c>
      <c r="AH13" s="121" t="str">
        <f ca="1" t="shared" si="0"/>
        <v>WARNING</v>
      </c>
      <c r="AI13" s="945">
        <v>3367000</v>
      </c>
      <c r="AJ13" s="945">
        <v>0</v>
      </c>
      <c r="AK13" s="945"/>
      <c r="AL13" s="945"/>
      <c r="AM13" s="945"/>
      <c r="AN13" s="945"/>
      <c r="AO13" s="955">
        <v>1287572</v>
      </c>
      <c r="AP13" s="956" t="s">
        <v>113</v>
      </c>
      <c r="AQ13" s="956" t="s">
        <v>113</v>
      </c>
      <c r="AR13" s="925" t="s">
        <v>7718</v>
      </c>
      <c r="AS13" s="925" t="s">
        <v>6812</v>
      </c>
      <c r="AT13" s="285" t="s">
        <v>7719</v>
      </c>
      <c r="AU13" s="285" t="s">
        <v>7720</v>
      </c>
      <c r="AV13" s="285" t="s">
        <v>7721</v>
      </c>
      <c r="AW13" s="285"/>
      <c r="AX13" s="285">
        <v>0</v>
      </c>
      <c r="AY13" s="285">
        <v>0</v>
      </c>
      <c r="AZ13" s="285" t="s">
        <v>7722</v>
      </c>
      <c r="BA13" s="285" t="s">
        <v>7723</v>
      </c>
      <c r="BB13" s="912" t="s">
        <v>7715</v>
      </c>
      <c r="BC13" s="906"/>
      <c r="BD13" s="906"/>
    </row>
    <row r="14" s="871" customFormat="1" ht="21" spans="2:56">
      <c r="B14" s="1551" t="s">
        <v>157</v>
      </c>
      <c r="C14" s="912" t="s">
        <v>7724</v>
      </c>
      <c r="D14" s="912" t="s">
        <v>7725</v>
      </c>
      <c r="E14" s="920">
        <v>25457</v>
      </c>
      <c r="F14" s="920" t="s">
        <v>125</v>
      </c>
      <c r="G14" s="920" t="s">
        <v>44</v>
      </c>
      <c r="H14" s="920" t="s">
        <v>44</v>
      </c>
      <c r="I14" s="925" t="s">
        <v>6809</v>
      </c>
      <c r="J14" s="925" t="s">
        <v>7726</v>
      </c>
      <c r="K14" s="912" t="s">
        <v>4766</v>
      </c>
      <c r="L14" s="926"/>
      <c r="M14" s="926">
        <v>40878</v>
      </c>
      <c r="N14" s="926">
        <v>41029</v>
      </c>
      <c r="O14" s="926">
        <v>41152</v>
      </c>
      <c r="P14" s="926">
        <v>41305</v>
      </c>
      <c r="Q14" s="926">
        <v>41455</v>
      </c>
      <c r="R14" s="926">
        <v>41578</v>
      </c>
      <c r="S14" s="926">
        <v>41579</v>
      </c>
      <c r="T14" s="926">
        <v>41729</v>
      </c>
      <c r="U14" s="926">
        <v>41851</v>
      </c>
      <c r="V14" s="926">
        <v>42004</v>
      </c>
      <c r="W14" s="926" t="s">
        <v>7727</v>
      </c>
      <c r="X14" s="926">
        <v>42036</v>
      </c>
      <c r="Y14" s="926">
        <v>42155</v>
      </c>
      <c r="Z14" s="926">
        <v>42308</v>
      </c>
      <c r="AA14" s="926">
        <v>42735</v>
      </c>
      <c r="AB14" s="926">
        <v>42766</v>
      </c>
      <c r="AC14" s="926">
        <v>42767</v>
      </c>
      <c r="AD14" s="926">
        <v>42825</v>
      </c>
      <c r="AE14" s="936">
        <v>42826</v>
      </c>
      <c r="AF14" s="936">
        <v>43281</v>
      </c>
      <c r="AG14" s="640">
        <f ca="1" t="shared" ref="AG14:AG22" si="2">SUM(AF14-NOW())</f>
        <v>8.61546296296001</v>
      </c>
      <c r="AH14" s="121" t="str">
        <f ca="1" t="shared" si="0"/>
        <v>WARNING</v>
      </c>
      <c r="AI14" s="945">
        <v>8734400</v>
      </c>
      <c r="AJ14" s="945">
        <v>500000</v>
      </c>
      <c r="AK14" s="945"/>
      <c r="AL14" s="945"/>
      <c r="AM14" s="945">
        <v>200000</v>
      </c>
      <c r="AN14" s="945"/>
      <c r="AO14" s="955" t="s">
        <v>112</v>
      </c>
      <c r="AP14" s="956" t="s">
        <v>113</v>
      </c>
      <c r="AQ14" s="956" t="s">
        <v>113</v>
      </c>
      <c r="AR14" s="925" t="s">
        <v>7728</v>
      </c>
      <c r="AS14" s="925"/>
      <c r="AT14" s="285" t="s">
        <v>7729</v>
      </c>
      <c r="AU14" s="285" t="s">
        <v>7730</v>
      </c>
      <c r="AV14" s="285" t="s">
        <v>7731</v>
      </c>
      <c r="AW14" s="285"/>
      <c r="AX14" s="285" t="s">
        <v>7732</v>
      </c>
      <c r="AY14" s="285">
        <v>0</v>
      </c>
      <c r="AZ14" s="285" t="s">
        <v>7733</v>
      </c>
      <c r="BA14" s="285" t="s">
        <v>7734</v>
      </c>
      <c r="BB14" s="912"/>
      <c r="BC14" s="906"/>
      <c r="BD14" s="906"/>
    </row>
    <row r="15" s="871" customFormat="1" ht="31.5" spans="2:56">
      <c r="B15" s="1551" t="s">
        <v>168</v>
      </c>
      <c r="C15" s="912" t="s">
        <v>7735</v>
      </c>
      <c r="D15" s="912" t="s">
        <v>7736</v>
      </c>
      <c r="E15" s="920">
        <v>28281</v>
      </c>
      <c r="F15" s="920" t="s">
        <v>43</v>
      </c>
      <c r="G15" s="920" t="s">
        <v>254</v>
      </c>
      <c r="H15" s="920" t="s">
        <v>254</v>
      </c>
      <c r="I15" s="925" t="s">
        <v>6809</v>
      </c>
      <c r="J15" s="925" t="s">
        <v>7707</v>
      </c>
      <c r="K15" s="912" t="s">
        <v>4639</v>
      </c>
      <c r="L15" s="926"/>
      <c r="M15" s="926">
        <v>40878</v>
      </c>
      <c r="N15" s="926">
        <v>41060</v>
      </c>
      <c r="O15" s="926">
        <v>41243</v>
      </c>
      <c r="P15" s="926">
        <v>41425</v>
      </c>
      <c r="Q15" s="926">
        <v>41608</v>
      </c>
      <c r="R15" s="926"/>
      <c r="S15" s="926">
        <v>41609</v>
      </c>
      <c r="T15" s="926">
        <v>41790</v>
      </c>
      <c r="U15" s="926">
        <v>41973</v>
      </c>
      <c r="V15" s="926" t="s">
        <v>7727</v>
      </c>
      <c r="W15" s="926"/>
      <c r="X15" s="926">
        <v>42005</v>
      </c>
      <c r="Y15" s="926">
        <v>42094</v>
      </c>
      <c r="Z15" s="926">
        <v>42308</v>
      </c>
      <c r="AA15" s="926">
        <v>42735</v>
      </c>
      <c r="AB15" s="926"/>
      <c r="AC15" s="926">
        <v>42736</v>
      </c>
      <c r="AD15" s="926">
        <v>42794</v>
      </c>
      <c r="AE15" s="936">
        <v>42795</v>
      </c>
      <c r="AF15" s="936">
        <v>43281</v>
      </c>
      <c r="AG15" s="640">
        <f ca="1" t="shared" si="2"/>
        <v>8.61546296296001</v>
      </c>
      <c r="AH15" s="121" t="str">
        <f ca="1" t="shared" si="0"/>
        <v>WARNING</v>
      </c>
      <c r="AI15" s="945">
        <v>3367000</v>
      </c>
      <c r="AJ15" s="945">
        <v>0</v>
      </c>
      <c r="AK15" s="945"/>
      <c r="AL15" s="945"/>
      <c r="AM15" s="945"/>
      <c r="AN15" s="945"/>
      <c r="AO15" s="955">
        <v>1287572</v>
      </c>
      <c r="AP15" s="956" t="s">
        <v>113</v>
      </c>
      <c r="AQ15" s="956" t="s">
        <v>113</v>
      </c>
      <c r="AR15" s="925" t="s">
        <v>7737</v>
      </c>
      <c r="AS15" s="925" t="s">
        <v>6812</v>
      </c>
      <c r="AT15" s="285" t="s">
        <v>7738</v>
      </c>
      <c r="AU15" s="285" t="s">
        <v>7739</v>
      </c>
      <c r="AV15" s="285" t="s">
        <v>7740</v>
      </c>
      <c r="AW15" s="285"/>
      <c r="AX15" s="285" t="s">
        <v>7741</v>
      </c>
      <c r="AY15" s="285">
        <v>10031864233</v>
      </c>
      <c r="AZ15" s="285" t="s">
        <v>7742</v>
      </c>
      <c r="BA15" s="285" t="s">
        <v>7743</v>
      </c>
      <c r="BB15" s="912"/>
      <c r="BC15" s="906"/>
      <c r="BD15" s="906"/>
    </row>
    <row r="16" s="871" customFormat="1" ht="31.5" spans="2:56">
      <c r="B16" s="1551" t="s">
        <v>181</v>
      </c>
      <c r="C16" s="912" t="s">
        <v>7744</v>
      </c>
      <c r="D16" s="912" t="s">
        <v>7745</v>
      </c>
      <c r="E16" s="920">
        <v>29388</v>
      </c>
      <c r="F16" s="920" t="s">
        <v>43</v>
      </c>
      <c r="G16" s="920" t="s">
        <v>254</v>
      </c>
      <c r="H16" s="920" t="s">
        <v>254</v>
      </c>
      <c r="I16" s="925" t="s">
        <v>6809</v>
      </c>
      <c r="J16" s="925" t="s">
        <v>7707</v>
      </c>
      <c r="K16" s="912" t="s">
        <v>4639</v>
      </c>
      <c r="L16" s="926"/>
      <c r="M16" s="926">
        <v>40909</v>
      </c>
      <c r="N16" s="926">
        <v>41090</v>
      </c>
      <c r="O16" s="926">
        <v>41274</v>
      </c>
      <c r="P16" s="926">
        <v>41455</v>
      </c>
      <c r="Q16" s="926">
        <v>41639</v>
      </c>
      <c r="R16" s="926"/>
      <c r="S16" s="926">
        <v>41640</v>
      </c>
      <c r="T16" s="926">
        <v>41729</v>
      </c>
      <c r="U16" s="926">
        <v>41820</v>
      </c>
      <c r="V16" s="926">
        <v>41912</v>
      </c>
      <c r="W16" s="926">
        <v>42004</v>
      </c>
      <c r="X16" s="926">
        <v>42036</v>
      </c>
      <c r="Y16" s="926">
        <v>42094</v>
      </c>
      <c r="Z16" s="926">
        <v>42308</v>
      </c>
      <c r="AA16" s="926">
        <v>42766</v>
      </c>
      <c r="AB16" s="926"/>
      <c r="AC16" s="926">
        <v>42767</v>
      </c>
      <c r="AD16" s="926">
        <v>42825</v>
      </c>
      <c r="AE16" s="936">
        <v>42826</v>
      </c>
      <c r="AF16" s="936">
        <v>43281</v>
      </c>
      <c r="AG16" s="640">
        <f ca="1" t="shared" si="2"/>
        <v>8.61546296296001</v>
      </c>
      <c r="AH16" s="121" t="str">
        <f ca="1" t="shared" si="0"/>
        <v>WARNING</v>
      </c>
      <c r="AI16" s="945">
        <v>3367000</v>
      </c>
      <c r="AJ16" s="945">
        <v>0</v>
      </c>
      <c r="AK16" s="945"/>
      <c r="AL16" s="945"/>
      <c r="AM16" s="945"/>
      <c r="AN16" s="945"/>
      <c r="AO16" s="955">
        <v>1287572</v>
      </c>
      <c r="AP16" s="956" t="s">
        <v>113</v>
      </c>
      <c r="AQ16" s="956" t="s">
        <v>113</v>
      </c>
      <c r="AR16" s="925" t="s">
        <v>7746</v>
      </c>
      <c r="AS16" s="925" t="s">
        <v>6812</v>
      </c>
      <c r="AT16" s="285" t="s">
        <v>7747</v>
      </c>
      <c r="AU16" s="285" t="s">
        <v>7748</v>
      </c>
      <c r="AV16" s="285" t="s">
        <v>7749</v>
      </c>
      <c r="AW16" s="285"/>
      <c r="AX16" s="285" t="s">
        <v>7750</v>
      </c>
      <c r="AY16" s="285">
        <v>10022942121</v>
      </c>
      <c r="AZ16" s="285" t="s">
        <v>7751</v>
      </c>
      <c r="BA16" s="285" t="s">
        <v>7752</v>
      </c>
      <c r="BB16" s="912"/>
      <c r="BC16" s="906"/>
      <c r="BD16" s="906"/>
    </row>
    <row r="17" s="871" customFormat="1" ht="31.5" spans="2:56">
      <c r="B17" s="1551" t="s">
        <v>194</v>
      </c>
      <c r="C17" s="912" t="s">
        <v>7753</v>
      </c>
      <c r="D17" s="912" t="s">
        <v>7754</v>
      </c>
      <c r="E17" s="920">
        <v>28099</v>
      </c>
      <c r="F17" s="920" t="s">
        <v>43</v>
      </c>
      <c r="G17" s="920" t="s">
        <v>254</v>
      </c>
      <c r="H17" s="920" t="s">
        <v>254</v>
      </c>
      <c r="I17" s="925" t="s">
        <v>6809</v>
      </c>
      <c r="J17" s="925" t="s">
        <v>7707</v>
      </c>
      <c r="K17" s="912" t="s">
        <v>4639</v>
      </c>
      <c r="L17" s="926"/>
      <c r="M17" s="926">
        <v>40909</v>
      </c>
      <c r="N17" s="926">
        <v>41090</v>
      </c>
      <c r="O17" s="926">
        <v>41274</v>
      </c>
      <c r="P17" s="926">
        <v>41455</v>
      </c>
      <c r="Q17" s="926">
        <v>41639</v>
      </c>
      <c r="R17" s="926"/>
      <c r="S17" s="926">
        <v>41640</v>
      </c>
      <c r="T17" s="926">
        <v>41729</v>
      </c>
      <c r="U17" s="926">
        <v>41820</v>
      </c>
      <c r="V17" s="926">
        <v>41912</v>
      </c>
      <c r="W17" s="926">
        <v>42004</v>
      </c>
      <c r="X17" s="926">
        <v>42036</v>
      </c>
      <c r="Y17" s="926">
        <v>42094</v>
      </c>
      <c r="Z17" s="926">
        <v>42308</v>
      </c>
      <c r="AA17" s="926">
        <v>42766</v>
      </c>
      <c r="AB17" s="926"/>
      <c r="AC17" s="926">
        <v>42767</v>
      </c>
      <c r="AD17" s="926">
        <v>42825</v>
      </c>
      <c r="AE17" s="936">
        <v>42826</v>
      </c>
      <c r="AF17" s="936">
        <v>43281</v>
      </c>
      <c r="AG17" s="640">
        <f ca="1" t="shared" si="2"/>
        <v>8.61546296296001</v>
      </c>
      <c r="AH17" s="121" t="str">
        <f ca="1" t="shared" si="0"/>
        <v>WARNING</v>
      </c>
      <c r="AI17" s="945">
        <v>3467000</v>
      </c>
      <c r="AJ17" s="945">
        <v>0</v>
      </c>
      <c r="AK17" s="945"/>
      <c r="AL17" s="945"/>
      <c r="AM17" s="945"/>
      <c r="AN17" s="945"/>
      <c r="AO17" s="955">
        <v>1287572</v>
      </c>
      <c r="AP17" s="956" t="s">
        <v>113</v>
      </c>
      <c r="AQ17" s="956" t="s">
        <v>113</v>
      </c>
      <c r="AR17" s="925" t="s">
        <v>7746</v>
      </c>
      <c r="AS17" s="925" t="s">
        <v>6812</v>
      </c>
      <c r="AT17" s="285" t="s">
        <v>7755</v>
      </c>
      <c r="AU17" s="285" t="s">
        <v>7756</v>
      </c>
      <c r="AV17" s="285" t="s">
        <v>7757</v>
      </c>
      <c r="AW17" s="285"/>
      <c r="AX17" s="285" t="s">
        <v>7758</v>
      </c>
      <c r="AY17" s="285">
        <v>10022942139</v>
      </c>
      <c r="AZ17" s="285" t="s">
        <v>7759</v>
      </c>
      <c r="BA17" s="285" t="s">
        <v>7760</v>
      </c>
      <c r="BB17" s="912"/>
      <c r="BC17" s="906"/>
      <c r="BD17" s="906"/>
    </row>
    <row r="18" s="871" customFormat="1" ht="31.5" spans="2:56">
      <c r="B18" s="1551" t="s">
        <v>204</v>
      </c>
      <c r="C18" s="912" t="s">
        <v>7761</v>
      </c>
      <c r="D18" s="912" t="s">
        <v>7762</v>
      </c>
      <c r="E18" s="920">
        <v>31891</v>
      </c>
      <c r="F18" s="920" t="s">
        <v>43</v>
      </c>
      <c r="G18" s="920" t="s">
        <v>404</v>
      </c>
      <c r="H18" s="920" t="s">
        <v>404</v>
      </c>
      <c r="I18" s="925" t="s">
        <v>6809</v>
      </c>
      <c r="J18" s="925" t="s">
        <v>7707</v>
      </c>
      <c r="K18" s="912" t="s">
        <v>4639</v>
      </c>
      <c r="L18" s="926"/>
      <c r="M18" s="926">
        <v>40909</v>
      </c>
      <c r="N18" s="926">
        <v>41090</v>
      </c>
      <c r="O18" s="926">
        <v>41274</v>
      </c>
      <c r="P18" s="926">
        <v>41455</v>
      </c>
      <c r="Q18" s="926">
        <v>41639</v>
      </c>
      <c r="R18" s="926"/>
      <c r="S18" s="926">
        <v>41640</v>
      </c>
      <c r="T18" s="926">
        <v>41729</v>
      </c>
      <c r="U18" s="926">
        <v>41820</v>
      </c>
      <c r="V18" s="926">
        <v>41912</v>
      </c>
      <c r="W18" s="926">
        <v>42004</v>
      </c>
      <c r="X18" s="926">
        <v>42036</v>
      </c>
      <c r="Y18" s="926">
        <v>42094</v>
      </c>
      <c r="Z18" s="926">
        <v>42308</v>
      </c>
      <c r="AA18" s="926">
        <v>42766</v>
      </c>
      <c r="AB18" s="926"/>
      <c r="AC18" s="926">
        <v>42767</v>
      </c>
      <c r="AD18" s="926">
        <v>42825</v>
      </c>
      <c r="AE18" s="936">
        <v>42826</v>
      </c>
      <c r="AF18" s="936">
        <v>43281</v>
      </c>
      <c r="AG18" s="640">
        <f ca="1" t="shared" si="2"/>
        <v>8.61546296296001</v>
      </c>
      <c r="AH18" s="121" t="str">
        <f ca="1" t="shared" si="0"/>
        <v>WARNING</v>
      </c>
      <c r="AI18" s="945">
        <v>3367000</v>
      </c>
      <c r="AJ18" s="945">
        <v>0</v>
      </c>
      <c r="AK18" s="945"/>
      <c r="AL18" s="945"/>
      <c r="AM18" s="945"/>
      <c r="AN18" s="945"/>
      <c r="AO18" s="955">
        <v>1287572</v>
      </c>
      <c r="AP18" s="956" t="s">
        <v>113</v>
      </c>
      <c r="AQ18" s="956" t="s">
        <v>113</v>
      </c>
      <c r="AR18" s="925" t="s">
        <v>7763</v>
      </c>
      <c r="AS18" s="925" t="s">
        <v>6812</v>
      </c>
      <c r="AT18" s="285" t="s">
        <v>7764</v>
      </c>
      <c r="AU18" s="285" t="s">
        <v>7765</v>
      </c>
      <c r="AV18" s="285" t="s">
        <v>7766</v>
      </c>
      <c r="AW18" s="285"/>
      <c r="AX18" s="285" t="s">
        <v>7767</v>
      </c>
      <c r="AY18" s="285" t="s">
        <v>7768</v>
      </c>
      <c r="AZ18" s="285" t="s">
        <v>3272</v>
      </c>
      <c r="BA18" s="285" t="s">
        <v>7769</v>
      </c>
      <c r="BB18" s="912"/>
      <c r="BC18" s="906"/>
      <c r="BD18" s="906"/>
    </row>
    <row r="19" s="871" customFormat="1" ht="31.5" spans="2:56">
      <c r="B19" s="1551" t="s">
        <v>215</v>
      </c>
      <c r="C19" s="912" t="s">
        <v>7770</v>
      </c>
      <c r="D19" s="912" t="s">
        <v>7771</v>
      </c>
      <c r="E19" s="920">
        <v>29112</v>
      </c>
      <c r="F19" s="920" t="s">
        <v>43</v>
      </c>
      <c r="G19" s="920" t="s">
        <v>254</v>
      </c>
      <c r="H19" s="920" t="s">
        <v>254</v>
      </c>
      <c r="I19" s="925" t="s">
        <v>6809</v>
      </c>
      <c r="J19" s="925" t="s">
        <v>7707</v>
      </c>
      <c r="K19" s="912" t="s">
        <v>4639</v>
      </c>
      <c r="L19" s="926"/>
      <c r="M19" s="926">
        <v>40940</v>
      </c>
      <c r="N19" s="926">
        <v>41121</v>
      </c>
      <c r="O19" s="926">
        <v>41305</v>
      </c>
      <c r="P19" s="926">
        <v>41486</v>
      </c>
      <c r="Q19" s="926">
        <v>41670</v>
      </c>
      <c r="R19" s="926"/>
      <c r="S19" s="926">
        <v>41671</v>
      </c>
      <c r="T19" s="926">
        <v>41820</v>
      </c>
      <c r="U19" s="926">
        <v>41912</v>
      </c>
      <c r="V19" s="926">
        <v>42004</v>
      </c>
      <c r="W19" s="926">
        <v>42035</v>
      </c>
      <c r="X19" s="926">
        <v>42064</v>
      </c>
      <c r="Y19" s="926">
        <v>42094</v>
      </c>
      <c r="Z19" s="926">
        <v>42308</v>
      </c>
      <c r="AA19" s="926">
        <v>42794</v>
      </c>
      <c r="AB19" s="926"/>
      <c r="AC19" s="926">
        <v>42795</v>
      </c>
      <c r="AD19" s="926">
        <v>42855</v>
      </c>
      <c r="AE19" s="936">
        <v>42856</v>
      </c>
      <c r="AF19" s="936">
        <v>43281</v>
      </c>
      <c r="AG19" s="640">
        <f ca="1" t="shared" si="2"/>
        <v>8.61546296296001</v>
      </c>
      <c r="AH19" s="121" t="str">
        <f ca="1" t="shared" si="0"/>
        <v>WARNING</v>
      </c>
      <c r="AI19" s="945">
        <v>3367000</v>
      </c>
      <c r="AJ19" s="945">
        <v>0</v>
      </c>
      <c r="AK19" s="945"/>
      <c r="AL19" s="945"/>
      <c r="AM19" s="945"/>
      <c r="AN19" s="945"/>
      <c r="AO19" s="955">
        <v>1287572</v>
      </c>
      <c r="AP19" s="956" t="s">
        <v>113</v>
      </c>
      <c r="AQ19" s="956" t="s">
        <v>113</v>
      </c>
      <c r="AR19" s="925" t="s">
        <v>7772</v>
      </c>
      <c r="AS19" s="925" t="s">
        <v>6812</v>
      </c>
      <c r="AT19" s="285" t="s">
        <v>7773</v>
      </c>
      <c r="AU19" s="285" t="s">
        <v>7774</v>
      </c>
      <c r="AV19" s="285" t="s">
        <v>7775</v>
      </c>
      <c r="AW19" s="285"/>
      <c r="AX19" s="285" t="s">
        <v>7776</v>
      </c>
      <c r="AY19" s="285">
        <v>11002536354</v>
      </c>
      <c r="AZ19" s="285" t="s">
        <v>7777</v>
      </c>
      <c r="BA19" s="285" t="s">
        <v>7778</v>
      </c>
      <c r="BB19" s="912"/>
      <c r="BC19" s="906"/>
      <c r="BD19" s="906"/>
    </row>
    <row r="20" s="871" customFormat="1" ht="42" spans="2:56">
      <c r="B20" s="1551" t="s">
        <v>229</v>
      </c>
      <c r="C20" s="912" t="s">
        <v>7779</v>
      </c>
      <c r="D20" s="912" t="s">
        <v>7780</v>
      </c>
      <c r="E20" s="920">
        <v>31404</v>
      </c>
      <c r="F20" s="920" t="s">
        <v>43</v>
      </c>
      <c r="G20" s="920" t="s">
        <v>60</v>
      </c>
      <c r="H20" s="920" t="s">
        <v>60</v>
      </c>
      <c r="I20" s="925" t="s">
        <v>6809</v>
      </c>
      <c r="J20" s="925" t="s">
        <v>6810</v>
      </c>
      <c r="K20" s="912" t="s">
        <v>4639</v>
      </c>
      <c r="L20" s="926"/>
      <c r="M20" s="926">
        <v>41061</v>
      </c>
      <c r="N20" s="926">
        <v>41274</v>
      </c>
      <c r="O20" s="926">
        <v>41425</v>
      </c>
      <c r="P20" s="926">
        <v>41608</v>
      </c>
      <c r="Q20" s="926">
        <v>41790</v>
      </c>
      <c r="R20" s="926"/>
      <c r="S20" s="926">
        <v>41791</v>
      </c>
      <c r="T20" s="926">
        <v>41973</v>
      </c>
      <c r="U20" s="926">
        <v>42094</v>
      </c>
      <c r="V20" s="926">
        <v>42155</v>
      </c>
      <c r="W20" s="926"/>
      <c r="X20" s="926">
        <v>42186</v>
      </c>
      <c r="Y20" s="926">
        <v>42308</v>
      </c>
      <c r="Z20" s="926">
        <v>42551</v>
      </c>
      <c r="AA20" s="926">
        <v>42916</v>
      </c>
      <c r="AB20" s="926"/>
      <c r="AC20" s="926">
        <v>42917</v>
      </c>
      <c r="AD20" s="926">
        <v>42978</v>
      </c>
      <c r="AE20" s="936">
        <v>42979</v>
      </c>
      <c r="AF20" s="936">
        <v>43281</v>
      </c>
      <c r="AG20" s="640">
        <f ca="1" t="shared" si="2"/>
        <v>8.61546296296001</v>
      </c>
      <c r="AH20" s="121" t="str">
        <f ca="1" t="shared" si="0"/>
        <v>WARNING</v>
      </c>
      <c r="AI20" s="945">
        <v>3467000</v>
      </c>
      <c r="AJ20" s="945"/>
      <c r="AK20" s="945"/>
      <c r="AL20" s="945"/>
      <c r="AM20" s="945"/>
      <c r="AN20" s="945"/>
      <c r="AO20" s="955" t="s">
        <v>113</v>
      </c>
      <c r="AP20" s="956" t="s">
        <v>113</v>
      </c>
      <c r="AQ20" s="956" t="s">
        <v>113</v>
      </c>
      <c r="AR20" s="925" t="s">
        <v>7781</v>
      </c>
      <c r="AS20" s="925" t="s">
        <v>6812</v>
      </c>
      <c r="AT20" s="285" t="s">
        <v>7782</v>
      </c>
      <c r="AU20" s="285" t="s">
        <v>7783</v>
      </c>
      <c r="AV20" s="285" t="s">
        <v>7784</v>
      </c>
      <c r="AW20" s="285"/>
      <c r="AX20" s="285" t="s">
        <v>7785</v>
      </c>
      <c r="AY20" s="285">
        <v>0</v>
      </c>
      <c r="AZ20" s="285" t="s">
        <v>7786</v>
      </c>
      <c r="BA20" s="285" t="s">
        <v>7787</v>
      </c>
      <c r="BB20" s="912"/>
      <c r="BC20" s="906"/>
      <c r="BD20" s="906"/>
    </row>
    <row r="21" s="871" customFormat="1" ht="31.5" spans="2:56">
      <c r="B21" s="1551" t="s">
        <v>239</v>
      </c>
      <c r="C21" s="912" t="s">
        <v>7788</v>
      </c>
      <c r="D21" s="912" t="s">
        <v>7789</v>
      </c>
      <c r="E21" s="920">
        <v>31085</v>
      </c>
      <c r="F21" s="920" t="s">
        <v>43</v>
      </c>
      <c r="G21" s="920" t="s">
        <v>254</v>
      </c>
      <c r="H21" s="920" t="s">
        <v>254</v>
      </c>
      <c r="I21" s="925" t="s">
        <v>3528</v>
      </c>
      <c r="J21" s="925" t="s">
        <v>4639</v>
      </c>
      <c r="K21" s="912" t="s">
        <v>7790</v>
      </c>
      <c r="L21" s="926"/>
      <c r="M21" s="926">
        <v>41609</v>
      </c>
      <c r="N21" s="926">
        <v>41790</v>
      </c>
      <c r="O21" s="926">
        <v>41973</v>
      </c>
      <c r="P21" s="926">
        <v>42155</v>
      </c>
      <c r="Q21" s="926">
        <v>42308</v>
      </c>
      <c r="R21" s="926">
        <v>42338</v>
      </c>
      <c r="S21" s="926">
        <v>42339</v>
      </c>
      <c r="T21" s="926">
        <v>42704</v>
      </c>
      <c r="U21" s="926"/>
      <c r="V21" s="926"/>
      <c r="W21" s="926"/>
      <c r="X21" s="926"/>
      <c r="Y21" s="926"/>
      <c r="Z21" s="926"/>
      <c r="AA21" s="926"/>
      <c r="AB21" s="926"/>
      <c r="AC21" s="926">
        <v>42705</v>
      </c>
      <c r="AD21" s="926">
        <v>42766</v>
      </c>
      <c r="AE21" s="936">
        <v>42767</v>
      </c>
      <c r="AF21" s="936">
        <v>43281</v>
      </c>
      <c r="AG21" s="640">
        <f ca="1" t="shared" si="2"/>
        <v>8.61546296296001</v>
      </c>
      <c r="AH21" s="121" t="str">
        <f ca="1" t="shared" si="0"/>
        <v>WARNING</v>
      </c>
      <c r="AI21" s="945">
        <v>4098600</v>
      </c>
      <c r="AJ21" s="945">
        <v>250000</v>
      </c>
      <c r="AK21" s="945"/>
      <c r="AL21" s="945"/>
      <c r="AM21" s="945">
        <v>0</v>
      </c>
      <c r="AN21" s="945">
        <v>600000</v>
      </c>
      <c r="AO21" s="955">
        <v>561850</v>
      </c>
      <c r="AP21" s="956" t="s">
        <v>48</v>
      </c>
      <c r="AQ21" s="956" t="s">
        <v>48</v>
      </c>
      <c r="AR21" s="925" t="s">
        <v>7791</v>
      </c>
      <c r="AS21" s="925"/>
      <c r="AT21" s="285" t="s">
        <v>7792</v>
      </c>
      <c r="AU21" s="285" t="s">
        <v>7793</v>
      </c>
      <c r="AV21" s="285" t="s">
        <v>7794</v>
      </c>
      <c r="AW21" s="285"/>
      <c r="AX21" s="285" t="s">
        <v>7795</v>
      </c>
      <c r="AY21" s="285" t="s">
        <v>5647</v>
      </c>
      <c r="AZ21" s="285" t="s">
        <v>7796</v>
      </c>
      <c r="BA21" s="285" t="s">
        <v>7797</v>
      </c>
      <c r="BB21" s="912"/>
      <c r="BC21" s="906"/>
      <c r="BD21" s="906"/>
    </row>
    <row r="22" s="871" customFormat="1" ht="21" spans="2:56">
      <c r="B22" s="1551" t="s">
        <v>250</v>
      </c>
      <c r="C22" s="912" t="s">
        <v>7798</v>
      </c>
      <c r="D22" s="912" t="s">
        <v>7799</v>
      </c>
      <c r="E22" s="920" t="s">
        <v>7800</v>
      </c>
      <c r="F22" s="920" t="s">
        <v>43</v>
      </c>
      <c r="G22" s="920" t="s">
        <v>44</v>
      </c>
      <c r="H22" s="920" t="s">
        <v>44</v>
      </c>
      <c r="I22" s="925" t="s">
        <v>3528</v>
      </c>
      <c r="J22" s="925" t="s">
        <v>7801</v>
      </c>
      <c r="K22" s="912" t="s">
        <v>4639</v>
      </c>
      <c r="L22" s="926"/>
      <c r="M22" s="926">
        <v>42039</v>
      </c>
      <c r="N22" s="926">
        <v>42216</v>
      </c>
      <c r="O22" s="926">
        <v>42308</v>
      </c>
      <c r="P22" s="926">
        <v>42403</v>
      </c>
      <c r="Q22" s="926">
        <v>42768</v>
      </c>
      <c r="R22" s="926">
        <v>42769</v>
      </c>
      <c r="S22" s="926">
        <v>42770</v>
      </c>
      <c r="T22" s="926">
        <v>43134</v>
      </c>
      <c r="U22" s="926"/>
      <c r="V22" s="926"/>
      <c r="W22" s="926"/>
      <c r="X22" s="926"/>
      <c r="Y22" s="926"/>
      <c r="Z22" s="926"/>
      <c r="AA22" s="926"/>
      <c r="AB22" s="926"/>
      <c r="AC22" s="926">
        <v>43135</v>
      </c>
      <c r="AD22" s="926">
        <v>43162</v>
      </c>
      <c r="AE22" s="936">
        <v>43163</v>
      </c>
      <c r="AF22" s="936">
        <v>43281</v>
      </c>
      <c r="AG22" s="640">
        <f ca="1" t="shared" si="2"/>
        <v>8.61546296296001</v>
      </c>
      <c r="AH22" s="121" t="str">
        <f ca="1" t="shared" si="0"/>
        <v>WARNING</v>
      </c>
      <c r="AI22" s="945">
        <v>3355750</v>
      </c>
      <c r="AJ22" s="945"/>
      <c r="AK22" s="945"/>
      <c r="AL22" s="945"/>
      <c r="AM22" s="945"/>
      <c r="AN22" s="945"/>
      <c r="AO22" s="955">
        <v>1170520</v>
      </c>
      <c r="AP22" s="956" t="s">
        <v>48</v>
      </c>
      <c r="AQ22" s="956" t="s">
        <v>48</v>
      </c>
      <c r="AR22" s="925" t="s">
        <v>7802</v>
      </c>
      <c r="AS22" s="925"/>
      <c r="AT22" s="285" t="s">
        <v>7803</v>
      </c>
      <c r="AU22" s="285" t="s">
        <v>7804</v>
      </c>
      <c r="AV22" s="285" t="s">
        <v>7805</v>
      </c>
      <c r="AW22" s="285" t="s">
        <v>7806</v>
      </c>
      <c r="AX22" s="285" t="s">
        <v>7807</v>
      </c>
      <c r="AY22" s="285">
        <v>0</v>
      </c>
      <c r="AZ22" s="285" t="s">
        <v>7808</v>
      </c>
      <c r="BA22" s="285" t="s">
        <v>7809</v>
      </c>
      <c r="BB22" s="912"/>
      <c r="BC22" s="906"/>
      <c r="BD22" s="906"/>
    </row>
    <row r="23" s="871" customFormat="1" spans="2:56">
      <c r="B23" s="1551" t="s">
        <v>261</v>
      </c>
      <c r="C23" s="913" t="s">
        <v>7810</v>
      </c>
      <c r="D23" s="912" t="s">
        <v>7811</v>
      </c>
      <c r="E23" s="920" t="s">
        <v>7812</v>
      </c>
      <c r="F23" s="920" t="s">
        <v>125</v>
      </c>
      <c r="G23" s="920" t="s">
        <v>254</v>
      </c>
      <c r="H23" s="920" t="s">
        <v>254</v>
      </c>
      <c r="I23" s="925" t="s">
        <v>3528</v>
      </c>
      <c r="J23" s="925" t="s">
        <v>7813</v>
      </c>
      <c r="K23" s="912" t="s">
        <v>7814</v>
      </c>
      <c r="L23" s="926"/>
      <c r="M23" s="926">
        <v>42675</v>
      </c>
      <c r="N23" s="926">
        <v>43008</v>
      </c>
      <c r="O23" s="926">
        <v>43373</v>
      </c>
      <c r="P23" s="926"/>
      <c r="Q23" s="926"/>
      <c r="R23" s="926"/>
      <c r="S23" s="926"/>
      <c r="T23" s="926"/>
      <c r="U23" s="926"/>
      <c r="V23" s="926"/>
      <c r="W23" s="926"/>
      <c r="X23" s="926"/>
      <c r="Y23" s="926"/>
      <c r="Z23" s="926"/>
      <c r="AA23" s="926"/>
      <c r="AB23" s="926"/>
      <c r="AC23" s="926"/>
      <c r="AD23" s="926"/>
      <c r="AE23" s="936"/>
      <c r="AF23" s="936"/>
      <c r="AG23" s="640">
        <f ca="1">SUM(O23-NOW())</f>
        <v>100.61546296296</v>
      </c>
      <c r="AH23" s="121" t="str">
        <f ca="1" t="shared" si="0"/>
        <v>ACTIVE</v>
      </c>
      <c r="AI23" s="945">
        <v>9418159</v>
      </c>
      <c r="AJ23" s="945">
        <v>500000</v>
      </c>
      <c r="AK23" s="945"/>
      <c r="AL23" s="945"/>
      <c r="AM23" s="945"/>
      <c r="AN23" s="945"/>
      <c r="AO23" s="955" t="s">
        <v>112</v>
      </c>
      <c r="AP23" s="956" t="s">
        <v>48</v>
      </c>
      <c r="AQ23" s="956" t="s">
        <v>48</v>
      </c>
      <c r="AR23" s="925" t="s">
        <v>7815</v>
      </c>
      <c r="AS23" s="925"/>
      <c r="AT23" s="285" t="s">
        <v>7816</v>
      </c>
      <c r="AU23" s="285" t="s">
        <v>7817</v>
      </c>
      <c r="AV23" s="285" t="s">
        <v>7818</v>
      </c>
      <c r="AW23" s="285" t="s">
        <v>7819</v>
      </c>
      <c r="AX23" s="285" t="s">
        <v>7820</v>
      </c>
      <c r="AY23" s="285"/>
      <c r="AZ23" s="285"/>
      <c r="BA23" s="285" t="s">
        <v>7821</v>
      </c>
      <c r="BB23" s="912"/>
      <c r="BC23" s="906"/>
      <c r="BD23" s="906"/>
    </row>
    <row r="24" s="907" customFormat="1" ht="21" spans="2:55">
      <c r="B24" s="1551" t="s">
        <v>272</v>
      </c>
      <c r="C24" s="914" t="s">
        <v>7822</v>
      </c>
      <c r="D24" s="912" t="s">
        <v>7823</v>
      </c>
      <c r="E24" s="920" t="s">
        <v>7824</v>
      </c>
      <c r="F24" s="920" t="s">
        <v>125</v>
      </c>
      <c r="G24" s="920" t="s">
        <v>6039</v>
      </c>
      <c r="H24" s="920" t="s">
        <v>6039</v>
      </c>
      <c r="I24" s="925" t="s">
        <v>3528</v>
      </c>
      <c r="J24" s="925" t="s">
        <v>6741</v>
      </c>
      <c r="K24" s="912" t="s">
        <v>4766</v>
      </c>
      <c r="L24" s="926"/>
      <c r="M24" s="926">
        <v>42826</v>
      </c>
      <c r="N24" s="926">
        <v>43190</v>
      </c>
      <c r="O24" s="926">
        <v>43555</v>
      </c>
      <c r="P24" s="932" t="s">
        <v>604</v>
      </c>
      <c r="Q24" s="926"/>
      <c r="R24" s="926"/>
      <c r="S24" s="926"/>
      <c r="T24" s="926"/>
      <c r="U24" s="926"/>
      <c r="V24" s="926"/>
      <c r="W24" s="926"/>
      <c r="X24" s="936"/>
      <c r="Y24" s="936"/>
      <c r="Z24" s="936"/>
      <c r="AA24" s="936"/>
      <c r="AB24" s="936"/>
      <c r="AC24" s="936"/>
      <c r="AD24" s="936"/>
      <c r="AE24" s="936"/>
      <c r="AF24" s="936"/>
      <c r="AG24" s="640">
        <f ca="1">SUM(O24-NOW())</f>
        <v>282.61546296296</v>
      </c>
      <c r="AH24" s="121" t="str">
        <f ca="1" t="shared" si="0"/>
        <v>ACTIVE</v>
      </c>
      <c r="AI24" s="946">
        <v>9800000</v>
      </c>
      <c r="AJ24" s="946" t="s">
        <v>583</v>
      </c>
      <c r="AK24" s="946" t="s">
        <v>583</v>
      </c>
      <c r="AL24" s="946">
        <v>500000</v>
      </c>
      <c r="AM24" s="946" t="s">
        <v>583</v>
      </c>
      <c r="AN24" s="946">
        <v>1019178</v>
      </c>
      <c r="AO24" s="946" t="s">
        <v>0</v>
      </c>
      <c r="AP24" s="956" t="s">
        <v>48</v>
      </c>
      <c r="AQ24" s="956" t="s">
        <v>7825</v>
      </c>
      <c r="AR24" s="925" t="s">
        <v>7826</v>
      </c>
      <c r="AS24" s="925"/>
      <c r="AT24" s="285" t="s">
        <v>7827</v>
      </c>
      <c r="AU24" s="1537" t="s">
        <v>7828</v>
      </c>
      <c r="AV24" s="961" t="s">
        <v>7829</v>
      </c>
      <c r="AW24" s="1537" t="s">
        <v>7830</v>
      </c>
      <c r="AX24" s="961"/>
      <c r="AY24" s="961"/>
      <c r="AZ24" s="961"/>
      <c r="BA24" s="128" t="s">
        <v>7831</v>
      </c>
      <c r="BB24" s="967"/>
      <c r="BC24" s="906"/>
    </row>
    <row r="25" s="873" customFormat="1"/>
    <row r="26" s="873" customFormat="1"/>
    <row r="27" s="873" customFormat="1"/>
    <row r="28" s="873" customFormat="1"/>
    <row r="29" s="873" customFormat="1"/>
    <row r="30" s="873" customFormat="1"/>
    <row r="31" s="873" customFormat="1" ht="13.5"/>
    <row r="32" s="873" customFormat="1" ht="13.5" spans="2:3">
      <c r="B32" s="844" t="s">
        <v>2552</v>
      </c>
      <c r="C32" s="845"/>
    </row>
    <row r="33" s="873" customFormat="1" ht="14.1" customHeight="1" spans="2:54">
      <c r="B33" s="915"/>
      <c r="C33" s="916" t="s">
        <v>7832</v>
      </c>
      <c r="D33" s="917" t="s">
        <v>7833</v>
      </c>
      <c r="E33" s="921" t="s">
        <v>7834</v>
      </c>
      <c r="F33" s="922"/>
      <c r="G33" s="922"/>
      <c r="H33" s="922"/>
      <c r="I33" s="921" t="s">
        <v>3528</v>
      </c>
      <c r="J33" s="927"/>
      <c r="K33" s="921" t="s">
        <v>4922</v>
      </c>
      <c r="L33" s="921"/>
      <c r="M33" s="933">
        <v>42366</v>
      </c>
      <c r="N33" s="933">
        <v>42456</v>
      </c>
      <c r="O33" s="934">
        <v>42487</v>
      </c>
      <c r="P33" s="933"/>
      <c r="Q33" s="933"/>
      <c r="R33" s="933"/>
      <c r="S33" s="933"/>
      <c r="T33" s="933"/>
      <c r="U33" s="933"/>
      <c r="V33" s="933"/>
      <c r="W33" s="933"/>
      <c r="X33" s="933"/>
      <c r="Y33" s="933"/>
      <c r="Z33" s="933"/>
      <c r="AA33" s="933"/>
      <c r="AB33" s="933"/>
      <c r="AC33" s="933"/>
      <c r="AD33" s="933"/>
      <c r="AE33" s="933"/>
      <c r="AF33" s="933"/>
      <c r="AG33" s="947">
        <v>-369.747642129631</v>
      </c>
      <c r="AH33" s="948" t="s">
        <v>2569</v>
      </c>
      <c r="AI33" s="949">
        <v>4000000</v>
      </c>
      <c r="AJ33" s="950">
        <v>250000</v>
      </c>
      <c r="AK33" s="950"/>
      <c r="AL33" s="950"/>
      <c r="AM33" s="953"/>
      <c r="AN33" s="953"/>
      <c r="AO33" s="957" t="s">
        <v>4684</v>
      </c>
      <c r="AP33" s="957" t="s">
        <v>4670</v>
      </c>
      <c r="AQ33" s="957" t="s">
        <v>48</v>
      </c>
      <c r="AR33" s="958"/>
      <c r="AS33" s="953"/>
      <c r="AT33" s="290" t="s">
        <v>7835</v>
      </c>
      <c r="AU33" s="290" t="s">
        <v>7836</v>
      </c>
      <c r="AV33" s="290" t="s">
        <v>7837</v>
      </c>
      <c r="AW33" s="1556" t="s">
        <v>7838</v>
      </c>
      <c r="AX33" s="962"/>
      <c r="AY33" s="963">
        <v>13021274769</v>
      </c>
      <c r="AZ33" s="963"/>
      <c r="BA33" s="968"/>
      <c r="BB33" s="933" t="s">
        <v>7839</v>
      </c>
    </row>
    <row r="34" s="873" customFormat="1" ht="14.1" customHeight="1" spans="2:54">
      <c r="B34" s="915"/>
      <c r="C34" s="916" t="s">
        <v>7840</v>
      </c>
      <c r="D34" s="917" t="s">
        <v>7841</v>
      </c>
      <c r="E34" s="921" t="s">
        <v>7842</v>
      </c>
      <c r="F34" s="922" t="s">
        <v>125</v>
      </c>
      <c r="G34" s="922" t="s">
        <v>44</v>
      </c>
      <c r="H34" s="922" t="s">
        <v>44</v>
      </c>
      <c r="I34" s="921" t="s">
        <v>3528</v>
      </c>
      <c r="J34" s="927"/>
      <c r="K34" s="921" t="s">
        <v>7843</v>
      </c>
      <c r="L34" s="921"/>
      <c r="M34" s="933">
        <v>42416</v>
      </c>
      <c r="N34" s="933">
        <v>42444</v>
      </c>
      <c r="O34" s="934"/>
      <c r="P34" s="933"/>
      <c r="Q34" s="933"/>
      <c r="R34" s="933"/>
      <c r="S34" s="933"/>
      <c r="T34" s="933"/>
      <c r="U34" s="933"/>
      <c r="V34" s="933"/>
      <c r="W34" s="933"/>
      <c r="X34" s="933"/>
      <c r="Y34" s="933"/>
      <c r="Z34" s="933"/>
      <c r="AA34" s="933"/>
      <c r="AB34" s="933"/>
      <c r="AC34" s="933"/>
      <c r="AD34" s="933"/>
      <c r="AE34" s="933"/>
      <c r="AF34" s="933"/>
      <c r="AG34" s="947">
        <v>-381.747642129631</v>
      </c>
      <c r="AH34" s="948" t="s">
        <v>2569</v>
      </c>
      <c r="AI34" s="949">
        <v>4500000</v>
      </c>
      <c r="AJ34" s="950">
        <v>250000</v>
      </c>
      <c r="AK34" s="950"/>
      <c r="AL34" s="950">
        <v>475000</v>
      </c>
      <c r="AM34" s="953"/>
      <c r="AN34" s="953"/>
      <c r="AO34" s="957" t="s">
        <v>112</v>
      </c>
      <c r="AP34" s="957" t="s">
        <v>4670</v>
      </c>
      <c r="AQ34" s="957" t="s">
        <v>48</v>
      </c>
      <c r="AR34" s="958"/>
      <c r="AS34" s="953"/>
      <c r="AT34" s="290" t="s">
        <v>7844</v>
      </c>
      <c r="AU34" s="290" t="s">
        <v>7845</v>
      </c>
      <c r="AV34" s="290" t="s">
        <v>7846</v>
      </c>
      <c r="AW34" s="1556" t="s">
        <v>7847</v>
      </c>
      <c r="AX34" s="962" t="s">
        <v>7848</v>
      </c>
      <c r="AY34" s="963" t="s">
        <v>7849</v>
      </c>
      <c r="AZ34" s="963"/>
      <c r="BA34" s="968" t="s">
        <v>7850</v>
      </c>
      <c r="BB34" s="933" t="s">
        <v>7851</v>
      </c>
    </row>
    <row r="35" s="873" customFormat="1" ht="14.1" customHeight="1" spans="2:54">
      <c r="B35" s="915">
        <v>9</v>
      </c>
      <c r="C35" s="916" t="s">
        <v>7705</v>
      </c>
      <c r="D35" s="917" t="s">
        <v>7706</v>
      </c>
      <c r="E35" s="921">
        <v>30399</v>
      </c>
      <c r="F35" s="922" t="s">
        <v>43</v>
      </c>
      <c r="G35" s="922" t="s">
        <v>96</v>
      </c>
      <c r="H35" s="922" t="s">
        <v>254</v>
      </c>
      <c r="I35" s="921" t="s">
        <v>6809</v>
      </c>
      <c r="J35" s="927" t="s">
        <v>7707</v>
      </c>
      <c r="K35" s="921" t="s">
        <v>4639</v>
      </c>
      <c r="L35" s="921"/>
      <c r="M35" s="933">
        <v>40817</v>
      </c>
      <c r="N35" s="933">
        <v>40999</v>
      </c>
      <c r="O35" s="934">
        <v>41182</v>
      </c>
      <c r="P35" s="933">
        <v>41364</v>
      </c>
      <c r="Q35" s="933">
        <v>41547</v>
      </c>
      <c r="R35" s="933"/>
      <c r="S35" s="933">
        <v>41548</v>
      </c>
      <c r="T35" s="933">
        <v>41729</v>
      </c>
      <c r="U35" s="933">
        <v>41820</v>
      </c>
      <c r="V35" s="933">
        <v>41912</v>
      </c>
      <c r="W35" s="933" t="s">
        <v>7727</v>
      </c>
      <c r="X35" s="933">
        <v>41944</v>
      </c>
      <c r="Y35" s="933">
        <v>42004</v>
      </c>
      <c r="Z35" s="933">
        <v>42094</v>
      </c>
      <c r="AA35" s="933">
        <v>42308</v>
      </c>
      <c r="AB35" s="933">
        <v>42674</v>
      </c>
      <c r="AC35" s="933">
        <v>42675</v>
      </c>
      <c r="AD35" s="933">
        <v>42735</v>
      </c>
      <c r="AE35" s="933" t="s">
        <v>7852</v>
      </c>
      <c r="AF35" s="933"/>
      <c r="AG35" s="947">
        <v>-1826.74764212963</v>
      </c>
      <c r="AH35" s="948" t="s">
        <v>2569</v>
      </c>
      <c r="AI35" s="949">
        <v>3267000</v>
      </c>
      <c r="AJ35" s="950">
        <v>0</v>
      </c>
      <c r="AK35" s="950"/>
      <c r="AL35" s="950"/>
      <c r="AM35" s="953"/>
      <c r="AN35" s="953"/>
      <c r="AO35" s="957">
        <v>1287572</v>
      </c>
      <c r="AP35" s="957" t="s">
        <v>113</v>
      </c>
      <c r="AQ35" s="957" t="s">
        <v>113</v>
      </c>
      <c r="AR35" s="958" t="s">
        <v>7853</v>
      </c>
      <c r="AS35" s="953" t="s">
        <v>6812</v>
      </c>
      <c r="AT35" s="290" t="s">
        <v>7709</v>
      </c>
      <c r="AU35" s="290" t="s">
        <v>7710</v>
      </c>
      <c r="AV35" s="290" t="s">
        <v>7711</v>
      </c>
      <c r="AW35" s="290"/>
      <c r="AX35" s="962" t="s">
        <v>7712</v>
      </c>
      <c r="AY35" s="963">
        <v>10027252062</v>
      </c>
      <c r="AZ35" s="963" t="s">
        <v>7713</v>
      </c>
      <c r="BA35" s="968" t="s">
        <v>7714</v>
      </c>
      <c r="BB35" s="933" t="s">
        <v>7854</v>
      </c>
    </row>
    <row r="36" s="873" customFormat="1" ht="14.1" customHeight="1" spans="2:54">
      <c r="B36" s="915">
        <v>10</v>
      </c>
      <c r="C36" s="916" t="s">
        <v>7716</v>
      </c>
      <c r="D36" s="917" t="s">
        <v>7717</v>
      </c>
      <c r="E36" s="921">
        <v>32225</v>
      </c>
      <c r="F36" s="922" t="s">
        <v>43</v>
      </c>
      <c r="G36" s="922" t="s">
        <v>404</v>
      </c>
      <c r="H36" s="922" t="s">
        <v>404</v>
      </c>
      <c r="I36" s="921" t="s">
        <v>6809</v>
      </c>
      <c r="J36" s="927" t="s">
        <v>7707</v>
      </c>
      <c r="K36" s="921" t="s">
        <v>4639</v>
      </c>
      <c r="L36" s="921"/>
      <c r="M36" s="933">
        <v>40817</v>
      </c>
      <c r="N36" s="933">
        <v>40999</v>
      </c>
      <c r="O36" s="934">
        <v>41364</v>
      </c>
      <c r="P36" s="933">
        <v>41547</v>
      </c>
      <c r="Q36" s="933"/>
      <c r="R36" s="933"/>
      <c r="S36" s="933">
        <v>41548</v>
      </c>
      <c r="T36" s="933">
        <v>41729</v>
      </c>
      <c r="U36" s="933">
        <v>41912</v>
      </c>
      <c r="V36" s="933" t="s">
        <v>7727</v>
      </c>
      <c r="W36" s="933"/>
      <c r="X36" s="933">
        <v>41944</v>
      </c>
      <c r="Y36" s="933">
        <v>42094</v>
      </c>
      <c r="Z36" s="933">
        <v>42308</v>
      </c>
      <c r="AA36" s="933">
        <v>42674</v>
      </c>
      <c r="AB36" s="933"/>
      <c r="AC36" s="933">
        <v>42675</v>
      </c>
      <c r="AD36" s="933">
        <v>42735</v>
      </c>
      <c r="AE36" s="933" t="s">
        <v>7852</v>
      </c>
      <c r="AF36" s="933"/>
      <c r="AG36" s="947">
        <v>-1826.74764212963</v>
      </c>
      <c r="AH36" s="948" t="s">
        <v>2569</v>
      </c>
      <c r="AI36" s="949">
        <v>3267000</v>
      </c>
      <c r="AJ36" s="950">
        <v>0</v>
      </c>
      <c r="AK36" s="950"/>
      <c r="AL36" s="950"/>
      <c r="AM36" s="953"/>
      <c r="AN36" s="953"/>
      <c r="AO36" s="957">
        <v>1287572</v>
      </c>
      <c r="AP36" s="957" t="s">
        <v>113</v>
      </c>
      <c r="AQ36" s="957" t="s">
        <v>113</v>
      </c>
      <c r="AR36" s="958" t="s">
        <v>7855</v>
      </c>
      <c r="AS36" s="953" t="s">
        <v>6812</v>
      </c>
      <c r="AT36" s="290" t="s">
        <v>7719</v>
      </c>
      <c r="AU36" s="290" t="s">
        <v>7720</v>
      </c>
      <c r="AV36" s="290" t="s">
        <v>7721</v>
      </c>
      <c r="AW36" s="290"/>
      <c r="AX36" s="962">
        <v>0</v>
      </c>
      <c r="AY36" s="963">
        <v>0</v>
      </c>
      <c r="AZ36" s="963" t="s">
        <v>7722</v>
      </c>
      <c r="BA36" s="968" t="s">
        <v>7723</v>
      </c>
      <c r="BB36" s="933" t="s">
        <v>7854</v>
      </c>
    </row>
    <row r="37" s="873" customFormat="1" ht="14.1" customHeight="1" spans="2:54">
      <c r="B37" s="915">
        <v>13</v>
      </c>
      <c r="C37" s="916" t="s">
        <v>7744</v>
      </c>
      <c r="D37" s="917" t="s">
        <v>7745</v>
      </c>
      <c r="E37" s="921">
        <v>29388</v>
      </c>
      <c r="F37" s="922" t="s">
        <v>43</v>
      </c>
      <c r="G37" s="922" t="s">
        <v>254</v>
      </c>
      <c r="H37" s="922" t="s">
        <v>254</v>
      </c>
      <c r="I37" s="921" t="s">
        <v>6809</v>
      </c>
      <c r="J37" s="927" t="s">
        <v>7707</v>
      </c>
      <c r="K37" s="921" t="s">
        <v>4639</v>
      </c>
      <c r="L37" s="921"/>
      <c r="M37" s="933">
        <v>40909</v>
      </c>
      <c r="N37" s="933">
        <v>41090</v>
      </c>
      <c r="O37" s="934">
        <v>41274</v>
      </c>
      <c r="P37" s="933">
        <v>41455</v>
      </c>
      <c r="Q37" s="933">
        <v>41639</v>
      </c>
      <c r="R37" s="933"/>
      <c r="S37" s="933">
        <v>41640</v>
      </c>
      <c r="T37" s="933">
        <v>41729</v>
      </c>
      <c r="U37" s="933">
        <v>41820</v>
      </c>
      <c r="V37" s="933">
        <v>41912</v>
      </c>
      <c r="W37" s="933">
        <v>42004</v>
      </c>
      <c r="X37" s="933">
        <v>42036</v>
      </c>
      <c r="Y37" s="933">
        <v>42094</v>
      </c>
      <c r="Z37" s="933">
        <v>42308</v>
      </c>
      <c r="AA37" s="933">
        <v>42766</v>
      </c>
      <c r="AB37" s="933">
        <v>42735</v>
      </c>
      <c r="AC37" s="933">
        <v>42736</v>
      </c>
      <c r="AD37" s="933">
        <v>42794</v>
      </c>
      <c r="AE37" s="933">
        <v>42795</v>
      </c>
      <c r="AF37" s="933">
        <v>43281</v>
      </c>
      <c r="AG37" s="947">
        <v>-1735.74764212963</v>
      </c>
      <c r="AH37" s="948" t="s">
        <v>745</v>
      </c>
      <c r="AI37" s="949">
        <v>3267000</v>
      </c>
      <c r="AJ37" s="950">
        <v>0</v>
      </c>
      <c r="AK37" s="950"/>
      <c r="AL37" s="950"/>
      <c r="AM37" s="953"/>
      <c r="AN37" s="953"/>
      <c r="AO37" s="957">
        <v>1287572</v>
      </c>
      <c r="AP37" s="957" t="s">
        <v>113</v>
      </c>
      <c r="AQ37" s="957" t="s">
        <v>113</v>
      </c>
      <c r="AR37" s="958" t="s">
        <v>7856</v>
      </c>
      <c r="AS37" s="953" t="s">
        <v>6812</v>
      </c>
      <c r="AT37" s="290" t="s">
        <v>7747</v>
      </c>
      <c r="AU37" s="290" t="s">
        <v>7748</v>
      </c>
      <c r="AV37" s="290" t="s">
        <v>7749</v>
      </c>
      <c r="AW37" s="290"/>
      <c r="AX37" s="962" t="s">
        <v>7750</v>
      </c>
      <c r="AY37" s="963">
        <v>10022942121</v>
      </c>
      <c r="AZ37" s="963" t="s">
        <v>7751</v>
      </c>
      <c r="BA37" s="968" t="s">
        <v>7752</v>
      </c>
      <c r="BB37" s="933" t="s">
        <v>7857</v>
      </c>
    </row>
    <row r="38" s="873" customFormat="1" ht="14.1" customHeight="1" spans="2:54">
      <c r="B38" s="915">
        <v>14</v>
      </c>
      <c r="C38" s="916" t="s">
        <v>7753</v>
      </c>
      <c r="D38" s="917" t="s">
        <v>7754</v>
      </c>
      <c r="E38" s="921">
        <v>28099</v>
      </c>
      <c r="F38" s="922" t="s">
        <v>43</v>
      </c>
      <c r="G38" s="922" t="s">
        <v>254</v>
      </c>
      <c r="H38" s="922" t="s">
        <v>254</v>
      </c>
      <c r="I38" s="921" t="s">
        <v>6809</v>
      </c>
      <c r="J38" s="927" t="s">
        <v>7707</v>
      </c>
      <c r="K38" s="921" t="s">
        <v>4639</v>
      </c>
      <c r="L38" s="921"/>
      <c r="M38" s="933">
        <v>40909</v>
      </c>
      <c r="N38" s="933">
        <v>41090</v>
      </c>
      <c r="O38" s="934">
        <v>41274</v>
      </c>
      <c r="P38" s="933">
        <v>41455</v>
      </c>
      <c r="Q38" s="933">
        <v>41639</v>
      </c>
      <c r="R38" s="933"/>
      <c r="S38" s="933">
        <v>41640</v>
      </c>
      <c r="T38" s="933">
        <v>41729</v>
      </c>
      <c r="U38" s="933">
        <v>41820</v>
      </c>
      <c r="V38" s="933">
        <v>41912</v>
      </c>
      <c r="W38" s="933">
        <v>42004</v>
      </c>
      <c r="X38" s="933">
        <v>42036</v>
      </c>
      <c r="Y38" s="933">
        <v>42094</v>
      </c>
      <c r="Z38" s="933">
        <v>42308</v>
      </c>
      <c r="AA38" s="933">
        <v>42766</v>
      </c>
      <c r="AB38" s="933">
        <v>42735</v>
      </c>
      <c r="AC38" s="933">
        <v>42736</v>
      </c>
      <c r="AD38" s="933">
        <v>42794</v>
      </c>
      <c r="AE38" s="933">
        <v>42795</v>
      </c>
      <c r="AF38" s="933">
        <v>43281</v>
      </c>
      <c r="AG38" s="947">
        <v>-1735.74764212963</v>
      </c>
      <c r="AH38" s="948" t="s">
        <v>745</v>
      </c>
      <c r="AI38" s="949">
        <v>3267000</v>
      </c>
      <c r="AJ38" s="950">
        <v>0</v>
      </c>
      <c r="AK38" s="950"/>
      <c r="AL38" s="950"/>
      <c r="AM38" s="953"/>
      <c r="AN38" s="953"/>
      <c r="AO38" s="957">
        <v>1287572</v>
      </c>
      <c r="AP38" s="957" t="s">
        <v>113</v>
      </c>
      <c r="AQ38" s="957" t="s">
        <v>113</v>
      </c>
      <c r="AR38" s="958" t="s">
        <v>7856</v>
      </c>
      <c r="AS38" s="953" t="s">
        <v>6812</v>
      </c>
      <c r="AT38" s="290" t="s">
        <v>7755</v>
      </c>
      <c r="AU38" s="290" t="s">
        <v>7756</v>
      </c>
      <c r="AV38" s="290" t="s">
        <v>7757</v>
      </c>
      <c r="AW38" s="290"/>
      <c r="AX38" s="962" t="s">
        <v>7758</v>
      </c>
      <c r="AY38" s="963">
        <v>10022942139</v>
      </c>
      <c r="AZ38" s="963" t="s">
        <v>7759</v>
      </c>
      <c r="BA38" s="968" t="s">
        <v>7760</v>
      </c>
      <c r="BB38" s="933" t="s">
        <v>7857</v>
      </c>
    </row>
    <row r="39" s="873" customFormat="1" ht="14.1" customHeight="1" spans="2:54">
      <c r="B39" s="915">
        <v>15</v>
      </c>
      <c r="C39" s="916" t="s">
        <v>7761</v>
      </c>
      <c r="D39" s="917" t="s">
        <v>7858</v>
      </c>
      <c r="E39" s="921">
        <v>31891</v>
      </c>
      <c r="F39" s="922" t="s">
        <v>43</v>
      </c>
      <c r="G39" s="922" t="s">
        <v>404</v>
      </c>
      <c r="H39" s="922" t="s">
        <v>404</v>
      </c>
      <c r="I39" s="921" t="s">
        <v>6809</v>
      </c>
      <c r="J39" s="927" t="s">
        <v>7707</v>
      </c>
      <c r="K39" s="921" t="s">
        <v>4639</v>
      </c>
      <c r="L39" s="921"/>
      <c r="M39" s="933">
        <v>40909</v>
      </c>
      <c r="N39" s="933">
        <v>41090</v>
      </c>
      <c r="O39" s="934">
        <v>41274</v>
      </c>
      <c r="P39" s="933">
        <v>41455</v>
      </c>
      <c r="Q39" s="933">
        <v>41639</v>
      </c>
      <c r="R39" s="933"/>
      <c r="S39" s="933">
        <v>41640</v>
      </c>
      <c r="T39" s="933">
        <v>41729</v>
      </c>
      <c r="U39" s="933">
        <v>41820</v>
      </c>
      <c r="V39" s="933">
        <v>41912</v>
      </c>
      <c r="W39" s="933">
        <v>42004</v>
      </c>
      <c r="X39" s="933">
        <v>42036</v>
      </c>
      <c r="Y39" s="933">
        <v>42094</v>
      </c>
      <c r="Z39" s="933">
        <v>42308</v>
      </c>
      <c r="AA39" s="933">
        <v>42766</v>
      </c>
      <c r="AB39" s="933">
        <v>42735</v>
      </c>
      <c r="AC39" s="933">
        <v>42736</v>
      </c>
      <c r="AD39" s="933">
        <v>42794</v>
      </c>
      <c r="AE39" s="933">
        <v>42795</v>
      </c>
      <c r="AF39" s="933">
        <v>43281</v>
      </c>
      <c r="AG39" s="947">
        <v>-1735.74764212963</v>
      </c>
      <c r="AH39" s="948" t="s">
        <v>745</v>
      </c>
      <c r="AI39" s="949">
        <v>3267000</v>
      </c>
      <c r="AJ39" s="950">
        <v>0</v>
      </c>
      <c r="AK39" s="950"/>
      <c r="AL39" s="950"/>
      <c r="AM39" s="953"/>
      <c r="AN39" s="953"/>
      <c r="AO39" s="957">
        <v>1287572</v>
      </c>
      <c r="AP39" s="957" t="s">
        <v>113</v>
      </c>
      <c r="AQ39" s="957" t="s">
        <v>113</v>
      </c>
      <c r="AR39" s="958" t="s">
        <v>7859</v>
      </c>
      <c r="AS39" s="953" t="s">
        <v>6812</v>
      </c>
      <c r="AT39" s="290" t="s">
        <v>7764</v>
      </c>
      <c r="AU39" s="290" t="s">
        <v>7765</v>
      </c>
      <c r="AV39" s="290" t="s">
        <v>7766</v>
      </c>
      <c r="AW39" s="290"/>
      <c r="AX39" s="962" t="s">
        <v>7767</v>
      </c>
      <c r="AY39" s="963" t="s">
        <v>7768</v>
      </c>
      <c r="AZ39" s="963" t="s">
        <v>3272</v>
      </c>
      <c r="BA39" s="968" t="s">
        <v>7769</v>
      </c>
      <c r="BB39" s="933" t="s">
        <v>7857</v>
      </c>
    </row>
    <row r="40" s="873" customFormat="1" ht="14.1" customHeight="1" spans="2:54">
      <c r="B40" s="915">
        <v>11</v>
      </c>
      <c r="C40" s="916" t="s">
        <v>7724</v>
      </c>
      <c r="D40" s="917" t="s">
        <v>7725</v>
      </c>
      <c r="E40" s="921">
        <v>25457</v>
      </c>
      <c r="F40" s="922" t="s">
        <v>125</v>
      </c>
      <c r="G40" s="922" t="s">
        <v>44</v>
      </c>
      <c r="H40" s="922" t="s">
        <v>44</v>
      </c>
      <c r="I40" s="921" t="s">
        <v>6809</v>
      </c>
      <c r="J40" s="927" t="s">
        <v>7726</v>
      </c>
      <c r="K40" s="921" t="s">
        <v>4766</v>
      </c>
      <c r="L40" s="921"/>
      <c r="M40" s="933">
        <v>40878</v>
      </c>
      <c r="N40" s="933">
        <v>41029</v>
      </c>
      <c r="O40" s="934">
        <v>41152</v>
      </c>
      <c r="P40" s="933">
        <v>41305</v>
      </c>
      <c r="Q40" s="933">
        <v>41455</v>
      </c>
      <c r="R40" s="933">
        <v>41578</v>
      </c>
      <c r="S40" s="933">
        <v>41579</v>
      </c>
      <c r="T40" s="933">
        <v>41729</v>
      </c>
      <c r="U40" s="933">
        <v>41851</v>
      </c>
      <c r="V40" s="933">
        <v>42004</v>
      </c>
      <c r="W40" s="933" t="s">
        <v>7727</v>
      </c>
      <c r="X40" s="933">
        <v>42036</v>
      </c>
      <c r="Y40" s="933">
        <v>42155</v>
      </c>
      <c r="Z40" s="933">
        <v>42308</v>
      </c>
      <c r="AA40" s="933">
        <v>42735</v>
      </c>
      <c r="AB40" s="933">
        <v>42704</v>
      </c>
      <c r="AC40" s="933">
        <v>42705</v>
      </c>
      <c r="AD40" s="933">
        <v>42766</v>
      </c>
      <c r="AE40" s="933">
        <v>42767</v>
      </c>
      <c r="AF40" s="933">
        <v>43281</v>
      </c>
      <c r="AG40" s="947">
        <v>-1796.74764212963</v>
      </c>
      <c r="AH40" s="948" t="s">
        <v>745</v>
      </c>
      <c r="AI40" s="949">
        <v>8734400</v>
      </c>
      <c r="AJ40" s="950">
        <v>500000</v>
      </c>
      <c r="AK40" s="950"/>
      <c r="AL40" s="950"/>
      <c r="AM40" s="953">
        <v>200000</v>
      </c>
      <c r="AN40" s="953"/>
      <c r="AO40" s="957" t="s">
        <v>112</v>
      </c>
      <c r="AP40" s="957" t="s">
        <v>113</v>
      </c>
      <c r="AQ40" s="957" t="s">
        <v>113</v>
      </c>
      <c r="AR40" s="958" t="s">
        <v>7728</v>
      </c>
      <c r="AS40" s="953"/>
      <c r="AT40" s="290" t="s">
        <v>7729</v>
      </c>
      <c r="AU40" s="290" t="s">
        <v>7730</v>
      </c>
      <c r="AV40" s="290" t="s">
        <v>7731</v>
      </c>
      <c r="AW40" s="290"/>
      <c r="AX40" s="962" t="s">
        <v>7732</v>
      </c>
      <c r="AY40" s="963">
        <v>0</v>
      </c>
      <c r="AZ40" s="963" t="s">
        <v>7733</v>
      </c>
      <c r="BA40" s="968" t="s">
        <v>7734</v>
      </c>
      <c r="BB40" s="933"/>
    </row>
    <row r="41" s="873" customFormat="1" ht="14.1" customHeight="1" spans="2:54">
      <c r="B41" s="915">
        <v>12</v>
      </c>
      <c r="C41" s="916" t="s">
        <v>7735</v>
      </c>
      <c r="D41" s="917" t="s">
        <v>7736</v>
      </c>
      <c r="E41" s="921">
        <v>28281</v>
      </c>
      <c r="F41" s="922" t="s">
        <v>43</v>
      </c>
      <c r="G41" s="922" t="s">
        <v>254</v>
      </c>
      <c r="H41" s="922" t="s">
        <v>254</v>
      </c>
      <c r="I41" s="921" t="s">
        <v>6809</v>
      </c>
      <c r="J41" s="927" t="s">
        <v>7707</v>
      </c>
      <c r="K41" s="921" t="s">
        <v>4639</v>
      </c>
      <c r="L41" s="921"/>
      <c r="M41" s="933">
        <v>40878</v>
      </c>
      <c r="N41" s="933">
        <v>41060</v>
      </c>
      <c r="O41" s="934">
        <v>41243</v>
      </c>
      <c r="P41" s="933">
        <v>41425</v>
      </c>
      <c r="Q41" s="933">
        <v>41608</v>
      </c>
      <c r="R41" s="933"/>
      <c r="S41" s="933">
        <v>41609</v>
      </c>
      <c r="T41" s="933">
        <v>41790</v>
      </c>
      <c r="U41" s="933">
        <v>41973</v>
      </c>
      <c r="V41" s="933" t="s">
        <v>7727</v>
      </c>
      <c r="W41" s="933"/>
      <c r="X41" s="933">
        <v>42005</v>
      </c>
      <c r="Y41" s="933">
        <v>42094</v>
      </c>
      <c r="Z41" s="933">
        <v>42308</v>
      </c>
      <c r="AA41" s="933">
        <v>42735</v>
      </c>
      <c r="AB41" s="933">
        <v>42704</v>
      </c>
      <c r="AC41" s="933">
        <v>42705</v>
      </c>
      <c r="AD41" s="933">
        <v>42766</v>
      </c>
      <c r="AE41" s="933">
        <v>42767</v>
      </c>
      <c r="AF41" s="933">
        <v>43281</v>
      </c>
      <c r="AG41" s="947">
        <v>-1765.74764212963</v>
      </c>
      <c r="AH41" s="948" t="s">
        <v>745</v>
      </c>
      <c r="AI41" s="949">
        <v>3267000</v>
      </c>
      <c r="AJ41" s="950">
        <v>0</v>
      </c>
      <c r="AK41" s="950"/>
      <c r="AL41" s="950"/>
      <c r="AM41" s="953"/>
      <c r="AN41" s="953"/>
      <c r="AO41" s="957">
        <v>1287572</v>
      </c>
      <c r="AP41" s="957" t="s">
        <v>113</v>
      </c>
      <c r="AQ41" s="957" t="s">
        <v>113</v>
      </c>
      <c r="AR41" s="958" t="s">
        <v>7860</v>
      </c>
      <c r="AS41" s="953" t="s">
        <v>6812</v>
      </c>
      <c r="AT41" s="290" t="s">
        <v>7738</v>
      </c>
      <c r="AU41" s="290" t="s">
        <v>7739</v>
      </c>
      <c r="AV41" s="290" t="s">
        <v>7740</v>
      </c>
      <c r="AW41" s="290"/>
      <c r="AX41" s="962" t="s">
        <v>7741</v>
      </c>
      <c r="AY41" s="963">
        <v>10031864233</v>
      </c>
      <c r="AZ41" s="963" t="s">
        <v>7742</v>
      </c>
      <c r="BA41" s="968" t="s">
        <v>7743</v>
      </c>
      <c r="BB41" s="933"/>
    </row>
    <row r="42" s="873" customFormat="1" ht="14.1" customHeight="1" spans="2:54">
      <c r="B42" s="915">
        <v>16</v>
      </c>
      <c r="C42" s="916" t="s">
        <v>7770</v>
      </c>
      <c r="D42" s="917" t="s">
        <v>7771</v>
      </c>
      <c r="E42" s="921">
        <v>29112</v>
      </c>
      <c r="F42" s="922" t="s">
        <v>43</v>
      </c>
      <c r="G42" s="922" t="s">
        <v>254</v>
      </c>
      <c r="H42" s="922" t="s">
        <v>254</v>
      </c>
      <c r="I42" s="921" t="s">
        <v>6809</v>
      </c>
      <c r="J42" s="927" t="s">
        <v>7707</v>
      </c>
      <c r="K42" s="921" t="s">
        <v>4639</v>
      </c>
      <c r="L42" s="921"/>
      <c r="M42" s="933">
        <v>40940</v>
      </c>
      <c r="N42" s="933">
        <v>41121</v>
      </c>
      <c r="O42" s="934">
        <v>41305</v>
      </c>
      <c r="P42" s="933">
        <v>41486</v>
      </c>
      <c r="Q42" s="933">
        <v>41670</v>
      </c>
      <c r="R42" s="933"/>
      <c r="S42" s="933">
        <v>41671</v>
      </c>
      <c r="T42" s="933">
        <v>41820</v>
      </c>
      <c r="U42" s="933">
        <v>41912</v>
      </c>
      <c r="V42" s="933">
        <v>42004</v>
      </c>
      <c r="W42" s="933">
        <v>42035</v>
      </c>
      <c r="X42" s="933">
        <v>42064</v>
      </c>
      <c r="Y42" s="933">
        <v>42094</v>
      </c>
      <c r="Z42" s="933">
        <v>42308</v>
      </c>
      <c r="AA42" s="933">
        <v>42794</v>
      </c>
      <c r="AB42" s="933">
        <v>42766</v>
      </c>
      <c r="AC42" s="933">
        <v>42767</v>
      </c>
      <c r="AD42" s="933">
        <v>42825</v>
      </c>
      <c r="AE42" s="933">
        <v>42826</v>
      </c>
      <c r="AF42" s="933">
        <v>43281</v>
      </c>
      <c r="AG42" s="947">
        <v>-1704.74764212963</v>
      </c>
      <c r="AH42" s="948" t="s">
        <v>2569</v>
      </c>
      <c r="AI42" s="949">
        <v>3267000</v>
      </c>
      <c r="AJ42" s="950">
        <v>0</v>
      </c>
      <c r="AK42" s="950"/>
      <c r="AL42" s="950"/>
      <c r="AM42" s="953"/>
      <c r="AN42" s="953"/>
      <c r="AO42" s="957">
        <v>1287572</v>
      </c>
      <c r="AP42" s="957" t="s">
        <v>113</v>
      </c>
      <c r="AQ42" s="957" t="s">
        <v>113</v>
      </c>
      <c r="AR42" s="958" t="s">
        <v>7861</v>
      </c>
      <c r="AS42" s="953" t="s">
        <v>6812</v>
      </c>
      <c r="AT42" s="290" t="s">
        <v>7773</v>
      </c>
      <c r="AU42" s="290" t="s">
        <v>7774</v>
      </c>
      <c r="AV42" s="290" t="s">
        <v>7775</v>
      </c>
      <c r="AW42" s="290"/>
      <c r="AX42" s="962" t="s">
        <v>7776</v>
      </c>
      <c r="AY42" s="963">
        <v>11002536354</v>
      </c>
      <c r="AZ42" s="963" t="s">
        <v>7777</v>
      </c>
      <c r="BA42" s="968" t="s">
        <v>7778</v>
      </c>
      <c r="BB42" s="933"/>
    </row>
    <row r="43" s="873" customFormat="1" ht="14.1" customHeight="1" spans="2:54">
      <c r="B43" s="915">
        <v>17</v>
      </c>
      <c r="C43" s="916" t="s">
        <v>7779</v>
      </c>
      <c r="D43" s="917" t="s">
        <v>7780</v>
      </c>
      <c r="E43" s="921">
        <v>31404</v>
      </c>
      <c r="F43" s="922" t="s">
        <v>43</v>
      </c>
      <c r="G43" s="922" t="s">
        <v>60</v>
      </c>
      <c r="H43" s="922" t="s">
        <v>60</v>
      </c>
      <c r="I43" s="921" t="s">
        <v>6809</v>
      </c>
      <c r="J43" s="927" t="s">
        <v>6810</v>
      </c>
      <c r="K43" s="921" t="s">
        <v>4639</v>
      </c>
      <c r="L43" s="921"/>
      <c r="M43" s="933">
        <v>41061</v>
      </c>
      <c r="N43" s="933">
        <v>41274</v>
      </c>
      <c r="O43" s="934">
        <v>41425</v>
      </c>
      <c r="P43" s="933">
        <v>41608</v>
      </c>
      <c r="Q43" s="933">
        <v>41790</v>
      </c>
      <c r="R43" s="933"/>
      <c r="S43" s="933">
        <v>41791</v>
      </c>
      <c r="T43" s="933">
        <v>41973</v>
      </c>
      <c r="U43" s="933">
        <v>42094</v>
      </c>
      <c r="V43" s="933">
        <v>42155</v>
      </c>
      <c r="W43" s="933"/>
      <c r="X43" s="933">
        <v>42186</v>
      </c>
      <c r="Y43" s="933">
        <v>42308</v>
      </c>
      <c r="Z43" s="933">
        <v>42551</v>
      </c>
      <c r="AA43" s="933">
        <v>42916</v>
      </c>
      <c r="AB43" s="933">
        <v>42886</v>
      </c>
      <c r="AC43" s="933">
        <v>42887</v>
      </c>
      <c r="AD43" s="933">
        <v>42947</v>
      </c>
      <c r="AE43" s="933">
        <v>42948</v>
      </c>
      <c r="AF43" s="933">
        <v>43281</v>
      </c>
      <c r="AG43" s="947">
        <v>-1551.74764212963</v>
      </c>
      <c r="AH43" s="948" t="s">
        <v>745</v>
      </c>
      <c r="AI43" s="949">
        <v>3238704</v>
      </c>
      <c r="AJ43" s="950"/>
      <c r="AK43" s="950"/>
      <c r="AL43" s="950"/>
      <c r="AM43" s="953"/>
      <c r="AN43" s="953"/>
      <c r="AO43" s="957" t="s">
        <v>113</v>
      </c>
      <c r="AP43" s="957" t="s">
        <v>113</v>
      </c>
      <c r="AQ43" s="957" t="s">
        <v>113</v>
      </c>
      <c r="AR43" s="958" t="s">
        <v>7862</v>
      </c>
      <c r="AS43" s="953" t="s">
        <v>6812</v>
      </c>
      <c r="AT43" s="290" t="s">
        <v>7782</v>
      </c>
      <c r="AU43" s="290" t="s">
        <v>7783</v>
      </c>
      <c r="AV43" s="290" t="s">
        <v>7784</v>
      </c>
      <c r="AW43" s="290"/>
      <c r="AX43" s="962" t="s">
        <v>7785</v>
      </c>
      <c r="AY43" s="963">
        <v>0</v>
      </c>
      <c r="AZ43" s="963" t="s">
        <v>7786</v>
      </c>
      <c r="BA43" s="968" t="s">
        <v>7787</v>
      </c>
      <c r="BB43" s="933"/>
    </row>
    <row r="44" s="873" customFormat="1" ht="14.1" customHeight="1" spans="2:54">
      <c r="B44" s="915">
        <v>43</v>
      </c>
      <c r="C44" s="916" t="s">
        <v>7863</v>
      </c>
      <c r="D44" s="917" t="s">
        <v>7864</v>
      </c>
      <c r="E44" s="921" t="s">
        <v>7865</v>
      </c>
      <c r="F44" s="922" t="s">
        <v>43</v>
      </c>
      <c r="G44" s="922" t="s">
        <v>44</v>
      </c>
      <c r="H44" s="922" t="s">
        <v>44</v>
      </c>
      <c r="I44" s="921" t="s">
        <v>3528</v>
      </c>
      <c r="J44" s="927" t="s">
        <v>4922</v>
      </c>
      <c r="K44" s="921" t="s">
        <v>7866</v>
      </c>
      <c r="L44" s="921"/>
      <c r="M44" s="933">
        <v>42309</v>
      </c>
      <c r="N44" s="933">
        <v>43039</v>
      </c>
      <c r="O44" s="934"/>
      <c r="P44" s="933"/>
      <c r="Q44" s="933"/>
      <c r="R44" s="933"/>
      <c r="S44" s="933">
        <v>43040</v>
      </c>
      <c r="T44" s="933">
        <v>43281</v>
      </c>
      <c r="U44" s="933"/>
      <c r="V44" s="933"/>
      <c r="W44" s="933"/>
      <c r="X44" s="933"/>
      <c r="Y44" s="933"/>
      <c r="Z44" s="933"/>
      <c r="AA44" s="933"/>
      <c r="AB44" s="933"/>
      <c r="AC44" s="933"/>
      <c r="AD44" s="933"/>
      <c r="AE44" s="933"/>
      <c r="AF44" s="933"/>
      <c r="AG44" s="947">
        <v>213.252357870369</v>
      </c>
      <c r="AH44" s="948" t="s">
        <v>745</v>
      </c>
      <c r="AI44" s="949">
        <v>4600000</v>
      </c>
      <c r="AJ44" s="950">
        <v>300000</v>
      </c>
      <c r="AK44" s="950"/>
      <c r="AL44" s="950">
        <v>500000</v>
      </c>
      <c r="AM44" s="953">
        <v>100000</v>
      </c>
      <c r="AN44" s="953"/>
      <c r="AO44" s="957" t="s">
        <v>4696</v>
      </c>
      <c r="AP44" s="957" t="s">
        <v>48</v>
      </c>
      <c r="AQ44" s="957" t="s">
        <v>48</v>
      </c>
      <c r="AR44" s="958"/>
      <c r="AS44" s="953"/>
      <c r="AT44" s="290" t="s">
        <v>7867</v>
      </c>
      <c r="AU44" s="290" t="s">
        <v>7868</v>
      </c>
      <c r="AV44" s="290" t="s">
        <v>7869</v>
      </c>
      <c r="AW44" s="1556" t="s">
        <v>7870</v>
      </c>
      <c r="AX44" s="962" t="s">
        <v>7871</v>
      </c>
      <c r="AY44" s="963" t="s">
        <v>7872</v>
      </c>
      <c r="AZ44" s="963" t="s">
        <v>4978</v>
      </c>
      <c r="BA44" s="968" t="s">
        <v>7873</v>
      </c>
      <c r="BB44" s="933" t="s">
        <v>7874</v>
      </c>
    </row>
    <row r="45" s="873" customFormat="1" ht="14.1" customHeight="1" spans="2:54">
      <c r="B45" s="915">
        <v>44</v>
      </c>
      <c r="C45" s="916" t="s">
        <v>6905</v>
      </c>
      <c r="D45" s="917" t="s">
        <v>6906</v>
      </c>
      <c r="E45" s="921">
        <v>28145</v>
      </c>
      <c r="F45" s="922" t="s">
        <v>125</v>
      </c>
      <c r="G45" s="922" t="s">
        <v>96</v>
      </c>
      <c r="H45" s="922" t="s">
        <v>44</v>
      </c>
      <c r="I45" s="921" t="s">
        <v>6809</v>
      </c>
      <c r="J45" s="927" t="s">
        <v>7726</v>
      </c>
      <c r="K45" s="921" t="s">
        <v>7875</v>
      </c>
      <c r="L45" s="921"/>
      <c r="M45" s="933">
        <v>41548</v>
      </c>
      <c r="N45" s="933">
        <v>41729</v>
      </c>
      <c r="O45" s="934">
        <v>41912</v>
      </c>
      <c r="P45" s="933">
        <v>42004</v>
      </c>
      <c r="Q45" s="933">
        <v>42094</v>
      </c>
      <c r="R45" s="933">
        <v>42277</v>
      </c>
      <c r="S45" s="933">
        <v>42278</v>
      </c>
      <c r="T45" s="933">
        <v>42643</v>
      </c>
      <c r="U45" s="933"/>
      <c r="V45" s="933"/>
      <c r="W45" s="933"/>
      <c r="X45" s="933"/>
      <c r="Y45" s="933"/>
      <c r="Z45" s="933"/>
      <c r="AA45" s="933"/>
      <c r="AB45" s="933"/>
      <c r="AC45" s="933">
        <v>42644</v>
      </c>
      <c r="AD45" s="933">
        <v>42766</v>
      </c>
      <c r="AE45" s="933">
        <v>42767</v>
      </c>
      <c r="AF45" s="933">
        <v>42781</v>
      </c>
      <c r="AG45" s="947">
        <v>-59.7476421296305</v>
      </c>
      <c r="AH45" s="948" t="s">
        <v>2569</v>
      </c>
      <c r="AI45" s="949">
        <v>8250000</v>
      </c>
      <c r="AJ45" s="950">
        <v>500000</v>
      </c>
      <c r="AK45" s="950"/>
      <c r="AL45" s="950"/>
      <c r="AM45" s="953">
        <v>200000</v>
      </c>
      <c r="AN45" s="953">
        <v>300000</v>
      </c>
      <c r="AO45" s="957" t="s">
        <v>112</v>
      </c>
      <c r="AP45" s="957" t="s">
        <v>48</v>
      </c>
      <c r="AQ45" s="957" t="s">
        <v>48</v>
      </c>
      <c r="AR45" s="958" t="s">
        <v>7876</v>
      </c>
      <c r="AS45" s="953"/>
      <c r="AT45" s="290" t="s">
        <v>7877</v>
      </c>
      <c r="AU45" s="290" t="s">
        <v>7878</v>
      </c>
      <c r="AV45" s="290" t="s">
        <v>6910</v>
      </c>
      <c r="AW45" s="1556" t="s">
        <v>6911</v>
      </c>
      <c r="AX45" s="962" t="s">
        <v>7879</v>
      </c>
      <c r="AY45" s="963"/>
      <c r="AZ45" s="963">
        <v>0</v>
      </c>
      <c r="BA45" s="968" t="s">
        <v>7880</v>
      </c>
      <c r="BB45" s="933" t="s">
        <v>7881</v>
      </c>
    </row>
    <row r="46" s="873" customFormat="1" ht="14.1" customHeight="1" spans="2:56">
      <c r="B46" s="918">
        <v>20</v>
      </c>
      <c r="C46" s="919" t="s">
        <v>7882</v>
      </c>
      <c r="D46" s="919" t="s">
        <v>7883</v>
      </c>
      <c r="E46" s="923" t="s">
        <v>7884</v>
      </c>
      <c r="F46" s="923" t="s">
        <v>125</v>
      </c>
      <c r="G46" s="923" t="s">
        <v>254</v>
      </c>
      <c r="H46" s="923" t="s">
        <v>254</v>
      </c>
      <c r="I46" s="927" t="s">
        <v>3528</v>
      </c>
      <c r="J46" s="927" t="s">
        <v>7885</v>
      </c>
      <c r="K46" s="919" t="s">
        <v>7814</v>
      </c>
      <c r="L46" s="928"/>
      <c r="M46" s="928">
        <v>42675</v>
      </c>
      <c r="N46" s="928">
        <v>43008</v>
      </c>
      <c r="O46" s="928"/>
      <c r="P46" s="928"/>
      <c r="Q46" s="928"/>
      <c r="R46" s="928"/>
      <c r="S46" s="928"/>
      <c r="T46" s="928"/>
      <c r="U46" s="928"/>
      <c r="V46" s="928"/>
      <c r="W46" s="928"/>
      <c r="X46" s="928"/>
      <c r="Y46" s="928"/>
      <c r="Z46" s="928"/>
      <c r="AA46" s="928"/>
      <c r="AB46" s="928"/>
      <c r="AC46" s="928"/>
      <c r="AD46" s="928"/>
      <c r="AE46" s="942"/>
      <c r="AF46" s="942"/>
      <c r="AG46" s="641">
        <f ca="1">SUM(N46-NOW())</f>
        <v>-264.38453703704</v>
      </c>
      <c r="AH46" s="187" t="str">
        <f ca="1">IF(AG46&lt;=40,"WARNING","ACTIVE")</f>
        <v>WARNING</v>
      </c>
      <c r="AI46" s="951">
        <v>10427769</v>
      </c>
      <c r="AJ46" s="951"/>
      <c r="AK46" s="951"/>
      <c r="AL46" s="951"/>
      <c r="AM46" s="951"/>
      <c r="AN46" s="951">
        <v>1019178</v>
      </c>
      <c r="AO46" s="959" t="s">
        <v>112</v>
      </c>
      <c r="AP46" s="960" t="s">
        <v>48</v>
      </c>
      <c r="AQ46" s="960" t="s">
        <v>48</v>
      </c>
      <c r="AR46" s="927"/>
      <c r="AS46" s="927"/>
      <c r="AT46" s="290" t="s">
        <v>7886</v>
      </c>
      <c r="AU46" s="290" t="s">
        <v>7887</v>
      </c>
      <c r="AV46" s="290" t="s">
        <v>7888</v>
      </c>
      <c r="AW46" s="290" t="s">
        <v>7889</v>
      </c>
      <c r="AX46" s="290" t="s">
        <v>7890</v>
      </c>
      <c r="AY46" s="290" t="s">
        <v>7891</v>
      </c>
      <c r="AZ46" s="290"/>
      <c r="BA46" s="290" t="s">
        <v>7892</v>
      </c>
      <c r="BB46" s="919" t="s">
        <v>7893</v>
      </c>
      <c r="BC46" s="969" t="s">
        <v>7894</v>
      </c>
      <c r="BD46" s="970">
        <f>MAX(M46:AF46)</f>
        <v>43008</v>
      </c>
    </row>
    <row r="47" s="873" customFormat="1"/>
    <row r="48" s="873" customFormat="1"/>
    <row r="49" s="873" customFormat="1"/>
    <row r="50" s="873" customFormat="1"/>
    <row r="51" s="873" customFormat="1"/>
    <row r="52" s="873" customFormat="1"/>
    <row r="53" s="873" customFormat="1"/>
    <row r="54" s="873" customFormat="1"/>
    <row r="55" s="873" customFormat="1"/>
    <row r="56" s="873" customFormat="1"/>
    <row r="57" s="873" customFormat="1"/>
    <row r="58" s="873" customFormat="1"/>
    <row r="59" s="873" customFormat="1"/>
    <row r="60" s="873" customFormat="1"/>
    <row r="61" s="873" customFormat="1"/>
    <row r="62" s="873" customFormat="1"/>
    <row r="63" s="873" customFormat="1"/>
    <row r="64" s="873" customFormat="1"/>
    <row r="65" s="873" customFormat="1"/>
    <row r="66" s="873" customFormat="1"/>
    <row r="67" s="873" customFormat="1"/>
    <row r="68" s="873" customFormat="1"/>
    <row r="69" s="873" customFormat="1"/>
    <row r="70" s="873" customFormat="1"/>
    <row r="71" s="873" customFormat="1"/>
    <row r="72" s="873" customFormat="1"/>
    <row r="73" s="873" customFormat="1"/>
    <row r="74" s="873" customFormat="1"/>
    <row r="75" s="873" customFormat="1"/>
    <row r="76" s="873" customFormat="1"/>
    <row r="77" s="873" customFormat="1"/>
    <row r="78" s="873" customFormat="1"/>
    <row r="79" s="873" customFormat="1"/>
    <row r="80" s="873" customFormat="1"/>
    <row r="81" s="873" customFormat="1"/>
    <row r="82" s="873" customFormat="1"/>
    <row r="83" s="873" customFormat="1"/>
    <row r="84" s="873" customFormat="1"/>
    <row r="85" s="873" customFormat="1"/>
    <row r="86" s="873" customFormat="1"/>
    <row r="87" s="873" customFormat="1"/>
    <row r="88" s="873" customFormat="1"/>
    <row r="89" s="873" customFormat="1"/>
    <row r="90" s="873" customFormat="1"/>
    <row r="91" s="873" customFormat="1"/>
    <row r="92" s="873" customFormat="1"/>
    <row r="93" s="873" customFormat="1"/>
    <row r="94" s="873" customFormat="1"/>
    <row r="95" s="873" customFormat="1"/>
    <row r="96" s="873" customFormat="1"/>
    <row r="97" s="873" customFormat="1"/>
    <row r="98" s="873" customFormat="1"/>
    <row r="99" s="873" customFormat="1"/>
    <row r="100" s="873" customFormat="1"/>
    <row r="101" s="873" customFormat="1"/>
    <row r="102" s="873" customFormat="1"/>
    <row r="103" s="873" customFormat="1"/>
    <row r="104" s="873" customFormat="1"/>
    <row r="105" s="873" customFormat="1"/>
    <row r="106" s="873" customFormat="1"/>
    <row r="107" s="873" customFormat="1"/>
    <row r="108" s="873" customFormat="1"/>
    <row r="109" s="873" customFormat="1"/>
  </sheetData>
  <mergeCells count="41">
    <mergeCell ref="M3:N3"/>
    <mergeCell ref="S3:T3"/>
    <mergeCell ref="U3:V3"/>
    <mergeCell ref="X3:Y3"/>
    <mergeCell ref="Z3:AA3"/>
    <mergeCell ref="AC3:AD3"/>
    <mergeCell ref="AE3:AF3"/>
    <mergeCell ref="B3:B4"/>
    <mergeCell ref="C3:C4"/>
    <mergeCell ref="D3:D4"/>
    <mergeCell ref="E3:E4"/>
    <mergeCell ref="F3:F4"/>
    <mergeCell ref="G3:G4"/>
    <mergeCell ref="H3:H4"/>
    <mergeCell ref="I3:I4"/>
    <mergeCell ref="J3:J4"/>
    <mergeCell ref="K3:K4"/>
    <mergeCell ref="L3:L4"/>
    <mergeCell ref="AG3:AG4"/>
    <mergeCell ref="AH3:AH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s>
  <conditionalFormatting sqref="AH3:AH4;AH33:AH45">
    <cfRule type="expression" dxfId="992" priority="1" stopIfTrue="1">
      <formula>NOT(ISERROR(SEARCH("warning",AH3)))</formula>
    </cfRule>
  </conditionalFormatting>
  <conditionalFormatting sqref="AK33:AK45">
    <cfRule type="expression" dxfId="993" priority="2" stopIfTrue="1">
      <formula>IF(OR(#REF!="not",#REF!="resign",#REF!="permanent",#REF!="terminated"),"true","false")</formula>
    </cfRule>
  </conditionalFormatting>
  <conditionalFormatting sqref="AG33:AH45;AM33:AO45;AK33:AK45;AQ33:AS45;J33:J45">
    <cfRule type="expression" dxfId="994" priority="3" stopIfTrue="1">
      <formula>IF(OR(#REF!="not",#REF!="resign",#REF!="resign",#REF!="end",#REF!="terminated",#REF!="permanent"),"TRUE","FALSE")</formula>
    </cfRule>
  </conditionalFormatting>
  <conditionalFormatting sqref="AP33:AQ45;AK33:AK45;AG33:AH45">
    <cfRule type="expression" dxfId="995" priority="4" stopIfTrue="1">
      <formula>IF(OR(#REF!="not",#REF!="resign",#REF!="permanent",#REF!="terminated"),"true","false")</formula>
    </cfRule>
  </conditionalFormatting>
  <conditionalFormatting sqref="AK33:AK45;AG33:AH45">
    <cfRule type="expression" dxfId="996" priority="5" stopIfTrue="1">
      <formula>IF(OR(#REF!="not",#REF!="resign",#REF!="permanent",#REF!="terminated"),"true","false")</formula>
    </cfRule>
    <cfRule type="expression" dxfId="997" priority="6" stopIfTrue="1">
      <formula>IF(OR(#REF!="not",#REF!="resign",#REF!="permanent",#REF!="terminated"),"true","false")</formula>
    </cfRule>
  </conditionalFormatting>
  <conditionalFormatting sqref="AG33:AH45;AR33:AR45">
    <cfRule type="expression" dxfId="998" priority="7" stopIfTrue="1">
      <formula>IF(OR(#REF!="not",#REF!="resign",#REF!="permanent",#REF!="terminated"),"true","false")</formula>
    </cfRule>
  </conditionalFormatting>
  <conditionalFormatting sqref="AR33:AR45">
    <cfRule type="expression" dxfId="999" priority="8" stopIfTrue="1">
      <formula>IF(OR($AZ33="not",$AZ33="resign",$AZ33="resign",$AZ33="end",$AZ33="terminated",$AZ33="permanent"),"TRUE","FALSE")</formula>
    </cfRule>
    <cfRule type="expression" dxfId="1000" priority="9" stopIfTrue="1">
      <formula>IF(OR(#REF!="PERMANENT",#REF!="RESIGN",#REF!="NOT EXTEND"),"TRUE","FALSE")</formula>
    </cfRule>
    <cfRule type="expression" dxfId="1001" priority="10" stopIfTrue="1">
      <formula>IF(OR(#REF!="not",#REF!="resign",#REF!="resign",#REF!="end",#REF!="terminated",#REF!="permanent"),"TRUE","FALSE")</formula>
    </cfRule>
  </conditionalFormatting>
  <conditionalFormatting sqref="AH1:AH23;AH25:AH1048576">
    <cfRule type="expression" dxfId="1002" priority="11" stopIfTrue="1">
      <formula>NOT(ISERROR(SEARCH("warning",AH1)))</formula>
    </cfRule>
  </conditionalFormatting>
  <conditionalFormatting sqref="AH24">
    <cfRule type="expression" dxfId="1003" priority="12" stopIfTrue="1">
      <formula>NOT(ISERROR(SEARCH("warning",AH24)))</formula>
    </cfRule>
  </conditionalFormatting>
  <hyperlinks>
    <hyperlink ref="BA24" location="" display="astri.ferani@nokia.com"/>
  </hyperlinks>
  <pageMargins left="0.699305555555556" right="0.699305555555556"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AQ36"/>
  <sheetViews>
    <sheetView topLeftCell="B1" workbookViewId="0">
      <pane xSplit="3" ySplit="4" topLeftCell="E5" activePane="bottomRight" state="frozen"/>
      <selection/>
      <selection pane="topRight"/>
      <selection pane="bottomLeft"/>
      <selection pane="bottomRight" activeCell="K6" sqref="K6"/>
    </sheetView>
  </sheetViews>
  <sheetFormatPr defaultColWidth="9" defaultRowHeight="12.75"/>
  <cols>
    <col min="1" max="1" width="9.14166666666667" style="874"/>
    <col min="2" max="2" width="5.425" style="874" customWidth="1"/>
    <col min="3" max="3" width="9.425" style="874" customWidth="1"/>
    <col min="4" max="4" width="13.425" style="874" customWidth="1"/>
    <col min="5" max="5" width="11.1416666666667" style="874" customWidth="1"/>
    <col min="6" max="6" width="3.56666666666667" style="874" customWidth="1"/>
    <col min="7" max="7" width="11.425" style="874" customWidth="1"/>
    <col min="8" max="8" width="7.70833333333333" style="874" customWidth="1"/>
    <col min="9" max="9" width="9.28333333333333" style="874" customWidth="1"/>
    <col min="10" max="10" width="6.425" style="874" customWidth="1"/>
    <col min="11" max="11" width="13.425" style="874" customWidth="1"/>
    <col min="12" max="12" width="8.85833333333333" style="874" customWidth="1"/>
    <col min="13" max="14" width="8.70833333333333" style="874" customWidth="1"/>
    <col min="15" max="15" width="8.28333333333333" style="874" customWidth="1"/>
    <col min="16" max="17" width="8.85833333333333" style="874" customWidth="1"/>
    <col min="18" max="20" width="8.28333333333333" style="874" customWidth="1"/>
    <col min="21" max="21" width="8.85833333333333" style="874" customWidth="1"/>
    <col min="22" max="22" width="8" style="874" customWidth="1"/>
    <col min="23" max="23" width="10.1416666666667" style="874" customWidth="1"/>
    <col min="24" max="24" width="9.85833333333333" style="874" customWidth="1"/>
    <col min="25" max="25" width="11.5666666666667" style="874" customWidth="1"/>
    <col min="26" max="27" width="9.56666666666667" style="874" customWidth="1"/>
    <col min="28" max="28" width="10.8583333333333" style="874" customWidth="1"/>
    <col min="29" max="29" width="4" style="874" customWidth="1"/>
    <col min="30" max="30" width="5.14166666666667" style="874" customWidth="1"/>
    <col min="31" max="31" width="7.70833333333333" style="874" customWidth="1"/>
    <col min="32" max="32" width="31.7083333333333" style="874" customWidth="1"/>
    <col min="33" max="33" width="28.5666666666667" style="874" customWidth="1"/>
    <col min="34" max="34" width="21.2833333333333" style="874" customWidth="1"/>
    <col min="35" max="35" width="21.7083333333333" style="874" customWidth="1"/>
    <col min="36" max="37" width="16.2833333333333" style="874" customWidth="1"/>
    <col min="38" max="38" width="10.425" style="874" customWidth="1"/>
    <col min="39" max="39" width="23" style="874" customWidth="1"/>
    <col min="40" max="40" width="34.5666666666667" style="874" customWidth="1"/>
    <col min="41" max="41" width="19.2833333333333" style="874" customWidth="1"/>
    <col min="42" max="42" width="9.14166666666667" style="874"/>
    <col min="43" max="43" width="9.425" style="874" customWidth="1"/>
    <col min="44" max="16384" width="9.14166666666667" style="874"/>
  </cols>
  <sheetData>
    <row r="3" ht="13.5" spans="2:42">
      <c r="B3" s="875" t="s">
        <v>0</v>
      </c>
      <c r="C3" s="875" t="s">
        <v>1</v>
      </c>
      <c r="D3" s="875" t="s">
        <v>2</v>
      </c>
      <c r="E3" s="875" t="s">
        <v>3</v>
      </c>
      <c r="F3" s="875" t="s">
        <v>4</v>
      </c>
      <c r="G3" s="875" t="s">
        <v>5</v>
      </c>
      <c r="H3" s="875" t="s">
        <v>27</v>
      </c>
      <c r="I3" s="875" t="s">
        <v>6</v>
      </c>
      <c r="J3" s="875" t="s">
        <v>7</v>
      </c>
      <c r="K3" s="875" t="s">
        <v>8</v>
      </c>
      <c r="L3" s="885" t="s">
        <v>9</v>
      </c>
      <c r="M3" s="889"/>
      <c r="N3" s="889"/>
      <c r="O3" s="885" t="s">
        <v>11</v>
      </c>
      <c r="P3" s="889"/>
      <c r="Q3" s="890" t="s">
        <v>12</v>
      </c>
      <c r="R3" s="891"/>
      <c r="S3" s="885" t="s">
        <v>9</v>
      </c>
      <c r="T3" s="889"/>
      <c r="U3" s="875" t="s">
        <v>14</v>
      </c>
      <c r="V3" s="875" t="s">
        <v>15</v>
      </c>
      <c r="W3" s="875" t="s">
        <v>16</v>
      </c>
      <c r="X3" s="894" t="s">
        <v>17</v>
      </c>
      <c r="Y3" s="875" t="s">
        <v>4555</v>
      </c>
      <c r="Z3" s="875" t="s">
        <v>3507</v>
      </c>
      <c r="AA3" s="875" t="s">
        <v>22</v>
      </c>
      <c r="AB3" s="875" t="s">
        <v>7630</v>
      </c>
      <c r="AC3" s="875" t="s">
        <v>25</v>
      </c>
      <c r="AD3" s="875" t="s">
        <v>26</v>
      </c>
      <c r="AE3" s="875" t="s">
        <v>27</v>
      </c>
      <c r="AF3" s="875" t="s">
        <v>15</v>
      </c>
      <c r="AG3" s="875" t="s">
        <v>28</v>
      </c>
      <c r="AH3" s="875" t="s">
        <v>29</v>
      </c>
      <c r="AI3" s="875" t="s">
        <v>30</v>
      </c>
      <c r="AJ3" s="875" t="s">
        <v>31</v>
      </c>
      <c r="AK3" s="875" t="s">
        <v>32</v>
      </c>
      <c r="AL3" s="875" t="s">
        <v>33</v>
      </c>
      <c r="AM3" s="875" t="s">
        <v>34</v>
      </c>
      <c r="AN3" s="875" t="s">
        <v>35</v>
      </c>
      <c r="AO3" s="901" t="s">
        <v>36</v>
      </c>
      <c r="AP3" s="902" t="s">
        <v>7631</v>
      </c>
    </row>
    <row r="4" ht="13.5" spans="2:42">
      <c r="B4" s="876"/>
      <c r="C4" s="877"/>
      <c r="D4" s="877"/>
      <c r="E4" s="877"/>
      <c r="F4" s="877"/>
      <c r="G4" s="877"/>
      <c r="H4" s="877"/>
      <c r="I4" s="876"/>
      <c r="J4" s="876"/>
      <c r="K4" s="877"/>
      <c r="L4" s="886" t="s">
        <v>37</v>
      </c>
      <c r="M4" s="886" t="s">
        <v>38</v>
      </c>
      <c r="N4" s="886">
        <v>1</v>
      </c>
      <c r="O4" s="886" t="s">
        <v>37</v>
      </c>
      <c r="P4" s="886" t="s">
        <v>38</v>
      </c>
      <c r="Q4" s="892" t="s">
        <v>37</v>
      </c>
      <c r="R4" s="892" t="s">
        <v>38</v>
      </c>
      <c r="S4" s="886" t="s">
        <v>37</v>
      </c>
      <c r="T4" s="886" t="s">
        <v>38</v>
      </c>
      <c r="U4" s="877"/>
      <c r="V4" s="877"/>
      <c r="W4" s="877"/>
      <c r="X4" s="895"/>
      <c r="Y4" s="877"/>
      <c r="Z4" s="877"/>
      <c r="AA4" s="877"/>
      <c r="AB4" s="877"/>
      <c r="AC4" s="876"/>
      <c r="AD4" s="876"/>
      <c r="AE4" s="876"/>
      <c r="AF4" s="876"/>
      <c r="AG4" s="876"/>
      <c r="AH4" s="876"/>
      <c r="AI4" s="876"/>
      <c r="AJ4" s="876"/>
      <c r="AK4" s="876"/>
      <c r="AL4" s="876"/>
      <c r="AM4" s="876"/>
      <c r="AN4" s="900"/>
      <c r="AO4" s="903"/>
      <c r="AP4" s="904"/>
    </row>
    <row r="5" s="871" customFormat="1" ht="23.25" spans="2:43">
      <c r="B5" s="1575" t="s">
        <v>39</v>
      </c>
      <c r="C5" s="879" t="s">
        <v>7895</v>
      </c>
      <c r="D5" s="879" t="s">
        <v>7896</v>
      </c>
      <c r="E5" s="884">
        <v>32000</v>
      </c>
      <c r="F5" s="884" t="s">
        <v>125</v>
      </c>
      <c r="G5" s="884" t="s">
        <v>44</v>
      </c>
      <c r="H5" s="884" t="s">
        <v>44</v>
      </c>
      <c r="I5" s="887" t="s">
        <v>3528</v>
      </c>
      <c r="J5" s="887" t="s">
        <v>7897</v>
      </c>
      <c r="K5" s="879" t="s">
        <v>4922</v>
      </c>
      <c r="L5" s="888">
        <v>41593</v>
      </c>
      <c r="M5" s="888">
        <v>42004</v>
      </c>
      <c r="N5" s="888">
        <v>42369</v>
      </c>
      <c r="O5" s="888">
        <v>42370</v>
      </c>
      <c r="P5" s="888">
        <v>42688</v>
      </c>
      <c r="Q5" s="888">
        <v>42689</v>
      </c>
      <c r="R5" s="888">
        <v>42749</v>
      </c>
      <c r="S5" s="893">
        <v>42750</v>
      </c>
      <c r="T5" s="893">
        <v>43281</v>
      </c>
      <c r="U5" s="640">
        <f ca="1" t="shared" ref="U5:U7" si="0">SUM(T5-NOW())</f>
        <v>8.61546296296001</v>
      </c>
      <c r="V5" s="121" t="str">
        <f ca="1" t="shared" ref="V5:V7" si="1">IF(U5&lt;=40,"WARNING","ACTIVE")</f>
        <v>WARNING</v>
      </c>
      <c r="W5" s="896">
        <v>4500000</v>
      </c>
      <c r="X5" s="896">
        <v>250000</v>
      </c>
      <c r="Y5" s="896">
        <v>0</v>
      </c>
      <c r="Z5" s="897">
        <v>500000</v>
      </c>
      <c r="AA5" s="896"/>
      <c r="AB5" s="896"/>
      <c r="AC5" s="887" t="s">
        <v>0</v>
      </c>
      <c r="AD5" s="898" t="s">
        <v>48</v>
      </c>
      <c r="AE5" s="898" t="s">
        <v>48</v>
      </c>
      <c r="AF5" s="887" t="s">
        <v>7898</v>
      </c>
      <c r="AG5" s="899" t="s">
        <v>7899</v>
      </c>
      <c r="AH5" s="899" t="s">
        <v>7900</v>
      </c>
      <c r="AI5" s="899" t="s">
        <v>7901</v>
      </c>
      <c r="AJ5" s="1576" t="s">
        <v>7902</v>
      </c>
      <c r="AK5" s="899" t="s">
        <v>7903</v>
      </c>
      <c r="AL5" s="899">
        <v>11013074338</v>
      </c>
      <c r="AM5" s="899" t="s">
        <v>7904</v>
      </c>
      <c r="AN5" s="899" t="s">
        <v>7905</v>
      </c>
      <c r="AO5" s="905"/>
      <c r="AP5" s="906"/>
      <c r="AQ5" s="906"/>
    </row>
    <row r="6" s="871" customFormat="1" ht="33.75" spans="2:43">
      <c r="B6" s="1575" t="s">
        <v>56</v>
      </c>
      <c r="C6" s="879" t="s">
        <v>7906</v>
      </c>
      <c r="D6" s="879" t="s">
        <v>7907</v>
      </c>
      <c r="E6" s="884">
        <v>33220</v>
      </c>
      <c r="F6" s="884" t="s">
        <v>43</v>
      </c>
      <c r="G6" s="884" t="s">
        <v>254</v>
      </c>
      <c r="H6" s="884" t="s">
        <v>254</v>
      </c>
      <c r="I6" s="887" t="s">
        <v>3528</v>
      </c>
      <c r="J6" s="887" t="s">
        <v>7897</v>
      </c>
      <c r="K6" s="879" t="s">
        <v>4922</v>
      </c>
      <c r="L6" s="888">
        <v>41593</v>
      </c>
      <c r="M6" s="888">
        <v>42004</v>
      </c>
      <c r="N6" s="888">
        <v>42369</v>
      </c>
      <c r="O6" s="888">
        <v>42370</v>
      </c>
      <c r="P6" s="888">
        <v>42688</v>
      </c>
      <c r="Q6" s="888">
        <v>42689</v>
      </c>
      <c r="R6" s="888">
        <v>42749</v>
      </c>
      <c r="S6" s="893">
        <v>42750</v>
      </c>
      <c r="T6" s="893">
        <v>43281</v>
      </c>
      <c r="U6" s="640">
        <f ca="1" t="shared" si="0"/>
        <v>8.61546296296001</v>
      </c>
      <c r="V6" s="121" t="str">
        <f ca="1" t="shared" si="1"/>
        <v>WARNING</v>
      </c>
      <c r="W6" s="896">
        <v>3600000</v>
      </c>
      <c r="X6" s="896">
        <v>250000</v>
      </c>
      <c r="Y6" s="896">
        <v>0</v>
      </c>
      <c r="Z6" s="897">
        <v>500000</v>
      </c>
      <c r="AA6" s="896"/>
      <c r="AB6" s="896"/>
      <c r="AC6" s="887" t="s">
        <v>48</v>
      </c>
      <c r="AD6" s="898" t="s">
        <v>48</v>
      </c>
      <c r="AE6" s="898" t="s">
        <v>48</v>
      </c>
      <c r="AF6" s="887" t="s">
        <v>7908</v>
      </c>
      <c r="AG6" s="899" t="s">
        <v>7909</v>
      </c>
      <c r="AH6" s="899" t="s">
        <v>7910</v>
      </c>
      <c r="AI6" s="899" t="s">
        <v>7911</v>
      </c>
      <c r="AJ6" s="899"/>
      <c r="AK6" s="899" t="s">
        <v>7912</v>
      </c>
      <c r="AL6" s="899" t="s">
        <v>7913</v>
      </c>
      <c r="AM6" s="899" t="s">
        <v>7914</v>
      </c>
      <c r="AN6" s="899" t="s">
        <v>7915</v>
      </c>
      <c r="AO6" s="905"/>
      <c r="AP6" s="906"/>
      <c r="AQ6" s="906"/>
    </row>
    <row r="7" s="871" customFormat="1" ht="22.5" spans="2:43">
      <c r="B7" s="1575" t="s">
        <v>68</v>
      </c>
      <c r="C7" s="880" t="s">
        <v>7916</v>
      </c>
      <c r="D7" s="879" t="s">
        <v>7917</v>
      </c>
      <c r="E7" s="884">
        <v>29742</v>
      </c>
      <c r="F7" s="884" t="s">
        <v>43</v>
      </c>
      <c r="G7" s="884" t="s">
        <v>254</v>
      </c>
      <c r="H7" s="884" t="s">
        <v>254</v>
      </c>
      <c r="I7" s="887" t="s">
        <v>3528</v>
      </c>
      <c r="J7" s="887" t="s">
        <v>7897</v>
      </c>
      <c r="K7" s="879" t="s">
        <v>4922</v>
      </c>
      <c r="L7" s="888">
        <v>41593</v>
      </c>
      <c r="M7" s="888">
        <v>42004</v>
      </c>
      <c r="N7" s="888">
        <v>42369</v>
      </c>
      <c r="O7" s="888">
        <v>42370</v>
      </c>
      <c r="P7" s="888">
        <v>42688</v>
      </c>
      <c r="Q7" s="888">
        <v>42689</v>
      </c>
      <c r="R7" s="888">
        <v>42749</v>
      </c>
      <c r="S7" s="893">
        <v>42750</v>
      </c>
      <c r="T7" s="893">
        <v>43281</v>
      </c>
      <c r="U7" s="640">
        <f ca="1" t="shared" si="0"/>
        <v>8.61546296296001</v>
      </c>
      <c r="V7" s="121" t="str">
        <f ca="1" t="shared" si="1"/>
        <v>WARNING</v>
      </c>
      <c r="W7" s="896">
        <v>4500000</v>
      </c>
      <c r="X7" s="896">
        <v>250000</v>
      </c>
      <c r="Y7" s="896">
        <v>0</v>
      </c>
      <c r="Z7" s="897">
        <v>0</v>
      </c>
      <c r="AA7" s="896"/>
      <c r="AB7" s="896"/>
      <c r="AC7" s="887" t="s">
        <v>0</v>
      </c>
      <c r="AD7" s="898" t="s">
        <v>48</v>
      </c>
      <c r="AE7" s="898" t="s">
        <v>48</v>
      </c>
      <c r="AF7" s="887" t="s">
        <v>7918</v>
      </c>
      <c r="AG7" s="899" t="s">
        <v>7919</v>
      </c>
      <c r="AH7" s="899" t="s">
        <v>7920</v>
      </c>
      <c r="AI7" s="899" t="s">
        <v>7921</v>
      </c>
      <c r="AJ7" s="899"/>
      <c r="AK7" s="899" t="s">
        <v>7922</v>
      </c>
      <c r="AL7" s="899" t="s">
        <v>7923</v>
      </c>
      <c r="AM7" s="899" t="s">
        <v>7924</v>
      </c>
      <c r="AN7" s="899" t="s">
        <v>7925</v>
      </c>
      <c r="AO7" s="905"/>
      <c r="AP7" s="906"/>
      <c r="AQ7" s="906"/>
    </row>
    <row r="8" s="872" customFormat="1"/>
    <row r="9" s="873" customFormat="1"/>
    <row r="10" s="873" customFormat="1"/>
    <row r="11" s="873" customFormat="1" ht="13.5"/>
    <row r="12" ht="14.1" customHeight="1" spans="2:3">
      <c r="B12" s="881" t="s">
        <v>2552</v>
      </c>
      <c r="C12" s="882"/>
    </row>
    <row r="24" spans="4:4">
      <c r="D24" s="883"/>
    </row>
    <row r="25" spans="4:4">
      <c r="D25" s="883"/>
    </row>
    <row r="26" spans="4:4">
      <c r="D26" s="883"/>
    </row>
    <row r="27" spans="4:4">
      <c r="D27" s="883"/>
    </row>
    <row r="28" spans="4:4">
      <c r="D28" s="883"/>
    </row>
    <row r="29" spans="4:4">
      <c r="D29" s="883"/>
    </row>
    <row r="30" spans="4:4">
      <c r="D30" s="883"/>
    </row>
    <row r="31" spans="4:4">
      <c r="D31" s="883"/>
    </row>
    <row r="32" spans="4:4">
      <c r="D32" s="883"/>
    </row>
    <row r="33" spans="4:4">
      <c r="D33" s="883"/>
    </row>
    <row r="34" spans="4:4">
      <c r="D34" s="883"/>
    </row>
    <row r="35" spans="4:4">
      <c r="D35" s="883"/>
    </row>
    <row r="36" spans="4:4">
      <c r="D36" s="883"/>
    </row>
  </sheetData>
  <mergeCells count="36">
    <mergeCell ref="L3:M3"/>
    <mergeCell ref="O3:P3"/>
    <mergeCell ref="Q3:R3"/>
    <mergeCell ref="S3:T3"/>
    <mergeCell ref="B3:B4"/>
    <mergeCell ref="C3:C4"/>
    <mergeCell ref="D3:D4"/>
    <mergeCell ref="E3:E4"/>
    <mergeCell ref="F3:F4"/>
    <mergeCell ref="G3:G4"/>
    <mergeCell ref="H3:H4"/>
    <mergeCell ref="I3:I4"/>
    <mergeCell ref="J3:J4"/>
    <mergeCell ref="K3:K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s>
  <conditionalFormatting sqref="V3:V4">
    <cfRule type="expression" dxfId="1004" priority="1" stopIfTrue="1">
      <formula>NOT(ISERROR(SEARCH("warning",V3)))</formula>
    </cfRule>
  </conditionalFormatting>
  <pageMargins left="0.699305555555556" right="0.699305555555556"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AK66"/>
  <sheetViews>
    <sheetView workbookViewId="0">
      <pane xSplit="3" ySplit="5" topLeftCell="I6" activePane="bottomRight" state="frozen"/>
      <selection/>
      <selection pane="topRight"/>
      <selection pane="bottomLeft"/>
      <selection pane="bottomRight" activeCell="O6" sqref="O6"/>
    </sheetView>
  </sheetViews>
  <sheetFormatPr defaultColWidth="9" defaultRowHeight="12.95" customHeight="1"/>
  <cols>
    <col min="1" max="1" width="3.70833333333333" style="93" customWidth="1"/>
    <col min="2" max="2" width="10.425" style="93" customWidth="1"/>
    <col min="3" max="3" width="17.5666666666667" style="93" customWidth="1"/>
    <col min="4" max="4" width="15.2833333333333" style="93" customWidth="1"/>
    <col min="5" max="5" width="5" style="91" customWidth="1"/>
    <col min="6" max="6" width="8.14166666666667" style="91" customWidth="1"/>
    <col min="7" max="8" width="12" style="93" customWidth="1"/>
    <col min="9" max="9" width="11" style="93" customWidth="1"/>
    <col min="10" max="10" width="11.2833333333333" style="93" customWidth="1"/>
    <col min="11" max="11" width="8.70833333333333" style="93" customWidth="1"/>
    <col min="12" max="13" width="8.56666666666667" style="93" customWidth="1"/>
    <col min="14" max="14" width="9" style="93" customWidth="1"/>
    <col min="15" max="15" width="9.85833333333333" style="93" customWidth="1"/>
    <col min="16" max="16" width="12.425" style="93" customWidth="1"/>
    <col min="17" max="17" width="9.14166666666667" style="93" customWidth="1"/>
    <col min="18" max="18" width="10.1416666666667" style="811" customWidth="1"/>
    <col min="19" max="19" width="5.85833333333333" style="93" customWidth="1"/>
    <col min="20" max="20" width="6" style="93" customWidth="1"/>
    <col min="21" max="21" width="12.2833333333333" style="93" customWidth="1"/>
    <col min="22" max="22" width="23.425" style="93" customWidth="1"/>
    <col min="23" max="23" width="25.425" style="93" customWidth="1"/>
    <col min="24" max="24" width="12.5666666666667" style="93" customWidth="1"/>
    <col min="25" max="25" width="15" style="93" customWidth="1"/>
    <col min="26" max="26" width="16.8583333333333" style="93" customWidth="1"/>
    <col min="27" max="28" width="13" style="93" customWidth="1"/>
    <col min="29" max="29" width="31.7083333333333" style="93" customWidth="1"/>
    <col min="30" max="30" width="27.425" style="93" customWidth="1"/>
    <col min="31" max="31" width="19.2833333333333" style="93" customWidth="1"/>
    <col min="32" max="32" width="18.425" style="93" customWidth="1"/>
    <col min="33" max="16384" width="9.14166666666667" style="93"/>
  </cols>
  <sheetData>
    <row r="1" s="91" customFormat="1" customHeight="1" spans="1:28">
      <c r="A1" s="97" t="s">
        <v>7926</v>
      </c>
      <c r="B1" s="812"/>
      <c r="C1" s="812"/>
      <c r="D1" s="812"/>
      <c r="E1" s="812"/>
      <c r="F1" s="812"/>
      <c r="G1" s="812"/>
      <c r="H1" s="812"/>
      <c r="I1" s="812"/>
      <c r="J1" s="812"/>
      <c r="K1" s="812"/>
      <c r="L1" s="97"/>
      <c r="M1" s="97"/>
      <c r="N1" s="97"/>
      <c r="O1" s="97"/>
      <c r="P1" s="97"/>
      <c r="Q1" s="97"/>
      <c r="R1" s="97"/>
      <c r="S1" s="97"/>
      <c r="T1" s="97"/>
      <c r="U1" s="97"/>
      <c r="V1" s="97"/>
      <c r="W1" s="97"/>
      <c r="X1" s="97"/>
      <c r="Y1" s="97"/>
      <c r="Z1" s="97"/>
      <c r="AA1" s="97"/>
      <c r="AB1" s="97"/>
    </row>
    <row r="2" s="91" customFormat="1" customHeight="1" spans="1:28">
      <c r="A2" s="97" t="s">
        <v>7927</v>
      </c>
      <c r="B2" s="812"/>
      <c r="C2" s="812"/>
      <c r="D2" s="812"/>
      <c r="E2" s="812"/>
      <c r="F2" s="812"/>
      <c r="G2" s="812"/>
      <c r="H2" s="812"/>
      <c r="I2" s="812"/>
      <c r="J2" s="812"/>
      <c r="K2" s="812"/>
      <c r="L2" s="97"/>
      <c r="M2" s="97"/>
      <c r="N2" s="97"/>
      <c r="O2" s="97"/>
      <c r="P2" s="97"/>
      <c r="Q2" s="97"/>
      <c r="R2" s="97"/>
      <c r="S2" s="97"/>
      <c r="T2" s="97"/>
      <c r="U2" s="97"/>
      <c r="V2" s="97"/>
      <c r="W2" s="97"/>
      <c r="X2" s="97"/>
      <c r="Y2" s="97"/>
      <c r="Z2" s="97"/>
      <c r="AA2" s="97"/>
      <c r="AB2" s="97"/>
    </row>
    <row r="3" s="91" customFormat="1" customHeight="1" spans="1:22">
      <c r="A3" s="97"/>
      <c r="B3" s="97"/>
      <c r="C3" s="97"/>
      <c r="D3" s="97"/>
      <c r="E3" s="97"/>
      <c r="F3" s="97"/>
      <c r="G3" s="97"/>
      <c r="H3" s="97"/>
      <c r="I3" s="97"/>
      <c r="J3" s="97"/>
      <c r="K3" s="97"/>
      <c r="L3" s="97"/>
      <c r="M3" s="97"/>
      <c r="N3" s="97"/>
      <c r="O3" s="97"/>
      <c r="P3" s="97"/>
      <c r="Q3" s="97"/>
      <c r="R3" s="97"/>
      <c r="S3" s="97"/>
      <c r="T3" s="97"/>
      <c r="U3" s="97"/>
      <c r="V3" s="97"/>
    </row>
    <row r="4" s="91" customFormat="1" ht="19.5" customHeight="1" spans="1:31">
      <c r="A4" s="98" t="s">
        <v>0</v>
      </c>
      <c r="B4" s="98" t="s">
        <v>1</v>
      </c>
      <c r="C4" s="98" t="s">
        <v>2</v>
      </c>
      <c r="D4" s="98" t="s">
        <v>3</v>
      </c>
      <c r="E4" s="124" t="s">
        <v>7928</v>
      </c>
      <c r="F4" s="98" t="s">
        <v>7929</v>
      </c>
      <c r="G4" s="98" t="s">
        <v>8</v>
      </c>
      <c r="H4" s="124" t="s">
        <v>7930</v>
      </c>
      <c r="I4" s="174" t="s">
        <v>9</v>
      </c>
      <c r="J4" s="186"/>
      <c r="K4" s="186"/>
      <c r="L4" s="174" t="s">
        <v>11</v>
      </c>
      <c r="M4" s="186"/>
      <c r="N4" s="98" t="s">
        <v>14</v>
      </c>
      <c r="O4" s="103" t="s">
        <v>15</v>
      </c>
      <c r="P4" s="103" t="s">
        <v>7931</v>
      </c>
      <c r="Q4" s="537" t="s">
        <v>7932</v>
      </c>
      <c r="R4" s="537" t="s">
        <v>7933</v>
      </c>
      <c r="S4" s="98" t="s">
        <v>25</v>
      </c>
      <c r="T4" s="98" t="s">
        <v>26</v>
      </c>
      <c r="U4" s="98" t="s">
        <v>3509</v>
      </c>
      <c r="V4" s="103" t="s">
        <v>15</v>
      </c>
      <c r="W4" s="117" t="s">
        <v>28</v>
      </c>
      <c r="X4" s="118" t="s">
        <v>29</v>
      </c>
      <c r="Y4" s="104" t="s">
        <v>31</v>
      </c>
      <c r="Z4" s="104" t="s">
        <v>32</v>
      </c>
      <c r="AA4" s="104" t="s">
        <v>7934</v>
      </c>
      <c r="AB4" s="104" t="s">
        <v>7935</v>
      </c>
      <c r="AC4" s="104" t="s">
        <v>30</v>
      </c>
      <c r="AD4" s="548" t="s">
        <v>7936</v>
      </c>
      <c r="AE4" s="124" t="s">
        <v>36</v>
      </c>
    </row>
    <row r="5" s="91" customFormat="1" ht="21" customHeight="1" spans="1:31">
      <c r="A5" s="672"/>
      <c r="B5" s="672"/>
      <c r="C5" s="672"/>
      <c r="D5" s="672"/>
      <c r="E5" s="816"/>
      <c r="F5" s="672"/>
      <c r="G5" s="672"/>
      <c r="H5" s="816"/>
      <c r="I5" s="98" t="s">
        <v>37</v>
      </c>
      <c r="J5" s="98" t="s">
        <v>38</v>
      </c>
      <c r="K5" s="98" t="s">
        <v>38</v>
      </c>
      <c r="L5" s="98" t="s">
        <v>37</v>
      </c>
      <c r="M5" s="98" t="s">
        <v>38</v>
      </c>
      <c r="N5" s="672"/>
      <c r="O5" s="706"/>
      <c r="P5" s="706"/>
      <c r="Q5" s="819"/>
      <c r="R5" s="819"/>
      <c r="S5" s="710"/>
      <c r="T5" s="820"/>
      <c r="U5" s="710"/>
      <c r="V5" s="706"/>
      <c r="W5" s="717"/>
      <c r="X5" s="824"/>
      <c r="Y5" s="825"/>
      <c r="Z5" s="825"/>
      <c r="AA5" s="825"/>
      <c r="AB5" s="825"/>
      <c r="AC5" s="825"/>
      <c r="AD5" s="560"/>
      <c r="AE5" s="730"/>
    </row>
    <row r="6" s="204" customFormat="1" ht="31.5" spans="1:32">
      <c r="A6" s="432">
        <v>1</v>
      </c>
      <c r="B6" s="863" t="s">
        <v>7937</v>
      </c>
      <c r="C6" s="864" t="s">
        <v>7938</v>
      </c>
      <c r="D6" s="864" t="s">
        <v>7939</v>
      </c>
      <c r="E6" s="793" t="s">
        <v>125</v>
      </c>
      <c r="F6" s="793" t="s">
        <v>44</v>
      </c>
      <c r="G6" s="864" t="s">
        <v>7940</v>
      </c>
      <c r="H6" s="793"/>
      <c r="I6" s="867">
        <v>42430</v>
      </c>
      <c r="J6" s="867">
        <v>42794</v>
      </c>
      <c r="K6" s="867">
        <v>43159</v>
      </c>
      <c r="L6" s="867">
        <v>43160</v>
      </c>
      <c r="M6" s="867">
        <v>43524</v>
      </c>
      <c r="N6" s="640">
        <f ca="1">SUM(M6-NOW())</f>
        <v>251.61546296296</v>
      </c>
      <c r="O6" s="121" t="str">
        <f ca="1">IF(N6&lt;=40,"WARNING","ACTIVE")</f>
        <v>ACTIVE</v>
      </c>
      <c r="P6" s="868">
        <v>4250000</v>
      </c>
      <c r="Q6" s="868">
        <v>500000</v>
      </c>
      <c r="R6" s="700"/>
      <c r="S6" s="700" t="s">
        <v>113</v>
      </c>
      <c r="T6" s="700" t="s">
        <v>113</v>
      </c>
      <c r="U6" s="432" t="s">
        <v>7941</v>
      </c>
      <c r="V6" s="432" t="s">
        <v>7942</v>
      </c>
      <c r="W6" s="864" t="s">
        <v>7943</v>
      </c>
      <c r="X6" s="1577" t="s">
        <v>7944</v>
      </c>
      <c r="Y6" s="869" t="s">
        <v>7945</v>
      </c>
      <c r="Z6" s="432" t="s">
        <v>7946</v>
      </c>
      <c r="AA6" s="432"/>
      <c r="AB6" s="1577" t="s">
        <v>7947</v>
      </c>
      <c r="AC6" s="432" t="s">
        <v>7948</v>
      </c>
      <c r="AD6" s="365" t="s">
        <v>7949</v>
      </c>
      <c r="AE6" s="432"/>
      <c r="AF6" s="870"/>
    </row>
    <row r="7" s="529" customFormat="1" ht="28.5" customHeight="1" spans="2:30">
      <c r="B7" s="813"/>
      <c r="C7" s="813"/>
      <c r="D7" s="813"/>
      <c r="E7" s="813"/>
      <c r="F7" s="813"/>
      <c r="G7" s="813"/>
      <c r="H7" s="813"/>
      <c r="I7" s="813"/>
      <c r="J7" s="813"/>
      <c r="K7" s="813"/>
      <c r="L7" s="813"/>
      <c r="N7" s="546"/>
      <c r="O7" s="533"/>
      <c r="P7" s="545"/>
      <c r="Q7" s="545"/>
      <c r="R7" s="821"/>
      <c r="S7" s="815"/>
      <c r="T7" s="815"/>
      <c r="W7" s="815"/>
      <c r="Y7" s="826"/>
      <c r="AD7" s="829"/>
    </row>
    <row r="8" ht="28.5" customHeight="1" spans="1:37">
      <c r="A8" s="529"/>
      <c r="B8" s="814"/>
      <c r="C8" s="865"/>
      <c r="D8" s="865"/>
      <c r="E8" s="865"/>
      <c r="F8" s="865"/>
      <c r="G8" s="865"/>
      <c r="H8" s="865"/>
      <c r="I8" s="865"/>
      <c r="J8" s="865"/>
      <c r="K8" s="865"/>
      <c r="L8" s="865"/>
      <c r="M8" s="865"/>
      <c r="N8" s="546"/>
      <c r="O8" s="533"/>
      <c r="P8" s="545"/>
      <c r="Q8" s="545"/>
      <c r="R8" s="821"/>
      <c r="S8" s="815"/>
      <c r="T8" s="815"/>
      <c r="U8" s="529"/>
      <c r="V8" s="529"/>
      <c r="W8" s="815"/>
      <c r="X8" s="529"/>
      <c r="Y8" s="826"/>
      <c r="Z8" s="529"/>
      <c r="AA8" s="529"/>
      <c r="AB8" s="529"/>
      <c r="AC8" s="830"/>
      <c r="AD8" s="829"/>
      <c r="AE8" s="529"/>
      <c r="AF8" s="529"/>
      <c r="AG8" s="529"/>
      <c r="AH8" s="529"/>
      <c r="AI8" s="529"/>
      <c r="AJ8" s="529"/>
      <c r="AK8" s="529"/>
    </row>
    <row r="9" ht="28.5" customHeight="1" spans="1:37">
      <c r="A9" s="529"/>
      <c r="B9" s="814"/>
      <c r="C9" s="866"/>
      <c r="D9" s="866"/>
      <c r="E9" s="866"/>
      <c r="F9" s="866"/>
      <c r="G9" s="866"/>
      <c r="H9" s="866"/>
      <c r="I9" s="866"/>
      <c r="J9" s="866"/>
      <c r="K9" s="866"/>
      <c r="L9" s="866"/>
      <c r="M9" s="866"/>
      <c r="N9" s="546"/>
      <c r="O9" s="533"/>
      <c r="P9" s="545"/>
      <c r="Q9" s="545"/>
      <c r="R9" s="821"/>
      <c r="S9" s="815"/>
      <c r="T9" s="815"/>
      <c r="U9" s="529"/>
      <c r="V9" s="529"/>
      <c r="W9" s="815"/>
      <c r="X9" s="529"/>
      <c r="Y9" s="826"/>
      <c r="Z9" s="529"/>
      <c r="AA9" s="529"/>
      <c r="AB9" s="529"/>
      <c r="AC9" s="529"/>
      <c r="AD9" s="829"/>
      <c r="AE9" s="529"/>
      <c r="AF9" s="529"/>
      <c r="AG9" s="529"/>
      <c r="AH9" s="529"/>
      <c r="AI9" s="529"/>
      <c r="AJ9" s="529"/>
      <c r="AK9" s="529"/>
    </row>
    <row r="10" ht="28.5" customHeight="1" spans="1:37">
      <c r="A10" s="529"/>
      <c r="B10" s="814"/>
      <c r="C10" s="815"/>
      <c r="D10" s="815"/>
      <c r="E10" s="817"/>
      <c r="F10" s="521"/>
      <c r="G10" s="815"/>
      <c r="H10" s="815"/>
      <c r="I10" s="818"/>
      <c r="J10" s="818"/>
      <c r="K10" s="529"/>
      <c r="L10" s="529"/>
      <c r="M10" s="529"/>
      <c r="N10" s="546"/>
      <c r="O10" s="533"/>
      <c r="P10" s="545"/>
      <c r="Q10" s="545"/>
      <c r="R10" s="821"/>
      <c r="S10" s="815"/>
      <c r="T10" s="815"/>
      <c r="U10" s="529"/>
      <c r="V10" s="529"/>
      <c r="W10" s="815"/>
      <c r="X10" s="529"/>
      <c r="Y10" s="826"/>
      <c r="Z10" s="529"/>
      <c r="AA10" s="529"/>
      <c r="AB10" s="529"/>
      <c r="AC10" s="830"/>
      <c r="AD10" s="829"/>
      <c r="AE10" s="529"/>
      <c r="AF10" s="529"/>
      <c r="AG10" s="529"/>
      <c r="AH10" s="529"/>
      <c r="AI10" s="529"/>
      <c r="AJ10" s="529"/>
      <c r="AK10" s="529"/>
    </row>
    <row r="11" ht="28.5" customHeight="1" spans="1:37">
      <c r="A11" s="529"/>
      <c r="B11" s="814"/>
      <c r="C11" s="815"/>
      <c r="D11" s="815"/>
      <c r="E11" s="817"/>
      <c r="F11" s="521"/>
      <c r="G11" s="815"/>
      <c r="H11" s="815"/>
      <c r="I11" s="818"/>
      <c r="J11" s="818"/>
      <c r="K11" s="529"/>
      <c r="L11" s="529"/>
      <c r="M11" s="529"/>
      <c r="N11" s="546"/>
      <c r="O11" s="533"/>
      <c r="P11" s="545"/>
      <c r="Q11" s="545"/>
      <c r="R11" s="821"/>
      <c r="S11" s="815"/>
      <c r="T11" s="815"/>
      <c r="U11" s="529"/>
      <c r="V11" s="529"/>
      <c r="W11" s="815"/>
      <c r="X11" s="529"/>
      <c r="Y11" s="826"/>
      <c r="Z11" s="529"/>
      <c r="AA11" s="529"/>
      <c r="AB11" s="529"/>
      <c r="AC11" s="529"/>
      <c r="AD11" s="829"/>
      <c r="AE11" s="529"/>
      <c r="AF11" s="529"/>
      <c r="AG11" s="529"/>
      <c r="AH11" s="529"/>
      <c r="AI11" s="529"/>
      <c r="AJ11" s="529"/>
      <c r="AK11" s="529"/>
    </row>
    <row r="12" ht="28.5" customHeight="1" spans="1:37">
      <c r="A12" s="529"/>
      <c r="B12" s="814"/>
      <c r="C12" s="815"/>
      <c r="D12" s="815"/>
      <c r="E12" s="817"/>
      <c r="F12" s="521"/>
      <c r="G12" s="815"/>
      <c r="H12" s="815"/>
      <c r="I12" s="818"/>
      <c r="J12" s="818"/>
      <c r="K12" s="529"/>
      <c r="L12" s="529"/>
      <c r="M12" s="529"/>
      <c r="N12" s="546"/>
      <c r="O12" s="533"/>
      <c r="P12" s="545"/>
      <c r="Q12" s="545"/>
      <c r="R12" s="821"/>
      <c r="S12" s="815"/>
      <c r="T12" s="815"/>
      <c r="U12" s="529"/>
      <c r="V12" s="529"/>
      <c r="W12" s="815"/>
      <c r="X12" s="529"/>
      <c r="Y12" s="826"/>
      <c r="Z12" s="529"/>
      <c r="AA12" s="529"/>
      <c r="AB12" s="529"/>
      <c r="AC12" s="529"/>
      <c r="AD12" s="829"/>
      <c r="AE12" s="529"/>
      <c r="AF12" s="529"/>
      <c r="AG12" s="529"/>
      <c r="AH12" s="529"/>
      <c r="AI12" s="529"/>
      <c r="AJ12" s="529"/>
      <c r="AK12" s="529"/>
    </row>
    <row r="13" ht="28.5" customHeight="1" spans="1:37">
      <c r="A13" s="529"/>
      <c r="B13" s="814"/>
      <c r="C13" s="815"/>
      <c r="D13" s="815"/>
      <c r="E13" s="817"/>
      <c r="F13" s="521"/>
      <c r="G13" s="815"/>
      <c r="H13" s="815"/>
      <c r="I13" s="818"/>
      <c r="J13" s="818"/>
      <c r="K13" s="529"/>
      <c r="L13" s="529"/>
      <c r="M13" s="529"/>
      <c r="N13" s="546"/>
      <c r="O13" s="533"/>
      <c r="P13" s="545"/>
      <c r="Q13" s="545"/>
      <c r="R13" s="821"/>
      <c r="S13" s="815"/>
      <c r="T13" s="815"/>
      <c r="U13" s="529"/>
      <c r="V13" s="529"/>
      <c r="W13" s="815"/>
      <c r="X13" s="529"/>
      <c r="Y13" s="826"/>
      <c r="Z13" s="529"/>
      <c r="AA13" s="529"/>
      <c r="AB13" s="529"/>
      <c r="AC13" s="529"/>
      <c r="AD13" s="829"/>
      <c r="AE13" s="529"/>
      <c r="AF13" s="529"/>
      <c r="AG13" s="529"/>
      <c r="AH13" s="529"/>
      <c r="AI13" s="529"/>
      <c r="AJ13" s="529"/>
      <c r="AK13" s="529"/>
    </row>
    <row r="14" ht="28.5" customHeight="1" spans="1:37">
      <c r="A14" s="529"/>
      <c r="B14" s="814"/>
      <c r="C14" s="815"/>
      <c r="D14" s="815"/>
      <c r="E14" s="817"/>
      <c r="F14" s="521"/>
      <c r="G14" s="815"/>
      <c r="H14" s="815"/>
      <c r="I14" s="818"/>
      <c r="J14" s="818"/>
      <c r="K14" s="529"/>
      <c r="L14" s="529"/>
      <c r="M14" s="529"/>
      <c r="N14" s="546"/>
      <c r="O14" s="533"/>
      <c r="P14" s="545"/>
      <c r="Q14" s="545"/>
      <c r="R14" s="821"/>
      <c r="S14" s="815"/>
      <c r="T14" s="815"/>
      <c r="U14" s="529"/>
      <c r="V14" s="529"/>
      <c r="W14" s="815"/>
      <c r="X14" s="529"/>
      <c r="Y14" s="826"/>
      <c r="Z14" s="529"/>
      <c r="AA14" s="529"/>
      <c r="AB14" s="529"/>
      <c r="AC14" s="529"/>
      <c r="AD14" s="829"/>
      <c r="AE14" s="529"/>
      <c r="AF14" s="529"/>
      <c r="AG14" s="529"/>
      <c r="AH14" s="529"/>
      <c r="AI14" s="529"/>
      <c r="AJ14" s="529"/>
      <c r="AK14" s="529"/>
    </row>
    <row r="15" ht="28.5" customHeight="1" spans="1:37">
      <c r="A15" s="529"/>
      <c r="B15" s="814"/>
      <c r="C15" s="815"/>
      <c r="D15" s="815"/>
      <c r="E15" s="817"/>
      <c r="F15" s="521"/>
      <c r="G15" s="815"/>
      <c r="H15" s="815"/>
      <c r="I15" s="818"/>
      <c r="J15" s="818"/>
      <c r="K15" s="529"/>
      <c r="L15" s="529"/>
      <c r="M15" s="529"/>
      <c r="N15" s="546"/>
      <c r="O15" s="533"/>
      <c r="P15" s="545"/>
      <c r="Q15" s="545"/>
      <c r="R15" s="821"/>
      <c r="S15" s="815"/>
      <c r="T15" s="815"/>
      <c r="U15" s="529"/>
      <c r="V15" s="529"/>
      <c r="W15" s="815"/>
      <c r="X15" s="529"/>
      <c r="Y15" s="826"/>
      <c r="Z15" s="529"/>
      <c r="AA15" s="529"/>
      <c r="AB15" s="529"/>
      <c r="AC15" s="529"/>
      <c r="AD15" s="829"/>
      <c r="AE15" s="529"/>
      <c r="AF15" s="529"/>
      <c r="AG15" s="529"/>
      <c r="AH15" s="529"/>
      <c r="AI15" s="529"/>
      <c r="AJ15" s="529"/>
      <c r="AK15" s="529"/>
    </row>
    <row r="16" ht="28.5" customHeight="1" spans="1:37">
      <c r="A16" s="529"/>
      <c r="B16" s="814"/>
      <c r="C16" s="815"/>
      <c r="D16" s="815"/>
      <c r="E16" s="817"/>
      <c r="F16" s="521"/>
      <c r="G16" s="815"/>
      <c r="H16" s="815"/>
      <c r="I16" s="818"/>
      <c r="J16" s="818"/>
      <c r="K16" s="529"/>
      <c r="L16" s="529"/>
      <c r="M16" s="529"/>
      <c r="N16" s="546"/>
      <c r="O16" s="533"/>
      <c r="P16" s="545"/>
      <c r="Q16" s="545"/>
      <c r="R16" s="821"/>
      <c r="S16" s="815"/>
      <c r="T16" s="815"/>
      <c r="U16" s="529"/>
      <c r="V16" s="529"/>
      <c r="W16" s="815"/>
      <c r="X16" s="529"/>
      <c r="Y16" s="826"/>
      <c r="Z16" s="529"/>
      <c r="AA16" s="529"/>
      <c r="AB16" s="529"/>
      <c r="AC16" s="529"/>
      <c r="AD16" s="829"/>
      <c r="AE16" s="529"/>
      <c r="AF16" s="529"/>
      <c r="AG16" s="529"/>
      <c r="AH16" s="529"/>
      <c r="AI16" s="529"/>
      <c r="AJ16" s="529"/>
      <c r="AK16" s="529"/>
    </row>
    <row r="17" ht="28.5" customHeight="1" spans="1:37">
      <c r="A17" s="529"/>
      <c r="B17" s="814"/>
      <c r="C17" s="815"/>
      <c r="D17" s="815"/>
      <c r="E17" s="817"/>
      <c r="F17" s="521"/>
      <c r="G17" s="815"/>
      <c r="H17" s="815"/>
      <c r="I17" s="818"/>
      <c r="J17" s="818"/>
      <c r="K17" s="529"/>
      <c r="L17" s="529"/>
      <c r="M17" s="529"/>
      <c r="N17" s="546"/>
      <c r="O17" s="533"/>
      <c r="P17" s="545"/>
      <c r="Q17" s="545"/>
      <c r="R17" s="821"/>
      <c r="S17" s="815"/>
      <c r="T17" s="815"/>
      <c r="U17" s="529"/>
      <c r="V17" s="529"/>
      <c r="W17" s="815"/>
      <c r="X17" s="529"/>
      <c r="Y17" s="826"/>
      <c r="Z17" s="529"/>
      <c r="AA17" s="529"/>
      <c r="AB17" s="529"/>
      <c r="AC17" s="529"/>
      <c r="AD17" s="829"/>
      <c r="AE17" s="529"/>
      <c r="AF17" s="529"/>
      <c r="AG17" s="529"/>
      <c r="AH17" s="529"/>
      <c r="AI17" s="529"/>
      <c r="AJ17" s="529"/>
      <c r="AK17" s="529"/>
    </row>
    <row r="18" ht="28.5" customHeight="1" spans="1:37">
      <c r="A18" s="529"/>
      <c r="B18" s="814"/>
      <c r="C18" s="815"/>
      <c r="D18" s="815"/>
      <c r="E18" s="817"/>
      <c r="F18" s="521"/>
      <c r="G18" s="815"/>
      <c r="H18" s="815"/>
      <c r="I18" s="818"/>
      <c r="J18" s="818"/>
      <c r="K18" s="529"/>
      <c r="L18" s="529"/>
      <c r="M18" s="529"/>
      <c r="N18" s="546"/>
      <c r="O18" s="533"/>
      <c r="P18" s="545"/>
      <c r="Q18" s="545"/>
      <c r="R18" s="821"/>
      <c r="S18" s="815"/>
      <c r="T18" s="815"/>
      <c r="U18" s="529"/>
      <c r="V18" s="529"/>
      <c r="W18" s="815"/>
      <c r="X18" s="529"/>
      <c r="Y18" s="826"/>
      <c r="Z18" s="529"/>
      <c r="AA18" s="529"/>
      <c r="AB18" s="529"/>
      <c r="AC18" s="529"/>
      <c r="AD18" s="829"/>
      <c r="AE18" s="529"/>
      <c r="AF18" s="529"/>
      <c r="AG18" s="529"/>
      <c r="AH18" s="529"/>
      <c r="AI18" s="529"/>
      <c r="AJ18" s="529"/>
      <c r="AK18" s="529"/>
    </row>
    <row r="19" ht="28.5" customHeight="1" spans="1:37">
      <c r="A19" s="529"/>
      <c r="B19" s="814"/>
      <c r="C19" s="815"/>
      <c r="D19" s="815"/>
      <c r="E19" s="817"/>
      <c r="F19" s="521"/>
      <c r="G19" s="815"/>
      <c r="H19" s="815"/>
      <c r="I19" s="818"/>
      <c r="J19" s="818"/>
      <c r="K19" s="529"/>
      <c r="L19" s="529"/>
      <c r="M19" s="529"/>
      <c r="N19" s="546"/>
      <c r="O19" s="533"/>
      <c r="P19" s="545"/>
      <c r="Q19" s="545"/>
      <c r="R19" s="821"/>
      <c r="S19" s="815"/>
      <c r="T19" s="815"/>
      <c r="U19" s="529"/>
      <c r="V19" s="529"/>
      <c r="W19" s="815"/>
      <c r="X19" s="529"/>
      <c r="Y19" s="826"/>
      <c r="Z19" s="529"/>
      <c r="AA19" s="529"/>
      <c r="AB19" s="529"/>
      <c r="AC19" s="529"/>
      <c r="AD19" s="829"/>
      <c r="AE19" s="529"/>
      <c r="AF19" s="529"/>
      <c r="AG19" s="529"/>
      <c r="AH19" s="529"/>
      <c r="AI19" s="529"/>
      <c r="AJ19" s="529"/>
      <c r="AK19" s="529"/>
    </row>
    <row r="20" ht="28.5" customHeight="1" spans="1:37">
      <c r="A20" s="529"/>
      <c r="B20" s="814"/>
      <c r="C20" s="815"/>
      <c r="D20" s="815"/>
      <c r="E20" s="817"/>
      <c r="F20" s="521"/>
      <c r="G20" s="815"/>
      <c r="H20" s="815"/>
      <c r="I20" s="818"/>
      <c r="J20" s="818"/>
      <c r="K20" s="529"/>
      <c r="L20" s="529"/>
      <c r="M20" s="529"/>
      <c r="N20" s="546"/>
      <c r="O20" s="533"/>
      <c r="P20" s="545"/>
      <c r="Q20" s="545"/>
      <c r="R20" s="821"/>
      <c r="S20" s="815"/>
      <c r="T20" s="815"/>
      <c r="U20" s="529"/>
      <c r="V20" s="529"/>
      <c r="W20" s="815"/>
      <c r="X20" s="529"/>
      <c r="Y20" s="826"/>
      <c r="Z20" s="529"/>
      <c r="AA20" s="529"/>
      <c r="AB20" s="529"/>
      <c r="AC20" s="529"/>
      <c r="AD20" s="829"/>
      <c r="AE20" s="529"/>
      <c r="AF20" s="529"/>
      <c r="AG20" s="529"/>
      <c r="AH20" s="529"/>
      <c r="AI20" s="529"/>
      <c r="AJ20" s="529"/>
      <c r="AK20" s="529"/>
    </row>
    <row r="21" ht="28.5" customHeight="1" spans="1:37">
      <c r="A21" s="529"/>
      <c r="B21" s="814"/>
      <c r="C21" s="815"/>
      <c r="D21" s="815"/>
      <c r="E21" s="817"/>
      <c r="F21" s="521"/>
      <c r="G21" s="815"/>
      <c r="H21" s="815"/>
      <c r="I21" s="818"/>
      <c r="J21" s="818"/>
      <c r="K21" s="529"/>
      <c r="L21" s="529"/>
      <c r="M21" s="529"/>
      <c r="N21" s="546"/>
      <c r="O21" s="533"/>
      <c r="P21" s="545"/>
      <c r="Q21" s="545"/>
      <c r="R21" s="821"/>
      <c r="S21" s="815"/>
      <c r="T21" s="815"/>
      <c r="U21" s="529"/>
      <c r="V21" s="529"/>
      <c r="W21" s="815"/>
      <c r="X21" s="529"/>
      <c r="Y21" s="826"/>
      <c r="Z21" s="529"/>
      <c r="AA21" s="529"/>
      <c r="AB21" s="529"/>
      <c r="AC21" s="529"/>
      <c r="AD21" s="829"/>
      <c r="AE21" s="529"/>
      <c r="AF21" s="529"/>
      <c r="AG21" s="529"/>
      <c r="AH21" s="529"/>
      <c r="AI21" s="529"/>
      <c r="AJ21" s="529"/>
      <c r="AK21" s="529"/>
    </row>
    <row r="22" ht="28.5" customHeight="1" spans="1:37">
      <c r="A22" s="529"/>
      <c r="B22" s="814"/>
      <c r="C22" s="815"/>
      <c r="D22" s="815"/>
      <c r="E22" s="817"/>
      <c r="F22" s="521"/>
      <c r="G22" s="815"/>
      <c r="H22" s="815"/>
      <c r="I22" s="818"/>
      <c r="J22" s="818"/>
      <c r="K22" s="529"/>
      <c r="L22" s="529"/>
      <c r="M22" s="529"/>
      <c r="N22" s="546"/>
      <c r="O22" s="533"/>
      <c r="P22" s="545"/>
      <c r="Q22" s="545"/>
      <c r="R22" s="821"/>
      <c r="S22" s="815"/>
      <c r="T22" s="815"/>
      <c r="U22" s="529"/>
      <c r="V22" s="529"/>
      <c r="W22" s="815"/>
      <c r="X22" s="529"/>
      <c r="Y22" s="826"/>
      <c r="Z22" s="529"/>
      <c r="AA22" s="529"/>
      <c r="AB22" s="529"/>
      <c r="AC22" s="529"/>
      <c r="AD22" s="829"/>
      <c r="AE22" s="529"/>
      <c r="AF22" s="529"/>
      <c r="AG22" s="529"/>
      <c r="AH22" s="529"/>
      <c r="AI22" s="529"/>
      <c r="AJ22" s="529"/>
      <c r="AK22" s="529"/>
    </row>
    <row r="23" ht="28.5" customHeight="1" spans="1:37">
      <c r="A23" s="529"/>
      <c r="B23" s="814"/>
      <c r="C23" s="815"/>
      <c r="D23" s="815"/>
      <c r="E23" s="817"/>
      <c r="F23" s="521"/>
      <c r="G23" s="815"/>
      <c r="H23" s="815"/>
      <c r="I23" s="818"/>
      <c r="J23" s="818"/>
      <c r="K23" s="529"/>
      <c r="L23" s="529"/>
      <c r="M23" s="529"/>
      <c r="N23" s="546"/>
      <c r="O23" s="533"/>
      <c r="P23" s="545"/>
      <c r="Q23" s="545"/>
      <c r="R23" s="821"/>
      <c r="S23" s="815"/>
      <c r="T23" s="815"/>
      <c r="U23" s="529"/>
      <c r="V23" s="529"/>
      <c r="W23" s="815"/>
      <c r="X23" s="529"/>
      <c r="Y23" s="826"/>
      <c r="Z23" s="529"/>
      <c r="AA23" s="529"/>
      <c r="AB23" s="529"/>
      <c r="AC23" s="529"/>
      <c r="AD23" s="829"/>
      <c r="AE23" s="529"/>
      <c r="AF23" s="529"/>
      <c r="AG23" s="529"/>
      <c r="AH23" s="529"/>
      <c r="AI23" s="529"/>
      <c r="AJ23" s="529"/>
      <c r="AK23" s="529"/>
    </row>
    <row r="24" ht="28.5" customHeight="1" spans="1:37">
      <c r="A24" s="529"/>
      <c r="B24" s="814"/>
      <c r="C24" s="815"/>
      <c r="D24" s="815"/>
      <c r="E24" s="817"/>
      <c r="F24" s="521"/>
      <c r="G24" s="815"/>
      <c r="H24" s="815"/>
      <c r="I24" s="818"/>
      <c r="J24" s="818"/>
      <c r="K24" s="529"/>
      <c r="L24" s="529"/>
      <c r="M24" s="529"/>
      <c r="N24" s="546"/>
      <c r="O24" s="533"/>
      <c r="P24" s="545"/>
      <c r="Q24" s="545"/>
      <c r="R24" s="821"/>
      <c r="S24" s="815"/>
      <c r="T24" s="815"/>
      <c r="U24" s="529"/>
      <c r="V24" s="529"/>
      <c r="W24" s="815"/>
      <c r="X24" s="529"/>
      <c r="Y24" s="826"/>
      <c r="Z24" s="529"/>
      <c r="AA24" s="529"/>
      <c r="AB24" s="529"/>
      <c r="AC24" s="529"/>
      <c r="AD24" s="829"/>
      <c r="AE24" s="529"/>
      <c r="AF24" s="529"/>
      <c r="AG24" s="529"/>
      <c r="AH24" s="529"/>
      <c r="AI24" s="529"/>
      <c r="AJ24" s="529"/>
      <c r="AK24" s="529"/>
    </row>
    <row r="25" ht="28.5" customHeight="1" spans="1:37">
      <c r="A25" s="529"/>
      <c r="B25" s="814"/>
      <c r="C25" s="815"/>
      <c r="D25" s="815"/>
      <c r="E25" s="817"/>
      <c r="F25" s="521"/>
      <c r="G25" s="815"/>
      <c r="H25" s="815"/>
      <c r="I25" s="818"/>
      <c r="J25" s="818"/>
      <c r="K25" s="529"/>
      <c r="L25" s="529"/>
      <c r="M25" s="529"/>
      <c r="N25" s="546"/>
      <c r="O25" s="533"/>
      <c r="P25" s="545"/>
      <c r="Q25" s="545"/>
      <c r="R25" s="821"/>
      <c r="S25" s="815"/>
      <c r="T25" s="815"/>
      <c r="U25" s="529"/>
      <c r="V25" s="529"/>
      <c r="W25" s="815"/>
      <c r="X25" s="529"/>
      <c r="Y25" s="826"/>
      <c r="Z25" s="529"/>
      <c r="AA25" s="529"/>
      <c r="AB25" s="529"/>
      <c r="AC25" s="529"/>
      <c r="AD25" s="829"/>
      <c r="AE25" s="529"/>
      <c r="AF25" s="529"/>
      <c r="AG25" s="529"/>
      <c r="AH25" s="529"/>
      <c r="AI25" s="529"/>
      <c r="AJ25" s="529"/>
      <c r="AK25" s="529"/>
    </row>
    <row r="26" ht="28.5" customHeight="1" spans="1:37">
      <c r="A26" s="529"/>
      <c r="B26" s="814"/>
      <c r="C26" s="815"/>
      <c r="D26" s="815"/>
      <c r="E26" s="817"/>
      <c r="F26" s="521"/>
      <c r="G26" s="815"/>
      <c r="H26" s="815"/>
      <c r="I26" s="818"/>
      <c r="J26" s="818"/>
      <c r="K26" s="529"/>
      <c r="L26" s="529"/>
      <c r="M26" s="529"/>
      <c r="N26" s="546"/>
      <c r="O26" s="533"/>
      <c r="P26" s="545"/>
      <c r="Q26" s="545"/>
      <c r="R26" s="821"/>
      <c r="S26" s="815"/>
      <c r="T26" s="815"/>
      <c r="U26" s="529"/>
      <c r="V26" s="529"/>
      <c r="W26" s="815"/>
      <c r="X26" s="529"/>
      <c r="Y26" s="826"/>
      <c r="Z26" s="529"/>
      <c r="AA26" s="529"/>
      <c r="AB26" s="529"/>
      <c r="AC26" s="830"/>
      <c r="AD26" s="829"/>
      <c r="AE26" s="529"/>
      <c r="AF26" s="529"/>
      <c r="AG26" s="529"/>
      <c r="AH26" s="529"/>
      <c r="AI26" s="529"/>
      <c r="AJ26" s="529"/>
      <c r="AK26" s="529"/>
    </row>
    <row r="27" ht="28.5" customHeight="1" spans="1:37">
      <c r="A27" s="529"/>
      <c r="B27" s="814"/>
      <c r="C27" s="815"/>
      <c r="D27" s="815"/>
      <c r="E27" s="817"/>
      <c r="F27" s="521"/>
      <c r="G27" s="815"/>
      <c r="H27" s="815"/>
      <c r="I27" s="818"/>
      <c r="J27" s="818"/>
      <c r="K27" s="529"/>
      <c r="L27" s="529"/>
      <c r="M27" s="529"/>
      <c r="N27" s="546"/>
      <c r="O27" s="533"/>
      <c r="P27" s="545"/>
      <c r="Q27" s="545"/>
      <c r="R27" s="821"/>
      <c r="S27" s="815"/>
      <c r="T27" s="815"/>
      <c r="U27" s="529"/>
      <c r="V27" s="529"/>
      <c r="W27" s="815"/>
      <c r="X27" s="529"/>
      <c r="Y27" s="826"/>
      <c r="Z27" s="529"/>
      <c r="AA27" s="529"/>
      <c r="AB27" s="529"/>
      <c r="AC27" s="529"/>
      <c r="AD27" s="829"/>
      <c r="AE27" s="529"/>
      <c r="AF27" s="529"/>
      <c r="AG27" s="529"/>
      <c r="AH27" s="529"/>
      <c r="AI27" s="529"/>
      <c r="AJ27" s="529"/>
      <c r="AK27" s="529"/>
    </row>
    <row r="28" ht="28.5" customHeight="1" spans="1:37">
      <c r="A28" s="529"/>
      <c r="B28" s="814"/>
      <c r="C28" s="815"/>
      <c r="D28" s="815"/>
      <c r="E28" s="817"/>
      <c r="F28" s="521"/>
      <c r="G28" s="815"/>
      <c r="H28" s="815"/>
      <c r="I28" s="818"/>
      <c r="J28" s="818"/>
      <c r="K28" s="529"/>
      <c r="L28" s="529"/>
      <c r="M28" s="529"/>
      <c r="N28" s="546"/>
      <c r="O28" s="533"/>
      <c r="P28" s="545"/>
      <c r="Q28" s="545"/>
      <c r="R28" s="822"/>
      <c r="S28" s="815"/>
      <c r="T28" s="815"/>
      <c r="U28" s="529"/>
      <c r="V28" s="529"/>
      <c r="W28" s="815"/>
      <c r="X28" s="529"/>
      <c r="Y28" s="826"/>
      <c r="Z28" s="529"/>
      <c r="AA28" s="529"/>
      <c r="AB28" s="529"/>
      <c r="AC28" s="529"/>
      <c r="AD28" s="829"/>
      <c r="AE28" s="529"/>
      <c r="AF28" s="529"/>
      <c r="AG28" s="529"/>
      <c r="AH28" s="529"/>
      <c r="AI28" s="529"/>
      <c r="AJ28" s="529"/>
      <c r="AK28" s="529"/>
    </row>
    <row r="29" ht="28.5" customHeight="1" spans="1:37">
      <c r="A29" s="529"/>
      <c r="B29" s="814"/>
      <c r="C29" s="815"/>
      <c r="D29" s="815"/>
      <c r="E29" s="817"/>
      <c r="F29" s="521"/>
      <c r="G29" s="815"/>
      <c r="H29" s="815"/>
      <c r="I29" s="818"/>
      <c r="J29" s="818"/>
      <c r="K29" s="529"/>
      <c r="L29" s="529"/>
      <c r="M29" s="529"/>
      <c r="N29" s="546"/>
      <c r="O29" s="533"/>
      <c r="P29" s="545"/>
      <c r="Q29" s="545"/>
      <c r="R29" s="822"/>
      <c r="S29" s="815"/>
      <c r="T29" s="815"/>
      <c r="U29" s="529"/>
      <c r="V29" s="529"/>
      <c r="W29" s="815"/>
      <c r="X29" s="529"/>
      <c r="Y29" s="826"/>
      <c r="Z29" s="529"/>
      <c r="AA29" s="827"/>
      <c r="AB29" s="827"/>
      <c r="AC29" s="529"/>
      <c r="AD29" s="829"/>
      <c r="AE29" s="529"/>
      <c r="AF29" s="529"/>
      <c r="AG29" s="529"/>
      <c r="AH29" s="529"/>
      <c r="AI29" s="529"/>
      <c r="AJ29" s="529"/>
      <c r="AK29" s="529"/>
    </row>
    <row r="30" ht="28.5" customHeight="1" spans="1:37">
      <c r="A30" s="529"/>
      <c r="B30" s="814"/>
      <c r="C30" s="815"/>
      <c r="D30" s="815"/>
      <c r="E30" s="817"/>
      <c r="F30" s="521"/>
      <c r="G30" s="815"/>
      <c r="H30" s="815"/>
      <c r="I30" s="818"/>
      <c r="J30" s="818"/>
      <c r="K30" s="529"/>
      <c r="L30" s="529"/>
      <c r="M30" s="529"/>
      <c r="N30" s="546"/>
      <c r="O30" s="533"/>
      <c r="P30" s="545"/>
      <c r="Q30" s="545"/>
      <c r="R30" s="822"/>
      <c r="S30" s="815"/>
      <c r="T30" s="815"/>
      <c r="U30" s="529"/>
      <c r="V30" s="529"/>
      <c r="W30" s="815"/>
      <c r="X30" s="529"/>
      <c r="Y30" s="826"/>
      <c r="Z30" s="529"/>
      <c r="AA30" s="529"/>
      <c r="AB30" s="529"/>
      <c r="AC30" s="529"/>
      <c r="AD30" s="829"/>
      <c r="AE30" s="529"/>
      <c r="AF30" s="529"/>
      <c r="AG30" s="529"/>
      <c r="AH30" s="529"/>
      <c r="AI30" s="529"/>
      <c r="AJ30" s="529"/>
      <c r="AK30" s="529"/>
    </row>
    <row r="31" ht="28.5" customHeight="1" spans="1:37">
      <c r="A31" s="529"/>
      <c r="B31" s="814"/>
      <c r="C31" s="815"/>
      <c r="D31" s="815"/>
      <c r="E31" s="817"/>
      <c r="F31" s="521"/>
      <c r="G31" s="815"/>
      <c r="H31" s="815"/>
      <c r="I31" s="818"/>
      <c r="J31" s="818"/>
      <c r="K31" s="529"/>
      <c r="L31" s="529"/>
      <c r="M31" s="529"/>
      <c r="N31" s="546"/>
      <c r="O31" s="533"/>
      <c r="P31" s="545"/>
      <c r="Q31" s="545"/>
      <c r="R31" s="822"/>
      <c r="S31" s="815"/>
      <c r="T31" s="815"/>
      <c r="U31" s="529"/>
      <c r="V31" s="529"/>
      <c r="W31" s="815"/>
      <c r="X31" s="529"/>
      <c r="Y31" s="826"/>
      <c r="Z31" s="529"/>
      <c r="AA31" s="529"/>
      <c r="AB31" s="529"/>
      <c r="AC31" s="529"/>
      <c r="AD31" s="529"/>
      <c r="AE31" s="529"/>
      <c r="AF31" s="529"/>
      <c r="AG31" s="529"/>
      <c r="AH31" s="529"/>
      <c r="AI31" s="529"/>
      <c r="AJ31" s="529"/>
      <c r="AK31" s="529"/>
    </row>
    <row r="32" ht="28.5" customHeight="1" spans="1:37">
      <c r="A32" s="529"/>
      <c r="B32" s="814"/>
      <c r="C32" s="815"/>
      <c r="D32" s="815"/>
      <c r="E32" s="817"/>
      <c r="F32" s="521"/>
      <c r="G32" s="815"/>
      <c r="H32" s="815"/>
      <c r="I32" s="818"/>
      <c r="J32" s="818"/>
      <c r="K32" s="529"/>
      <c r="L32" s="529"/>
      <c r="M32" s="529"/>
      <c r="N32" s="546"/>
      <c r="O32" s="533"/>
      <c r="P32" s="545"/>
      <c r="Q32" s="545"/>
      <c r="R32" s="822"/>
      <c r="S32" s="815"/>
      <c r="T32" s="815"/>
      <c r="U32" s="529"/>
      <c r="V32" s="529"/>
      <c r="W32" s="815"/>
      <c r="X32" s="529"/>
      <c r="Y32" s="826"/>
      <c r="Z32" s="529"/>
      <c r="AA32" s="529"/>
      <c r="AB32" s="529"/>
      <c r="AC32" s="529"/>
      <c r="AD32" s="829"/>
      <c r="AE32" s="529"/>
      <c r="AF32" s="529"/>
      <c r="AG32" s="529"/>
      <c r="AH32" s="529"/>
      <c r="AI32" s="529"/>
      <c r="AJ32" s="529"/>
      <c r="AK32" s="529"/>
    </row>
    <row r="33" ht="28.5" customHeight="1" spans="1:37">
      <c r="A33" s="529"/>
      <c r="B33" s="814"/>
      <c r="C33" s="815"/>
      <c r="D33" s="815"/>
      <c r="E33" s="817"/>
      <c r="F33" s="521"/>
      <c r="G33" s="815"/>
      <c r="H33" s="815"/>
      <c r="I33" s="818"/>
      <c r="J33" s="818"/>
      <c r="K33" s="529"/>
      <c r="L33" s="529"/>
      <c r="M33" s="529"/>
      <c r="N33" s="546"/>
      <c r="O33" s="533"/>
      <c r="P33" s="545"/>
      <c r="Q33" s="545"/>
      <c r="R33" s="822"/>
      <c r="S33" s="815"/>
      <c r="T33" s="815"/>
      <c r="U33" s="529"/>
      <c r="V33" s="529"/>
      <c r="W33" s="815"/>
      <c r="X33" s="529"/>
      <c r="Y33" s="826"/>
      <c r="Z33" s="529"/>
      <c r="AA33" s="529"/>
      <c r="AB33" s="529"/>
      <c r="AC33" s="830"/>
      <c r="AD33" s="829"/>
      <c r="AE33" s="529"/>
      <c r="AF33" s="529"/>
      <c r="AG33" s="529"/>
      <c r="AH33" s="529"/>
      <c r="AI33" s="529"/>
      <c r="AJ33" s="529"/>
      <c r="AK33" s="529"/>
    </row>
    <row r="34" ht="28.5" customHeight="1" spans="1:37">
      <c r="A34" s="529"/>
      <c r="B34" s="814"/>
      <c r="C34" s="815"/>
      <c r="D34" s="815"/>
      <c r="E34" s="817"/>
      <c r="F34" s="521"/>
      <c r="G34" s="815"/>
      <c r="H34" s="815"/>
      <c r="I34" s="818"/>
      <c r="J34" s="818"/>
      <c r="K34" s="529"/>
      <c r="L34" s="529"/>
      <c r="M34" s="529"/>
      <c r="N34" s="546"/>
      <c r="O34" s="533"/>
      <c r="P34" s="545"/>
      <c r="Q34" s="545"/>
      <c r="R34" s="822"/>
      <c r="S34" s="815"/>
      <c r="T34" s="815"/>
      <c r="U34" s="529"/>
      <c r="V34" s="529"/>
      <c r="W34" s="815"/>
      <c r="X34" s="529"/>
      <c r="Y34" s="826"/>
      <c r="Z34" s="529"/>
      <c r="AA34" s="529"/>
      <c r="AB34" s="529"/>
      <c r="AC34" s="529"/>
      <c r="AD34" s="829"/>
      <c r="AE34" s="529"/>
      <c r="AF34" s="529"/>
      <c r="AG34" s="529"/>
      <c r="AH34" s="529"/>
      <c r="AI34" s="529"/>
      <c r="AJ34" s="529"/>
      <c r="AK34" s="529"/>
    </row>
    <row r="35" ht="28.5" customHeight="1" spans="1:37">
      <c r="A35" s="529"/>
      <c r="B35" s="814"/>
      <c r="C35" s="815"/>
      <c r="D35" s="815"/>
      <c r="E35" s="817"/>
      <c r="F35" s="521"/>
      <c r="G35" s="815"/>
      <c r="H35" s="815"/>
      <c r="I35" s="818"/>
      <c r="J35" s="818"/>
      <c r="K35" s="529"/>
      <c r="L35" s="529"/>
      <c r="M35" s="529"/>
      <c r="N35" s="546"/>
      <c r="O35" s="533"/>
      <c r="P35" s="545"/>
      <c r="Q35" s="545"/>
      <c r="R35" s="822"/>
      <c r="S35" s="815"/>
      <c r="T35" s="815"/>
      <c r="U35" s="529"/>
      <c r="V35" s="529"/>
      <c r="W35" s="815"/>
      <c r="X35" s="529"/>
      <c r="Y35" s="826"/>
      <c r="Z35" s="529"/>
      <c r="AA35" s="529"/>
      <c r="AB35" s="529"/>
      <c r="AC35" s="529"/>
      <c r="AD35" s="829"/>
      <c r="AE35" s="529"/>
      <c r="AF35" s="529"/>
      <c r="AG35" s="529"/>
      <c r="AH35" s="529"/>
      <c r="AI35" s="529"/>
      <c r="AJ35" s="529"/>
      <c r="AK35" s="529"/>
    </row>
    <row r="36" ht="28.5" customHeight="1" spans="1:37">
      <c r="A36" s="529"/>
      <c r="B36" s="814"/>
      <c r="C36" s="815"/>
      <c r="D36" s="815"/>
      <c r="E36" s="817"/>
      <c r="F36" s="521"/>
      <c r="G36" s="815"/>
      <c r="H36" s="815"/>
      <c r="I36" s="818"/>
      <c r="J36" s="818"/>
      <c r="K36" s="529"/>
      <c r="L36" s="529"/>
      <c r="M36" s="529"/>
      <c r="N36" s="546"/>
      <c r="O36" s="533"/>
      <c r="P36" s="545"/>
      <c r="Q36" s="545"/>
      <c r="R36" s="822"/>
      <c r="S36" s="815"/>
      <c r="T36" s="815"/>
      <c r="U36" s="529"/>
      <c r="V36" s="529"/>
      <c r="W36" s="815"/>
      <c r="X36" s="529"/>
      <c r="Y36" s="826"/>
      <c r="Z36" s="529"/>
      <c r="AA36" s="529"/>
      <c r="AB36" s="529"/>
      <c r="AC36" s="529"/>
      <c r="AD36" s="829"/>
      <c r="AE36" s="529"/>
      <c r="AF36" s="529"/>
      <c r="AG36" s="529"/>
      <c r="AH36" s="529"/>
      <c r="AI36" s="529"/>
      <c r="AJ36" s="529"/>
      <c r="AK36" s="529"/>
    </row>
    <row r="37" ht="28.5" customHeight="1" spans="1:37">
      <c r="A37" s="529"/>
      <c r="B37" s="814"/>
      <c r="C37" s="815"/>
      <c r="D37" s="815"/>
      <c r="E37" s="817"/>
      <c r="F37" s="521"/>
      <c r="G37" s="815"/>
      <c r="H37" s="815"/>
      <c r="I37" s="818"/>
      <c r="J37" s="818"/>
      <c r="K37" s="529"/>
      <c r="L37" s="529"/>
      <c r="M37" s="529"/>
      <c r="N37" s="546"/>
      <c r="O37" s="533"/>
      <c r="P37" s="545"/>
      <c r="Q37" s="545"/>
      <c r="R37" s="822"/>
      <c r="S37" s="815"/>
      <c r="T37" s="815"/>
      <c r="U37" s="529"/>
      <c r="V37" s="529"/>
      <c r="W37" s="815"/>
      <c r="X37" s="529"/>
      <c r="Y37" s="826"/>
      <c r="Z37" s="529"/>
      <c r="AA37" s="529"/>
      <c r="AB37" s="529"/>
      <c r="AC37" s="529"/>
      <c r="AD37" s="829"/>
      <c r="AE37" s="529"/>
      <c r="AF37" s="529"/>
      <c r="AG37" s="529"/>
      <c r="AH37" s="529"/>
      <c r="AI37" s="529"/>
      <c r="AJ37" s="529"/>
      <c r="AK37" s="529"/>
    </row>
    <row r="38" ht="28.5" customHeight="1" spans="1:37">
      <c r="A38" s="529"/>
      <c r="B38" s="814"/>
      <c r="C38" s="815"/>
      <c r="D38" s="815"/>
      <c r="E38" s="817"/>
      <c r="F38" s="521"/>
      <c r="G38" s="815"/>
      <c r="H38" s="815"/>
      <c r="I38" s="818"/>
      <c r="J38" s="818"/>
      <c r="K38" s="529"/>
      <c r="L38" s="529"/>
      <c r="M38" s="529"/>
      <c r="N38" s="546"/>
      <c r="O38" s="533"/>
      <c r="P38" s="545"/>
      <c r="Q38" s="545"/>
      <c r="R38" s="822"/>
      <c r="S38" s="815"/>
      <c r="T38" s="815"/>
      <c r="U38" s="529"/>
      <c r="V38" s="529"/>
      <c r="W38" s="815"/>
      <c r="X38" s="529"/>
      <c r="Y38" s="826"/>
      <c r="Z38" s="529"/>
      <c r="AA38" s="529"/>
      <c r="AB38" s="529"/>
      <c r="AC38" s="529"/>
      <c r="AD38" s="829"/>
      <c r="AE38" s="829"/>
      <c r="AF38" s="529"/>
      <c r="AG38" s="529"/>
      <c r="AH38" s="529"/>
      <c r="AI38" s="529"/>
      <c r="AJ38" s="529"/>
      <c r="AK38" s="529"/>
    </row>
    <row r="39" ht="28.5" customHeight="1" spans="1:37">
      <c r="A39" s="529"/>
      <c r="B39" s="814"/>
      <c r="C39" s="815"/>
      <c r="D39" s="815"/>
      <c r="E39" s="817"/>
      <c r="F39" s="521"/>
      <c r="G39" s="815"/>
      <c r="H39" s="815"/>
      <c r="I39" s="818"/>
      <c r="J39" s="818"/>
      <c r="K39" s="529"/>
      <c r="L39" s="529"/>
      <c r="M39" s="529"/>
      <c r="N39" s="546"/>
      <c r="O39" s="533"/>
      <c r="P39" s="545"/>
      <c r="Q39" s="545"/>
      <c r="R39" s="822"/>
      <c r="S39" s="815"/>
      <c r="T39" s="815"/>
      <c r="U39" s="529"/>
      <c r="V39" s="529"/>
      <c r="W39" s="815"/>
      <c r="X39" s="529"/>
      <c r="Y39" s="826"/>
      <c r="Z39" s="529"/>
      <c r="AA39" s="529"/>
      <c r="AB39" s="529"/>
      <c r="AC39" s="529"/>
      <c r="AD39" s="829"/>
      <c r="AE39" s="529"/>
      <c r="AF39" s="529"/>
      <c r="AG39" s="529"/>
      <c r="AH39" s="529"/>
      <c r="AI39" s="529"/>
      <c r="AJ39" s="529"/>
      <c r="AK39" s="529"/>
    </row>
    <row r="40" ht="28.5" customHeight="1" spans="1:37">
      <c r="A40" s="529"/>
      <c r="B40" s="814"/>
      <c r="C40" s="815"/>
      <c r="D40" s="815"/>
      <c r="E40" s="817"/>
      <c r="F40" s="521"/>
      <c r="G40" s="815"/>
      <c r="H40" s="815"/>
      <c r="I40" s="818"/>
      <c r="J40" s="818"/>
      <c r="K40" s="529"/>
      <c r="L40" s="529"/>
      <c r="M40" s="529"/>
      <c r="N40" s="546"/>
      <c r="O40" s="533"/>
      <c r="P40" s="545"/>
      <c r="Q40" s="545"/>
      <c r="R40" s="822"/>
      <c r="S40" s="815"/>
      <c r="T40" s="815"/>
      <c r="U40" s="529"/>
      <c r="V40" s="529"/>
      <c r="W40" s="815"/>
      <c r="X40" s="529"/>
      <c r="Y40" s="826"/>
      <c r="Z40" s="529"/>
      <c r="AA40" s="529"/>
      <c r="AB40" s="529"/>
      <c r="AC40" s="529"/>
      <c r="AD40" s="829"/>
      <c r="AE40" s="529"/>
      <c r="AF40" s="529"/>
      <c r="AG40" s="529"/>
      <c r="AH40" s="529"/>
      <c r="AI40" s="529"/>
      <c r="AJ40" s="529"/>
      <c r="AK40" s="529"/>
    </row>
    <row r="41" ht="28.5" customHeight="1" spans="1:37">
      <c r="A41" s="529"/>
      <c r="B41" s="814"/>
      <c r="C41" s="815"/>
      <c r="D41" s="815"/>
      <c r="E41" s="817"/>
      <c r="F41" s="521"/>
      <c r="G41" s="815"/>
      <c r="H41" s="815"/>
      <c r="I41" s="818"/>
      <c r="J41" s="818"/>
      <c r="K41" s="529"/>
      <c r="L41" s="529"/>
      <c r="M41" s="529"/>
      <c r="N41" s="546"/>
      <c r="O41" s="533"/>
      <c r="P41" s="545"/>
      <c r="Q41" s="545"/>
      <c r="R41" s="822"/>
      <c r="S41" s="815"/>
      <c r="T41" s="815"/>
      <c r="U41" s="529"/>
      <c r="V41" s="529"/>
      <c r="W41" s="815"/>
      <c r="X41" s="516"/>
      <c r="Y41" s="826"/>
      <c r="Z41" s="516"/>
      <c r="AA41" s="565"/>
      <c r="AB41" s="565"/>
      <c r="AC41" s="830"/>
      <c r="AD41" s="829"/>
      <c r="AE41" s="529"/>
      <c r="AF41" s="529"/>
      <c r="AG41" s="529"/>
      <c r="AH41" s="529"/>
      <c r="AI41" s="529"/>
      <c r="AJ41" s="529"/>
      <c r="AK41" s="529"/>
    </row>
    <row r="42" ht="28.5" customHeight="1" spans="1:37">
      <c r="A42" s="529"/>
      <c r="B42" s="814"/>
      <c r="C42" s="815"/>
      <c r="D42" s="815"/>
      <c r="E42" s="817"/>
      <c r="F42" s="521"/>
      <c r="G42" s="815"/>
      <c r="H42" s="815"/>
      <c r="I42" s="818"/>
      <c r="J42" s="818"/>
      <c r="K42" s="529"/>
      <c r="L42" s="529"/>
      <c r="M42" s="529"/>
      <c r="N42" s="546"/>
      <c r="O42" s="533"/>
      <c r="P42" s="545"/>
      <c r="Q42" s="545"/>
      <c r="R42" s="822"/>
      <c r="S42" s="815"/>
      <c r="T42" s="815"/>
      <c r="U42" s="529"/>
      <c r="V42" s="529"/>
      <c r="W42" s="815"/>
      <c r="X42" s="529"/>
      <c r="Y42" s="826"/>
      <c r="Z42" s="529"/>
      <c r="AA42" s="529"/>
      <c r="AB42" s="529"/>
      <c r="AC42" s="529"/>
      <c r="AD42" s="829"/>
      <c r="AE42" s="529"/>
      <c r="AF42" s="529"/>
      <c r="AG42" s="529"/>
      <c r="AH42" s="529"/>
      <c r="AI42" s="529"/>
      <c r="AJ42" s="529"/>
      <c r="AK42" s="529"/>
    </row>
    <row r="43" ht="28.5" customHeight="1" spans="1:37">
      <c r="A43" s="529"/>
      <c r="B43" s="814"/>
      <c r="C43" s="815"/>
      <c r="D43" s="815"/>
      <c r="E43" s="817"/>
      <c r="F43" s="521"/>
      <c r="G43" s="815"/>
      <c r="H43" s="815"/>
      <c r="I43" s="818"/>
      <c r="J43" s="818"/>
      <c r="K43" s="529"/>
      <c r="L43" s="529"/>
      <c r="M43" s="529"/>
      <c r="N43" s="546"/>
      <c r="O43" s="533"/>
      <c r="P43" s="545"/>
      <c r="Q43" s="545"/>
      <c r="R43" s="822"/>
      <c r="S43" s="815"/>
      <c r="T43" s="815"/>
      <c r="U43" s="529"/>
      <c r="V43" s="529"/>
      <c r="W43" s="815"/>
      <c r="X43" s="529"/>
      <c r="Y43" s="826"/>
      <c r="Z43" s="529"/>
      <c r="AA43" s="529"/>
      <c r="AB43" s="529"/>
      <c r="AC43" s="529"/>
      <c r="AD43" s="829"/>
      <c r="AE43" s="529"/>
      <c r="AF43" s="529"/>
      <c r="AG43" s="529"/>
      <c r="AH43" s="529"/>
      <c r="AI43" s="529"/>
      <c r="AJ43" s="529"/>
      <c r="AK43" s="529"/>
    </row>
    <row r="44" ht="28.5" customHeight="1" spans="1:37">
      <c r="A44" s="529"/>
      <c r="B44" s="814"/>
      <c r="C44" s="815"/>
      <c r="D44" s="815"/>
      <c r="E44" s="817"/>
      <c r="F44" s="521"/>
      <c r="G44" s="815"/>
      <c r="H44" s="815"/>
      <c r="I44" s="818"/>
      <c r="J44" s="818"/>
      <c r="K44" s="529"/>
      <c r="L44" s="529"/>
      <c r="M44" s="529"/>
      <c r="N44" s="546"/>
      <c r="O44" s="533"/>
      <c r="P44" s="545"/>
      <c r="Q44" s="545"/>
      <c r="R44" s="822"/>
      <c r="S44" s="815"/>
      <c r="T44" s="815"/>
      <c r="U44" s="529"/>
      <c r="V44" s="529"/>
      <c r="W44" s="815"/>
      <c r="X44" s="529"/>
      <c r="Y44" s="826"/>
      <c r="Z44" s="529"/>
      <c r="AA44" s="529"/>
      <c r="AB44" s="529"/>
      <c r="AC44" s="529"/>
      <c r="AD44" s="829"/>
      <c r="AE44" s="529"/>
      <c r="AF44" s="529"/>
      <c r="AG44" s="529"/>
      <c r="AH44" s="529"/>
      <c r="AI44" s="529"/>
      <c r="AJ44" s="529"/>
      <c r="AK44" s="529"/>
    </row>
    <row r="45" ht="28.5" customHeight="1" spans="1:37">
      <c r="A45" s="529"/>
      <c r="B45" s="814"/>
      <c r="C45" s="815"/>
      <c r="D45" s="815"/>
      <c r="E45" s="817"/>
      <c r="F45" s="521"/>
      <c r="G45" s="815"/>
      <c r="H45" s="815"/>
      <c r="I45" s="818"/>
      <c r="J45" s="818"/>
      <c r="K45" s="529"/>
      <c r="L45" s="529"/>
      <c r="M45" s="529"/>
      <c r="N45" s="546"/>
      <c r="O45" s="533"/>
      <c r="P45" s="545"/>
      <c r="Q45" s="545"/>
      <c r="R45" s="822"/>
      <c r="S45" s="815"/>
      <c r="T45" s="815"/>
      <c r="U45" s="529"/>
      <c r="V45" s="529"/>
      <c r="W45" s="815"/>
      <c r="X45" s="529"/>
      <c r="Y45" s="826"/>
      <c r="Z45" s="529"/>
      <c r="AA45" s="529"/>
      <c r="AB45" s="529"/>
      <c r="AC45" s="529"/>
      <c r="AD45" s="529"/>
      <c r="AE45" s="529"/>
      <c r="AF45" s="529"/>
      <c r="AG45" s="529"/>
      <c r="AH45" s="529"/>
      <c r="AI45" s="529"/>
      <c r="AJ45" s="529"/>
      <c r="AK45" s="529"/>
    </row>
    <row r="46" ht="28.5" customHeight="1" spans="1:37">
      <c r="A46" s="529"/>
      <c r="B46" s="814"/>
      <c r="C46" s="815"/>
      <c r="D46" s="815"/>
      <c r="E46" s="817"/>
      <c r="F46" s="521"/>
      <c r="G46" s="815"/>
      <c r="H46" s="815"/>
      <c r="I46" s="818"/>
      <c r="J46" s="818"/>
      <c r="K46" s="529"/>
      <c r="L46" s="529"/>
      <c r="M46" s="529"/>
      <c r="N46" s="546"/>
      <c r="O46" s="533"/>
      <c r="P46" s="545"/>
      <c r="Q46" s="545"/>
      <c r="R46" s="822"/>
      <c r="S46" s="815"/>
      <c r="T46" s="815"/>
      <c r="U46" s="529"/>
      <c r="V46" s="529"/>
      <c r="W46" s="815"/>
      <c r="X46" s="529"/>
      <c r="Y46" s="826"/>
      <c r="Z46" s="529"/>
      <c r="AA46" s="529"/>
      <c r="AB46" s="529"/>
      <c r="AC46" s="529"/>
      <c r="AD46" s="829"/>
      <c r="AE46" s="529"/>
      <c r="AF46" s="529"/>
      <c r="AG46" s="529"/>
      <c r="AH46" s="529"/>
      <c r="AI46" s="529"/>
      <c r="AJ46" s="529"/>
      <c r="AK46" s="529"/>
    </row>
    <row r="47" ht="28.5" customHeight="1" spans="1:37">
      <c r="A47" s="529"/>
      <c r="B47" s="814"/>
      <c r="C47" s="815"/>
      <c r="D47" s="815"/>
      <c r="E47" s="817"/>
      <c r="F47" s="521"/>
      <c r="G47" s="815"/>
      <c r="H47" s="815"/>
      <c r="I47" s="818"/>
      <c r="J47" s="818"/>
      <c r="K47" s="529"/>
      <c r="L47" s="529"/>
      <c r="M47" s="529"/>
      <c r="N47" s="546"/>
      <c r="O47" s="533"/>
      <c r="P47" s="545"/>
      <c r="Q47" s="545"/>
      <c r="R47" s="822"/>
      <c r="S47" s="815"/>
      <c r="T47" s="815"/>
      <c r="U47" s="529"/>
      <c r="V47" s="529"/>
      <c r="W47" s="815"/>
      <c r="X47" s="529"/>
      <c r="Y47" s="826"/>
      <c r="Z47" s="529"/>
      <c r="AA47" s="529"/>
      <c r="AB47" s="529"/>
      <c r="AC47" s="529"/>
      <c r="AD47" s="829"/>
      <c r="AE47" s="529"/>
      <c r="AF47" s="529"/>
      <c r="AG47" s="529"/>
      <c r="AH47" s="529"/>
      <c r="AI47" s="529"/>
      <c r="AJ47" s="529"/>
      <c r="AK47" s="529"/>
    </row>
    <row r="48" ht="28.5" customHeight="1" spans="1:37">
      <c r="A48" s="529"/>
      <c r="B48" s="814"/>
      <c r="C48" s="815"/>
      <c r="D48" s="815"/>
      <c r="E48" s="817"/>
      <c r="F48" s="521"/>
      <c r="G48" s="815"/>
      <c r="H48" s="815"/>
      <c r="I48" s="818"/>
      <c r="J48" s="818"/>
      <c r="K48" s="529"/>
      <c r="L48" s="529"/>
      <c r="M48" s="529"/>
      <c r="N48" s="546"/>
      <c r="O48" s="533"/>
      <c r="P48" s="545"/>
      <c r="Q48" s="545"/>
      <c r="R48" s="822"/>
      <c r="S48" s="815"/>
      <c r="T48" s="815"/>
      <c r="U48" s="529"/>
      <c r="V48" s="529"/>
      <c r="W48" s="815"/>
      <c r="X48" s="529"/>
      <c r="Y48" s="826"/>
      <c r="Z48" s="529"/>
      <c r="AA48" s="529"/>
      <c r="AB48" s="529"/>
      <c r="AC48" s="529"/>
      <c r="AD48" s="829"/>
      <c r="AE48" s="529"/>
      <c r="AF48" s="529"/>
      <c r="AG48" s="529"/>
      <c r="AH48" s="529"/>
      <c r="AI48" s="529"/>
      <c r="AJ48" s="529"/>
      <c r="AK48" s="529"/>
    </row>
    <row r="49" ht="28.5" customHeight="1" spans="1:37">
      <c r="A49" s="529"/>
      <c r="B49" s="814"/>
      <c r="C49" s="815"/>
      <c r="D49" s="815"/>
      <c r="E49" s="817"/>
      <c r="F49" s="521"/>
      <c r="G49" s="815"/>
      <c r="H49" s="815"/>
      <c r="I49" s="818"/>
      <c r="J49" s="818"/>
      <c r="K49" s="529"/>
      <c r="L49" s="529"/>
      <c r="M49" s="529"/>
      <c r="N49" s="546"/>
      <c r="O49" s="533"/>
      <c r="P49" s="545"/>
      <c r="Q49" s="545"/>
      <c r="R49" s="822"/>
      <c r="S49" s="815"/>
      <c r="T49" s="815"/>
      <c r="U49" s="529"/>
      <c r="V49" s="529"/>
      <c r="W49" s="815"/>
      <c r="X49" s="529"/>
      <c r="Y49" s="826"/>
      <c r="Z49" s="529"/>
      <c r="AA49" s="529"/>
      <c r="AB49" s="529"/>
      <c r="AC49" s="529"/>
      <c r="AD49" s="829"/>
      <c r="AE49" s="529"/>
      <c r="AF49" s="529"/>
      <c r="AG49" s="529"/>
      <c r="AH49" s="529"/>
      <c r="AI49" s="529"/>
      <c r="AJ49" s="529"/>
      <c r="AK49" s="529"/>
    </row>
    <row r="50" ht="28.5" customHeight="1" spans="1:37">
      <c r="A50" s="529"/>
      <c r="B50" s="814"/>
      <c r="C50" s="815"/>
      <c r="D50" s="815"/>
      <c r="E50" s="817"/>
      <c r="F50" s="521"/>
      <c r="G50" s="815"/>
      <c r="H50" s="815"/>
      <c r="I50" s="818"/>
      <c r="J50" s="818"/>
      <c r="K50" s="529"/>
      <c r="L50" s="529"/>
      <c r="M50" s="529"/>
      <c r="N50" s="546"/>
      <c r="O50" s="533"/>
      <c r="P50" s="545"/>
      <c r="Q50" s="545"/>
      <c r="R50" s="822"/>
      <c r="S50" s="815"/>
      <c r="T50" s="815"/>
      <c r="U50" s="529"/>
      <c r="V50" s="529"/>
      <c r="W50" s="815"/>
      <c r="X50" s="529"/>
      <c r="Y50" s="826"/>
      <c r="Z50" s="529"/>
      <c r="AA50" s="529"/>
      <c r="AB50" s="529"/>
      <c r="AC50" s="529"/>
      <c r="AD50" s="829"/>
      <c r="AE50" s="529"/>
      <c r="AF50" s="529"/>
      <c r="AG50" s="529"/>
      <c r="AH50" s="529"/>
      <c r="AI50" s="529"/>
      <c r="AJ50" s="529"/>
      <c r="AK50" s="529"/>
    </row>
    <row r="51" ht="28.5" customHeight="1" spans="1:37">
      <c r="A51" s="529"/>
      <c r="B51" s="814"/>
      <c r="C51" s="815"/>
      <c r="D51" s="815"/>
      <c r="E51" s="817"/>
      <c r="F51" s="521"/>
      <c r="G51" s="815"/>
      <c r="H51" s="815"/>
      <c r="I51" s="818"/>
      <c r="J51" s="818"/>
      <c r="K51" s="529"/>
      <c r="L51" s="529"/>
      <c r="M51" s="529"/>
      <c r="N51" s="546"/>
      <c r="O51" s="533"/>
      <c r="P51" s="545"/>
      <c r="Q51" s="545"/>
      <c r="R51" s="822"/>
      <c r="S51" s="815"/>
      <c r="T51" s="815"/>
      <c r="U51" s="529"/>
      <c r="V51" s="529"/>
      <c r="W51" s="815"/>
      <c r="X51" s="529"/>
      <c r="Y51" s="826"/>
      <c r="Z51" s="529"/>
      <c r="AA51" s="529"/>
      <c r="AB51" s="529"/>
      <c r="AC51" s="529"/>
      <c r="AD51" s="829"/>
      <c r="AE51" s="529"/>
      <c r="AF51" s="529"/>
      <c r="AG51" s="529"/>
      <c r="AH51" s="529"/>
      <c r="AI51" s="529"/>
      <c r="AJ51" s="529"/>
      <c r="AK51" s="529"/>
    </row>
    <row r="52" ht="28.5" customHeight="1" spans="1:37">
      <c r="A52" s="529"/>
      <c r="B52" s="814"/>
      <c r="C52" s="815"/>
      <c r="D52" s="815"/>
      <c r="E52" s="817"/>
      <c r="F52" s="521"/>
      <c r="G52" s="815"/>
      <c r="H52" s="815"/>
      <c r="I52" s="818"/>
      <c r="J52" s="818"/>
      <c r="K52" s="529"/>
      <c r="L52" s="529"/>
      <c r="M52" s="529"/>
      <c r="N52" s="546"/>
      <c r="O52" s="533"/>
      <c r="P52" s="545"/>
      <c r="Q52" s="545"/>
      <c r="R52" s="822"/>
      <c r="S52" s="815"/>
      <c r="T52" s="815"/>
      <c r="U52" s="529"/>
      <c r="V52" s="529"/>
      <c r="W52" s="815"/>
      <c r="X52" s="529"/>
      <c r="Y52" s="826"/>
      <c r="Z52" s="529"/>
      <c r="AA52" s="529"/>
      <c r="AB52" s="529"/>
      <c r="AC52" s="529"/>
      <c r="AD52" s="829"/>
      <c r="AE52" s="529"/>
      <c r="AF52" s="529"/>
      <c r="AG52" s="529"/>
      <c r="AH52" s="529"/>
      <c r="AI52" s="529"/>
      <c r="AJ52" s="529"/>
      <c r="AK52" s="529"/>
    </row>
    <row r="53" ht="28.5" customHeight="1" spans="1:37">
      <c r="A53" s="529"/>
      <c r="B53" s="814"/>
      <c r="C53" s="815"/>
      <c r="D53" s="815"/>
      <c r="E53" s="817"/>
      <c r="F53" s="521"/>
      <c r="G53" s="815"/>
      <c r="H53" s="815"/>
      <c r="I53" s="818"/>
      <c r="J53" s="818"/>
      <c r="K53" s="529"/>
      <c r="L53" s="529"/>
      <c r="M53" s="529"/>
      <c r="N53" s="546"/>
      <c r="O53" s="533"/>
      <c r="P53" s="545"/>
      <c r="Q53" s="545"/>
      <c r="R53" s="822"/>
      <c r="S53" s="815"/>
      <c r="T53" s="815"/>
      <c r="U53" s="529"/>
      <c r="V53" s="529"/>
      <c r="W53" s="815"/>
      <c r="X53" s="529"/>
      <c r="Y53" s="826"/>
      <c r="Z53" s="529"/>
      <c r="AA53" s="529"/>
      <c r="AB53" s="529"/>
      <c r="AC53" s="529"/>
      <c r="AD53" s="829"/>
      <c r="AE53" s="529"/>
      <c r="AF53" s="529"/>
      <c r="AG53" s="529"/>
      <c r="AH53" s="529"/>
      <c r="AI53" s="529"/>
      <c r="AJ53" s="529"/>
      <c r="AK53" s="529"/>
    </row>
    <row r="54" ht="28.5" customHeight="1" spans="1:37">
      <c r="A54" s="529"/>
      <c r="B54" s="814"/>
      <c r="C54" s="815"/>
      <c r="D54" s="815"/>
      <c r="E54" s="817"/>
      <c r="F54" s="521"/>
      <c r="G54" s="815"/>
      <c r="H54" s="815"/>
      <c r="I54" s="818"/>
      <c r="J54" s="818"/>
      <c r="K54" s="529"/>
      <c r="L54" s="529"/>
      <c r="M54" s="529"/>
      <c r="N54" s="546"/>
      <c r="O54" s="533"/>
      <c r="P54" s="545"/>
      <c r="Q54" s="545"/>
      <c r="R54" s="822"/>
      <c r="S54" s="815"/>
      <c r="T54" s="815"/>
      <c r="U54" s="529"/>
      <c r="V54" s="529"/>
      <c r="W54" s="815"/>
      <c r="X54" s="529"/>
      <c r="Y54" s="826"/>
      <c r="Z54" s="529"/>
      <c r="AA54" s="529"/>
      <c r="AB54" s="529"/>
      <c r="AC54" s="830"/>
      <c r="AD54" s="829"/>
      <c r="AE54" s="529"/>
      <c r="AF54" s="529"/>
      <c r="AG54" s="529"/>
      <c r="AH54" s="529"/>
      <c r="AI54" s="529"/>
      <c r="AJ54" s="529"/>
      <c r="AK54" s="529"/>
    </row>
    <row r="55" ht="28.5" customHeight="1" spans="1:37">
      <c r="A55" s="529"/>
      <c r="B55" s="814"/>
      <c r="C55" s="815"/>
      <c r="D55" s="815"/>
      <c r="E55" s="817"/>
      <c r="F55" s="521"/>
      <c r="G55" s="815"/>
      <c r="H55" s="815"/>
      <c r="I55" s="818"/>
      <c r="J55" s="818"/>
      <c r="K55" s="529"/>
      <c r="L55" s="529"/>
      <c r="M55" s="529"/>
      <c r="N55" s="546"/>
      <c r="O55" s="533"/>
      <c r="P55" s="545"/>
      <c r="Q55" s="545"/>
      <c r="R55" s="821"/>
      <c r="S55" s="815"/>
      <c r="T55" s="815"/>
      <c r="U55" s="529"/>
      <c r="V55" s="529"/>
      <c r="W55" s="815"/>
      <c r="X55" s="529"/>
      <c r="Y55" s="826"/>
      <c r="Z55" s="529"/>
      <c r="AA55" s="529"/>
      <c r="AB55" s="529"/>
      <c r="AC55" s="529"/>
      <c r="AD55" s="829"/>
      <c r="AE55" s="529"/>
      <c r="AF55" s="529"/>
      <c r="AG55" s="529"/>
      <c r="AH55" s="529"/>
      <c r="AI55" s="529"/>
      <c r="AJ55" s="529"/>
      <c r="AK55" s="529"/>
    </row>
    <row r="56" ht="28.5" customHeight="1" spans="1:37">
      <c r="A56" s="529"/>
      <c r="B56" s="814"/>
      <c r="C56" s="815"/>
      <c r="D56" s="815"/>
      <c r="E56" s="817"/>
      <c r="F56" s="521"/>
      <c r="G56" s="815"/>
      <c r="H56" s="815"/>
      <c r="I56" s="818"/>
      <c r="J56" s="818"/>
      <c r="K56" s="529"/>
      <c r="L56" s="529"/>
      <c r="M56" s="529"/>
      <c r="N56" s="546"/>
      <c r="O56" s="533"/>
      <c r="P56" s="545"/>
      <c r="Q56" s="545"/>
      <c r="R56" s="821"/>
      <c r="S56" s="815"/>
      <c r="T56" s="815"/>
      <c r="U56" s="529"/>
      <c r="V56" s="529"/>
      <c r="W56" s="815"/>
      <c r="X56" s="529"/>
      <c r="Y56" s="826"/>
      <c r="Z56" s="529"/>
      <c r="AA56" s="529"/>
      <c r="AB56" s="529"/>
      <c r="AC56" s="529"/>
      <c r="AD56" s="529"/>
      <c r="AE56" s="529"/>
      <c r="AF56" s="529"/>
      <c r="AG56" s="529"/>
      <c r="AH56" s="529"/>
      <c r="AI56" s="529"/>
      <c r="AJ56" s="529"/>
      <c r="AK56" s="529"/>
    </row>
    <row r="57" ht="28.5" customHeight="1" spans="1:37">
      <c r="A57" s="529"/>
      <c r="B57" s="814"/>
      <c r="C57" s="815"/>
      <c r="D57" s="815"/>
      <c r="E57" s="817"/>
      <c r="F57" s="521"/>
      <c r="G57" s="815"/>
      <c r="H57" s="815"/>
      <c r="I57" s="818"/>
      <c r="J57" s="818"/>
      <c r="K57" s="529"/>
      <c r="L57" s="529"/>
      <c r="M57" s="529"/>
      <c r="N57" s="546"/>
      <c r="O57" s="533"/>
      <c r="P57" s="545"/>
      <c r="Q57" s="545"/>
      <c r="R57" s="821"/>
      <c r="S57" s="815"/>
      <c r="T57" s="815"/>
      <c r="U57" s="529"/>
      <c r="V57" s="529"/>
      <c r="W57" s="815"/>
      <c r="X57" s="529"/>
      <c r="Y57" s="826"/>
      <c r="Z57" s="529"/>
      <c r="AA57" s="529"/>
      <c r="AB57" s="529"/>
      <c r="AC57" s="529"/>
      <c r="AD57" s="829"/>
      <c r="AE57" s="529"/>
      <c r="AF57" s="529"/>
      <c r="AG57" s="529"/>
      <c r="AH57" s="529"/>
      <c r="AI57" s="529"/>
      <c r="AJ57" s="529"/>
      <c r="AK57" s="529"/>
    </row>
    <row r="58" ht="28.5" customHeight="1" spans="1:37">
      <c r="A58" s="529"/>
      <c r="B58" s="814"/>
      <c r="C58" s="815"/>
      <c r="D58" s="815"/>
      <c r="E58" s="817"/>
      <c r="F58" s="521"/>
      <c r="G58" s="815"/>
      <c r="H58" s="815"/>
      <c r="I58" s="818"/>
      <c r="J58" s="818"/>
      <c r="K58" s="529"/>
      <c r="L58" s="529"/>
      <c r="M58" s="529"/>
      <c r="N58" s="546"/>
      <c r="O58" s="533"/>
      <c r="P58" s="545"/>
      <c r="Q58" s="545"/>
      <c r="R58" s="821"/>
      <c r="S58" s="815"/>
      <c r="T58" s="815"/>
      <c r="U58" s="529"/>
      <c r="V58" s="529"/>
      <c r="W58" s="815"/>
      <c r="X58" s="529"/>
      <c r="Y58" s="826"/>
      <c r="Z58" s="529"/>
      <c r="AA58" s="529"/>
      <c r="AB58" s="529"/>
      <c r="AC58" s="529"/>
      <c r="AD58" s="829"/>
      <c r="AE58" s="529"/>
      <c r="AF58" s="529"/>
      <c r="AG58" s="529"/>
      <c r="AH58" s="529"/>
      <c r="AI58" s="529"/>
      <c r="AJ58" s="529"/>
      <c r="AK58" s="529"/>
    </row>
    <row r="59" ht="28.5" customHeight="1" spans="1:37">
      <c r="A59" s="529"/>
      <c r="B59" s="814"/>
      <c r="C59" s="815"/>
      <c r="D59" s="815"/>
      <c r="E59" s="817"/>
      <c r="F59" s="521"/>
      <c r="G59" s="815"/>
      <c r="H59" s="815"/>
      <c r="I59" s="818"/>
      <c r="J59" s="818"/>
      <c r="K59" s="529"/>
      <c r="L59" s="529"/>
      <c r="M59" s="529"/>
      <c r="N59" s="546"/>
      <c r="O59" s="533"/>
      <c r="P59" s="545"/>
      <c r="Q59" s="545"/>
      <c r="R59" s="821"/>
      <c r="S59" s="815"/>
      <c r="T59" s="815"/>
      <c r="U59" s="529"/>
      <c r="V59" s="529"/>
      <c r="W59" s="815"/>
      <c r="X59" s="529"/>
      <c r="Y59" s="826"/>
      <c r="Z59" s="529"/>
      <c r="AA59" s="529"/>
      <c r="AB59" s="529"/>
      <c r="AC59" s="529"/>
      <c r="AD59" s="529"/>
      <c r="AE59" s="529"/>
      <c r="AF59" s="529"/>
      <c r="AG59" s="529"/>
      <c r="AH59" s="529"/>
      <c r="AI59" s="529"/>
      <c r="AJ59" s="529"/>
      <c r="AK59" s="529"/>
    </row>
    <row r="60" ht="28.5" customHeight="1" spans="1:37">
      <c r="A60" s="529"/>
      <c r="B60" s="814"/>
      <c r="C60" s="815"/>
      <c r="D60" s="815"/>
      <c r="E60" s="817"/>
      <c r="F60" s="521"/>
      <c r="G60" s="815"/>
      <c r="H60" s="815"/>
      <c r="I60" s="818"/>
      <c r="J60" s="818"/>
      <c r="K60" s="529"/>
      <c r="L60" s="529"/>
      <c r="M60" s="529"/>
      <c r="N60" s="546"/>
      <c r="O60" s="533"/>
      <c r="P60" s="545"/>
      <c r="Q60" s="545"/>
      <c r="R60" s="821"/>
      <c r="S60" s="815"/>
      <c r="T60" s="815"/>
      <c r="U60" s="529"/>
      <c r="V60" s="529"/>
      <c r="W60" s="815"/>
      <c r="X60" s="529"/>
      <c r="Y60" s="826"/>
      <c r="Z60" s="529"/>
      <c r="AA60" s="529"/>
      <c r="AB60" s="529"/>
      <c r="AC60" s="529"/>
      <c r="AD60" s="829"/>
      <c r="AE60" s="529"/>
      <c r="AF60" s="529"/>
      <c r="AG60" s="529"/>
      <c r="AH60" s="529"/>
      <c r="AI60" s="529"/>
      <c r="AJ60" s="529"/>
      <c r="AK60" s="529"/>
    </row>
    <row r="61" ht="28.5" customHeight="1" spans="1:37">
      <c r="A61" s="529"/>
      <c r="B61" s="814"/>
      <c r="C61" s="815"/>
      <c r="D61" s="815"/>
      <c r="E61" s="817"/>
      <c r="F61" s="521"/>
      <c r="G61" s="815"/>
      <c r="H61" s="815"/>
      <c r="I61" s="818"/>
      <c r="J61" s="818"/>
      <c r="K61" s="529"/>
      <c r="L61" s="529"/>
      <c r="M61" s="529"/>
      <c r="N61" s="546"/>
      <c r="O61" s="533"/>
      <c r="P61" s="545"/>
      <c r="Q61" s="545"/>
      <c r="R61" s="821"/>
      <c r="S61" s="815"/>
      <c r="T61" s="815"/>
      <c r="U61" s="529"/>
      <c r="V61" s="529"/>
      <c r="W61" s="815"/>
      <c r="X61" s="529"/>
      <c r="Y61" s="826"/>
      <c r="Z61" s="529"/>
      <c r="AA61" s="529"/>
      <c r="AB61" s="529"/>
      <c r="AC61" s="529"/>
      <c r="AD61" s="829"/>
      <c r="AE61" s="529"/>
      <c r="AF61" s="529"/>
      <c r="AG61" s="529"/>
      <c r="AH61" s="529"/>
      <c r="AI61" s="529"/>
      <c r="AJ61" s="529"/>
      <c r="AK61" s="529"/>
    </row>
    <row r="62" ht="28.5" customHeight="1" spans="1:37">
      <c r="A62" s="529"/>
      <c r="B62" s="814"/>
      <c r="C62" s="815"/>
      <c r="D62" s="815"/>
      <c r="E62" s="817"/>
      <c r="F62" s="521"/>
      <c r="G62" s="815"/>
      <c r="H62" s="815"/>
      <c r="I62" s="818"/>
      <c r="J62" s="818"/>
      <c r="K62" s="529"/>
      <c r="L62" s="529"/>
      <c r="M62" s="529"/>
      <c r="N62" s="546"/>
      <c r="O62" s="533"/>
      <c r="P62" s="545"/>
      <c r="Q62" s="545"/>
      <c r="R62" s="821"/>
      <c r="S62" s="815"/>
      <c r="T62" s="815"/>
      <c r="U62" s="529"/>
      <c r="V62" s="529"/>
      <c r="W62" s="815"/>
      <c r="X62" s="529"/>
      <c r="Y62" s="826"/>
      <c r="Z62" s="529"/>
      <c r="AA62" s="529"/>
      <c r="AB62" s="529"/>
      <c r="AC62" s="529"/>
      <c r="AD62" s="529"/>
      <c r="AE62" s="529"/>
      <c r="AF62" s="529"/>
      <c r="AG62" s="529"/>
      <c r="AH62" s="529"/>
      <c r="AI62" s="529"/>
      <c r="AJ62" s="529"/>
      <c r="AK62" s="529"/>
    </row>
    <row r="63" ht="28.5" customHeight="1" spans="1:37">
      <c r="A63" s="529"/>
      <c r="B63" s="814"/>
      <c r="C63" s="815"/>
      <c r="D63" s="815"/>
      <c r="E63" s="817"/>
      <c r="F63" s="521"/>
      <c r="G63" s="815"/>
      <c r="H63" s="815"/>
      <c r="I63" s="818"/>
      <c r="J63" s="818"/>
      <c r="K63" s="529"/>
      <c r="L63" s="529"/>
      <c r="M63" s="529"/>
      <c r="N63" s="546"/>
      <c r="O63" s="533"/>
      <c r="P63" s="545"/>
      <c r="Q63" s="545"/>
      <c r="R63" s="821"/>
      <c r="S63" s="815"/>
      <c r="T63" s="815"/>
      <c r="U63" s="529"/>
      <c r="V63" s="529"/>
      <c r="W63" s="815"/>
      <c r="X63" s="529"/>
      <c r="Y63" s="826"/>
      <c r="Z63" s="529"/>
      <c r="AA63" s="529"/>
      <c r="AB63" s="529"/>
      <c r="AC63" s="529"/>
      <c r="AD63" s="829"/>
      <c r="AE63" s="529"/>
      <c r="AF63" s="529"/>
      <c r="AG63" s="529"/>
      <c r="AH63" s="529"/>
      <c r="AI63" s="529"/>
      <c r="AJ63" s="529"/>
      <c r="AK63" s="529"/>
    </row>
    <row r="64" customHeight="1" spans="1:37">
      <c r="A64" s="529"/>
      <c r="B64" s="529"/>
      <c r="C64" s="529"/>
      <c r="D64" s="529"/>
      <c r="E64" s="521"/>
      <c r="F64" s="521"/>
      <c r="G64" s="529"/>
      <c r="H64" s="529"/>
      <c r="I64" s="529"/>
      <c r="J64" s="529"/>
      <c r="K64" s="529"/>
      <c r="L64" s="529"/>
      <c r="M64" s="529"/>
      <c r="N64" s="529"/>
      <c r="O64" s="529"/>
      <c r="P64" s="529"/>
      <c r="Q64" s="529"/>
      <c r="R64" s="814"/>
      <c r="S64" s="529"/>
      <c r="T64" s="529"/>
      <c r="U64" s="529"/>
      <c r="V64" s="529"/>
      <c r="W64" s="529"/>
      <c r="X64" s="529"/>
      <c r="Y64" s="826"/>
      <c r="Z64" s="529"/>
      <c r="AA64" s="529"/>
      <c r="AB64" s="529"/>
      <c r="AC64" s="529"/>
      <c r="AD64" s="529"/>
      <c r="AE64" s="529"/>
      <c r="AF64" s="529"/>
      <c r="AG64" s="529"/>
      <c r="AH64" s="529"/>
      <c r="AI64" s="529"/>
      <c r="AJ64" s="529"/>
      <c r="AK64" s="529"/>
    </row>
    <row r="65" customHeight="1" spans="1:37">
      <c r="A65" s="529"/>
      <c r="B65" s="529"/>
      <c r="C65" s="529"/>
      <c r="D65" s="529"/>
      <c r="E65" s="521"/>
      <c r="F65" s="521"/>
      <c r="G65" s="529"/>
      <c r="H65" s="529"/>
      <c r="I65" s="529"/>
      <c r="J65" s="529"/>
      <c r="K65" s="529"/>
      <c r="L65" s="529"/>
      <c r="M65" s="529"/>
      <c r="N65" s="529"/>
      <c r="O65" s="529"/>
      <c r="P65" s="529"/>
      <c r="Q65" s="529"/>
      <c r="R65" s="814"/>
      <c r="S65" s="529"/>
      <c r="T65" s="529"/>
      <c r="U65" s="529"/>
      <c r="V65" s="529"/>
      <c r="W65" s="529"/>
      <c r="X65" s="529"/>
      <c r="Y65" s="826"/>
      <c r="Z65" s="529"/>
      <c r="AA65" s="529"/>
      <c r="AB65" s="529"/>
      <c r="AC65" s="529"/>
      <c r="AD65" s="529"/>
      <c r="AE65" s="529"/>
      <c r="AF65" s="529"/>
      <c r="AG65" s="529"/>
      <c r="AH65" s="529"/>
      <c r="AI65" s="529"/>
      <c r="AJ65" s="529"/>
      <c r="AK65" s="529"/>
    </row>
    <row r="66" customHeight="1" spans="1:37">
      <c r="A66" s="529"/>
      <c r="B66" s="529"/>
      <c r="C66" s="529"/>
      <c r="D66" s="529"/>
      <c r="E66" s="521"/>
      <c r="F66" s="521"/>
      <c r="G66" s="529"/>
      <c r="H66" s="529"/>
      <c r="I66" s="529"/>
      <c r="J66" s="529"/>
      <c r="K66" s="529"/>
      <c r="L66" s="529"/>
      <c r="M66" s="529"/>
      <c r="N66" s="529"/>
      <c r="O66" s="529"/>
      <c r="P66" s="529"/>
      <c r="Q66" s="529"/>
      <c r="R66" s="814"/>
      <c r="S66" s="529"/>
      <c r="T66" s="529"/>
      <c r="U66" s="529"/>
      <c r="V66" s="529"/>
      <c r="W66" s="529"/>
      <c r="X66" s="529"/>
      <c r="Y66" s="826"/>
      <c r="Z66" s="529"/>
      <c r="AA66" s="529"/>
      <c r="AB66" s="529"/>
      <c r="AC66" s="529"/>
      <c r="AD66" s="529"/>
      <c r="AE66" s="529"/>
      <c r="AF66" s="529"/>
      <c r="AG66" s="529"/>
      <c r="AH66" s="529"/>
      <c r="AI66" s="529"/>
      <c r="AJ66" s="529"/>
      <c r="AK66" s="529"/>
    </row>
  </sheetData>
  <mergeCells count="30">
    <mergeCell ref="A1:K1"/>
    <mergeCell ref="A2:K2"/>
    <mergeCell ref="I4:J4"/>
    <mergeCell ref="L4:M4"/>
    <mergeCell ref="A4:A5"/>
    <mergeCell ref="B4:B5"/>
    <mergeCell ref="C4:C5"/>
    <mergeCell ref="D4:D5"/>
    <mergeCell ref="E4:E5"/>
    <mergeCell ref="F4:F5"/>
    <mergeCell ref="G4:G5"/>
    <mergeCell ref="H4:H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s>
  <conditionalFormatting sqref="N7:O63;O6">
    <cfRule type="expression" dxfId="1005" priority="1" stopIfTrue="1">
      <formula>IF($O6="warning",TRUE,FALSE)</formula>
    </cfRule>
  </conditionalFormatting>
  <conditionalFormatting sqref="N6">
    <cfRule type="expression" dxfId="1006" priority="2" stopIfTrue="1">
      <formula>IF($P6="warning",TRUE,FALSE)</formula>
    </cfRule>
  </conditionalFormatting>
  <pageMargins left="0.699305555555556" right="0.699305555555556"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2:AN60"/>
  <sheetViews>
    <sheetView workbookViewId="0">
      <pane xSplit="3" ySplit="8" topLeftCell="AA13" activePane="bottomRight" state="frozen"/>
      <selection/>
      <selection pane="topRight"/>
      <selection pane="bottomLeft"/>
      <selection pane="bottomRight" activeCell="C13" sqref="C13"/>
    </sheetView>
  </sheetViews>
  <sheetFormatPr defaultColWidth="9" defaultRowHeight="12.95" customHeight="1"/>
  <cols>
    <col min="1" max="1" width="3.70833333333333" style="93" customWidth="1"/>
    <col min="2" max="2" width="10.425" style="93" customWidth="1"/>
    <col min="3" max="3" width="26.2833333333333" style="832" customWidth="1"/>
    <col min="4" max="4" width="20.1416666666667" style="93" customWidth="1"/>
    <col min="5" max="5" width="5" style="91" customWidth="1"/>
    <col min="6" max="6" width="8.14166666666667" style="91" customWidth="1"/>
    <col min="7" max="8" width="12" style="93" customWidth="1"/>
    <col min="9" max="9" width="10.7083333333333" style="93" customWidth="1"/>
    <col min="10" max="10" width="9.28333333333333" style="93" customWidth="1"/>
    <col min="11" max="12" width="8.70833333333333" style="93" customWidth="1"/>
    <col min="13" max="17" width="8.56666666666667" style="93" customWidth="1"/>
    <col min="18" max="18" width="9" style="93" customWidth="1"/>
    <col min="19" max="19" width="9.85833333333333" style="93" customWidth="1"/>
    <col min="20" max="21" width="12.425" style="93" customWidth="1"/>
    <col min="22" max="22" width="6.56666666666667" style="93" customWidth="1"/>
    <col min="23" max="23" width="6.85833333333333" style="93" customWidth="1"/>
    <col min="24" max="24" width="12.425" style="93" customWidth="1"/>
    <col min="25" max="25" width="23.425" style="93" customWidth="1"/>
    <col min="26" max="26" width="25.425" style="93" customWidth="1"/>
    <col min="27" max="27" width="14.425" style="570" customWidth="1"/>
    <col min="28" max="28" width="15" style="570" customWidth="1"/>
    <col min="29" max="29" width="16.8583333333333" style="570" customWidth="1"/>
    <col min="30" max="31" width="13" style="570" customWidth="1"/>
    <col min="32" max="32" width="20.425" style="570" customWidth="1"/>
    <col min="33" max="33" width="22.1416666666667" style="570" customWidth="1"/>
    <col min="34" max="34" width="19.2833333333333" style="570" customWidth="1"/>
    <col min="35" max="35" width="9.14166666666667" style="570"/>
    <col min="36" max="16384" width="9.14166666666667" style="93"/>
  </cols>
  <sheetData>
    <row r="2" s="91" customFormat="1" customHeight="1" spans="1:35">
      <c r="A2" s="97" t="s">
        <v>7926</v>
      </c>
      <c r="B2" s="812"/>
      <c r="C2" s="812"/>
      <c r="D2" s="812"/>
      <c r="E2" s="812"/>
      <c r="F2" s="812"/>
      <c r="G2" s="812"/>
      <c r="H2" s="812"/>
      <c r="I2" s="812"/>
      <c r="J2" s="812"/>
      <c r="K2" s="812"/>
      <c r="L2" s="812"/>
      <c r="M2" s="97"/>
      <c r="N2" s="97"/>
      <c r="O2" s="97"/>
      <c r="P2" s="97"/>
      <c r="Q2" s="97"/>
      <c r="R2" s="97"/>
      <c r="S2" s="97"/>
      <c r="T2" s="97"/>
      <c r="U2" s="97"/>
      <c r="V2" s="97"/>
      <c r="W2" s="97"/>
      <c r="X2" s="97"/>
      <c r="Y2" s="97"/>
      <c r="Z2" s="97"/>
      <c r="AA2" s="720"/>
      <c r="AB2" s="720"/>
      <c r="AC2" s="720"/>
      <c r="AD2" s="720"/>
      <c r="AE2" s="720"/>
      <c r="AF2" s="213"/>
      <c r="AG2" s="213"/>
      <c r="AH2" s="213"/>
      <c r="AI2" s="213"/>
    </row>
    <row r="3" s="91" customFormat="1" customHeight="1" spans="1:35">
      <c r="A3" s="97" t="s">
        <v>7950</v>
      </c>
      <c r="B3" s="812"/>
      <c r="C3" s="812"/>
      <c r="D3" s="812"/>
      <c r="E3" s="812"/>
      <c r="F3" s="812"/>
      <c r="G3" s="812"/>
      <c r="H3" s="812"/>
      <c r="I3" s="812"/>
      <c r="J3" s="812"/>
      <c r="K3" s="812"/>
      <c r="L3" s="812"/>
      <c r="M3" s="97"/>
      <c r="N3" s="97"/>
      <c r="O3" s="97"/>
      <c r="P3" s="97"/>
      <c r="Q3" s="97"/>
      <c r="R3" s="97"/>
      <c r="S3" s="97"/>
      <c r="T3" s="97"/>
      <c r="U3" s="97"/>
      <c r="V3" s="97"/>
      <c r="W3" s="97"/>
      <c r="X3" s="97"/>
      <c r="Y3" s="97"/>
      <c r="Z3" s="97"/>
      <c r="AA3" s="720"/>
      <c r="AB3" s="720"/>
      <c r="AC3" s="720"/>
      <c r="AD3" s="720"/>
      <c r="AE3" s="720"/>
      <c r="AF3" s="213"/>
      <c r="AG3" s="213"/>
      <c r="AH3" s="213"/>
      <c r="AI3" s="213"/>
    </row>
    <row r="4" s="91" customFormat="1" customHeight="1" spans="1:35">
      <c r="A4" s="97"/>
      <c r="B4" s="812"/>
      <c r="C4" s="833"/>
      <c r="D4" s="812"/>
      <c r="E4" s="812"/>
      <c r="F4" s="812"/>
      <c r="G4" s="812"/>
      <c r="H4" s="812"/>
      <c r="I4" s="812"/>
      <c r="J4" s="812"/>
      <c r="K4" s="812"/>
      <c r="L4" s="812"/>
      <c r="M4" s="97"/>
      <c r="N4" s="97"/>
      <c r="O4" s="97"/>
      <c r="P4" s="97"/>
      <c r="Q4" s="97"/>
      <c r="R4" s="97"/>
      <c r="S4" s="97"/>
      <c r="T4" s="97"/>
      <c r="U4" s="97"/>
      <c r="V4" s="97"/>
      <c r="W4" s="97"/>
      <c r="X4" s="97"/>
      <c r="Y4" s="97"/>
      <c r="Z4" s="97"/>
      <c r="AA4" s="720"/>
      <c r="AB4" s="720"/>
      <c r="AC4" s="720"/>
      <c r="AD4" s="720"/>
      <c r="AE4" s="720"/>
      <c r="AF4" s="213"/>
      <c r="AG4" s="213"/>
      <c r="AH4" s="213"/>
      <c r="AI4" s="213"/>
    </row>
    <row r="5" s="91" customFormat="1" customHeight="1" spans="1:35">
      <c r="A5" s="97"/>
      <c r="B5" s="812"/>
      <c r="C5" s="833"/>
      <c r="D5" s="812"/>
      <c r="E5" s="812"/>
      <c r="F5" s="812"/>
      <c r="G5" s="812"/>
      <c r="H5" s="812"/>
      <c r="I5" s="812"/>
      <c r="J5" s="812"/>
      <c r="K5" s="812"/>
      <c r="L5" s="812"/>
      <c r="M5" s="97"/>
      <c r="N5" s="97"/>
      <c r="O5" s="97"/>
      <c r="P5" s="97"/>
      <c r="Q5" s="97"/>
      <c r="R5" s="97"/>
      <c r="S5" s="97"/>
      <c r="T5" s="97"/>
      <c r="U5" s="97"/>
      <c r="V5" s="97"/>
      <c r="W5" s="97"/>
      <c r="X5" s="97"/>
      <c r="Y5" s="97"/>
      <c r="Z5" s="97"/>
      <c r="AA5" s="720"/>
      <c r="AB5" s="720"/>
      <c r="AC5" s="720"/>
      <c r="AD5" s="720"/>
      <c r="AE5" s="720"/>
      <c r="AF5" s="213"/>
      <c r="AG5" s="213"/>
      <c r="AH5" s="213"/>
      <c r="AI5" s="213"/>
    </row>
    <row r="6" s="91" customFormat="1" customHeight="1" spans="1:35">
      <c r="A6" s="97"/>
      <c r="B6" s="97"/>
      <c r="C6" s="834"/>
      <c r="D6" s="97"/>
      <c r="E6" s="97"/>
      <c r="F6" s="97"/>
      <c r="G6" s="97"/>
      <c r="H6" s="97"/>
      <c r="I6" s="97"/>
      <c r="J6" s="97"/>
      <c r="K6" s="97"/>
      <c r="L6" s="97"/>
      <c r="M6" s="97"/>
      <c r="N6" s="97"/>
      <c r="O6" s="97"/>
      <c r="P6" s="97"/>
      <c r="Q6" s="97"/>
      <c r="R6" s="97"/>
      <c r="S6" s="97"/>
      <c r="T6" s="97"/>
      <c r="U6" s="97"/>
      <c r="V6" s="97"/>
      <c r="W6" s="97"/>
      <c r="X6" s="97"/>
      <c r="Y6" s="97"/>
      <c r="AA6" s="213"/>
      <c r="AB6" s="213"/>
      <c r="AC6" s="213"/>
      <c r="AD6" s="213"/>
      <c r="AE6" s="213"/>
      <c r="AF6" s="213"/>
      <c r="AG6" s="213"/>
      <c r="AH6" s="213"/>
      <c r="AI6" s="213"/>
    </row>
    <row r="7" s="91" customFormat="1" ht="19.5" customHeight="1" spans="1:35">
      <c r="A7" s="98" t="s">
        <v>0</v>
      </c>
      <c r="B7" s="98" t="s">
        <v>1</v>
      </c>
      <c r="C7" s="98" t="s">
        <v>2</v>
      </c>
      <c r="D7" s="98" t="s">
        <v>3</v>
      </c>
      <c r="E7" s="124" t="s">
        <v>7928</v>
      </c>
      <c r="F7" s="98" t="s">
        <v>7929</v>
      </c>
      <c r="G7" s="98" t="s">
        <v>8</v>
      </c>
      <c r="H7" s="124" t="s">
        <v>7930</v>
      </c>
      <c r="I7" s="174" t="s">
        <v>9</v>
      </c>
      <c r="J7" s="186"/>
      <c r="K7" s="174" t="s">
        <v>10</v>
      </c>
      <c r="L7" s="532"/>
      <c r="M7" s="532"/>
      <c r="N7" s="186"/>
      <c r="O7" s="174" t="s">
        <v>11</v>
      </c>
      <c r="P7" s="186"/>
      <c r="Q7" s="535" t="s">
        <v>10</v>
      </c>
      <c r="R7" s="98" t="s">
        <v>14</v>
      </c>
      <c r="S7" s="103" t="s">
        <v>15</v>
      </c>
      <c r="T7" s="103" t="s">
        <v>7951</v>
      </c>
      <c r="U7" s="103" t="s">
        <v>7952</v>
      </c>
      <c r="V7" s="98" t="s">
        <v>25</v>
      </c>
      <c r="W7" s="98" t="s">
        <v>26</v>
      </c>
      <c r="X7" s="98" t="s">
        <v>7953</v>
      </c>
      <c r="Y7" s="103" t="s">
        <v>15</v>
      </c>
      <c r="Z7" s="117" t="s">
        <v>28</v>
      </c>
      <c r="AA7" s="597" t="s">
        <v>29</v>
      </c>
      <c r="AB7" s="216" t="s">
        <v>31</v>
      </c>
      <c r="AC7" s="216" t="s">
        <v>32</v>
      </c>
      <c r="AD7" s="216" t="s">
        <v>7934</v>
      </c>
      <c r="AE7" s="226" t="s">
        <v>7935</v>
      </c>
      <c r="AF7" s="216" t="s">
        <v>30</v>
      </c>
      <c r="AG7" s="217" t="s">
        <v>7936</v>
      </c>
      <c r="AH7" s="226" t="s">
        <v>36</v>
      </c>
      <c r="AI7" s="213"/>
    </row>
    <row r="8" s="91" customFormat="1" ht="21" customHeight="1" spans="1:35">
      <c r="A8" s="672"/>
      <c r="B8" s="672"/>
      <c r="C8" s="791"/>
      <c r="D8" s="672"/>
      <c r="E8" s="816"/>
      <c r="F8" s="672"/>
      <c r="G8" s="672"/>
      <c r="H8" s="816"/>
      <c r="I8" s="98" t="s">
        <v>37</v>
      </c>
      <c r="J8" s="98" t="s">
        <v>38</v>
      </c>
      <c r="K8" s="98">
        <v>1</v>
      </c>
      <c r="L8" s="98">
        <v>2</v>
      </c>
      <c r="M8" s="98">
        <v>3</v>
      </c>
      <c r="N8" s="98">
        <v>4</v>
      </c>
      <c r="O8" s="98" t="s">
        <v>37</v>
      </c>
      <c r="P8" s="98" t="s">
        <v>38</v>
      </c>
      <c r="Q8" s="672">
        <v>1</v>
      </c>
      <c r="R8" s="672"/>
      <c r="S8" s="706"/>
      <c r="T8" s="706"/>
      <c r="U8" s="706"/>
      <c r="V8" s="710"/>
      <c r="W8" s="820"/>
      <c r="X8" s="820"/>
      <c r="Y8" s="706"/>
      <c r="Z8" s="717"/>
      <c r="AA8" s="721"/>
      <c r="AB8" s="722"/>
      <c r="AC8" s="722"/>
      <c r="AD8" s="722"/>
      <c r="AE8" s="727"/>
      <c r="AF8" s="722"/>
      <c r="AG8" s="858"/>
      <c r="AH8" s="859"/>
      <c r="AI8" s="213"/>
    </row>
    <row r="9" ht="28.5" customHeight="1" spans="1:40">
      <c r="A9" s="1578" t="s">
        <v>39</v>
      </c>
      <c r="B9" s="466" t="s">
        <v>7954</v>
      </c>
      <c r="C9" s="835" t="s">
        <v>7955</v>
      </c>
      <c r="D9" s="793" t="s">
        <v>7956</v>
      </c>
      <c r="E9" s="700" t="s">
        <v>43</v>
      </c>
      <c r="F9" s="432" t="s">
        <v>254</v>
      </c>
      <c r="G9" s="793" t="s">
        <v>7957</v>
      </c>
      <c r="H9" s="700" t="s">
        <v>920</v>
      </c>
      <c r="I9" s="704">
        <v>42800</v>
      </c>
      <c r="J9" s="704">
        <v>42921</v>
      </c>
      <c r="K9" s="704">
        <v>43013</v>
      </c>
      <c r="L9" s="704">
        <v>43190</v>
      </c>
      <c r="M9" s="704">
        <v>43529</v>
      </c>
      <c r="N9" s="849" t="s">
        <v>604</v>
      </c>
      <c r="O9" s="704">
        <v>43530</v>
      </c>
      <c r="P9" s="849">
        <v>43555</v>
      </c>
      <c r="Q9" s="704"/>
      <c r="R9" s="640">
        <f ca="1" t="shared" ref="R9:R11" si="0">SUM(P9-NOW())</f>
        <v>282.61546296296</v>
      </c>
      <c r="S9" s="121" t="str">
        <f ca="1" t="shared" ref="S9:S11" si="1">IF(R9&lt;=40,"WARNING","ACTIVE")</f>
        <v>ACTIVE</v>
      </c>
      <c r="T9" s="852">
        <v>15000000</v>
      </c>
      <c r="U9" s="800">
        <v>1000000</v>
      </c>
      <c r="V9" s="802" t="s">
        <v>112</v>
      </c>
      <c r="W9" s="700" t="s">
        <v>113</v>
      </c>
      <c r="X9" s="700" t="s">
        <v>7958</v>
      </c>
      <c r="Y9" s="807" t="s">
        <v>7959</v>
      </c>
      <c r="Z9" s="793" t="s">
        <v>7960</v>
      </c>
      <c r="AA9" s="122" t="s">
        <v>7961</v>
      </c>
      <c r="AB9" s="122" t="s">
        <v>7962</v>
      </c>
      <c r="AC9" s="122" t="s">
        <v>7963</v>
      </c>
      <c r="AD9" s="122"/>
      <c r="AE9" s="122"/>
      <c r="AF9" s="122" t="s">
        <v>7964</v>
      </c>
      <c r="AG9" s="128" t="s">
        <v>7965</v>
      </c>
      <c r="AH9" s="122"/>
      <c r="AI9" s="856"/>
      <c r="AJ9" s="529"/>
      <c r="AK9" s="529"/>
      <c r="AL9" s="529"/>
      <c r="AM9" s="529"/>
      <c r="AN9" s="529"/>
    </row>
    <row r="10" ht="28.5" customHeight="1" spans="1:40">
      <c r="A10" s="1578" t="s">
        <v>56</v>
      </c>
      <c r="B10" s="466" t="s">
        <v>7966</v>
      </c>
      <c r="C10" s="835" t="s">
        <v>7967</v>
      </c>
      <c r="D10" s="793" t="s">
        <v>7968</v>
      </c>
      <c r="E10" s="700" t="s">
        <v>43</v>
      </c>
      <c r="F10" s="432" t="s">
        <v>254</v>
      </c>
      <c r="G10" s="793" t="s">
        <v>7969</v>
      </c>
      <c r="H10" s="700" t="s">
        <v>920</v>
      </c>
      <c r="I10" s="704">
        <v>42819</v>
      </c>
      <c r="J10" s="704">
        <v>42940</v>
      </c>
      <c r="K10" s="704">
        <v>43032</v>
      </c>
      <c r="L10" s="704">
        <v>43190</v>
      </c>
      <c r="M10" s="704">
        <v>43548</v>
      </c>
      <c r="N10" s="704"/>
      <c r="O10" s="704">
        <v>43549</v>
      </c>
      <c r="P10" s="849">
        <v>43555</v>
      </c>
      <c r="Q10" s="847" t="s">
        <v>604</v>
      </c>
      <c r="R10" s="640">
        <f ca="1" t="shared" si="0"/>
        <v>282.61546296296</v>
      </c>
      <c r="S10" s="121" t="str">
        <f ca="1" t="shared" si="1"/>
        <v>ACTIVE</v>
      </c>
      <c r="T10" s="853">
        <v>8000000</v>
      </c>
      <c r="U10" s="800"/>
      <c r="V10" s="802" t="s">
        <v>112</v>
      </c>
      <c r="W10" s="700" t="s">
        <v>113</v>
      </c>
      <c r="X10" s="700" t="s">
        <v>7958</v>
      </c>
      <c r="Y10" s="487" t="s">
        <v>7970</v>
      </c>
      <c r="Z10" s="793" t="s">
        <v>7971</v>
      </c>
      <c r="AA10" s="122" t="s">
        <v>7972</v>
      </c>
      <c r="AB10" s="1579" t="s">
        <v>7973</v>
      </c>
      <c r="AC10" s="122" t="s">
        <v>7974</v>
      </c>
      <c r="AD10" s="122"/>
      <c r="AE10" s="1579" t="s">
        <v>7975</v>
      </c>
      <c r="AF10" s="122" t="s">
        <v>7976</v>
      </c>
      <c r="AG10" s="128" t="s">
        <v>7977</v>
      </c>
      <c r="AH10" s="122"/>
      <c r="AI10" s="856"/>
      <c r="AJ10" s="529"/>
      <c r="AK10" s="529"/>
      <c r="AL10" s="529"/>
      <c r="AM10" s="529"/>
      <c r="AN10" s="529"/>
    </row>
    <row r="11" s="459" customFormat="1" ht="28.5" customHeight="1" spans="1:40">
      <c r="A11" s="1580" t="s">
        <v>68</v>
      </c>
      <c r="B11" s="467" t="s">
        <v>7978</v>
      </c>
      <c r="C11" s="836" t="s">
        <v>7979</v>
      </c>
      <c r="D11" s="795" t="s">
        <v>7980</v>
      </c>
      <c r="E11" s="764" t="s">
        <v>43</v>
      </c>
      <c r="F11" s="180" t="s">
        <v>254</v>
      </c>
      <c r="G11" s="795" t="s">
        <v>7969</v>
      </c>
      <c r="H11" s="764" t="s">
        <v>920</v>
      </c>
      <c r="I11" s="768">
        <v>42819</v>
      </c>
      <c r="J11" s="768">
        <v>42940</v>
      </c>
      <c r="K11" s="768">
        <v>43032</v>
      </c>
      <c r="L11" s="768">
        <v>43190</v>
      </c>
      <c r="M11" s="768">
        <v>43548</v>
      </c>
      <c r="N11" s="768"/>
      <c r="O11" s="768">
        <v>43184</v>
      </c>
      <c r="P11" s="850">
        <v>43555</v>
      </c>
      <c r="Q11" s="849" t="s">
        <v>604</v>
      </c>
      <c r="R11" s="641">
        <f ca="1" t="shared" si="0"/>
        <v>282.61546296296</v>
      </c>
      <c r="S11" s="187" t="str">
        <f ca="1" t="shared" si="1"/>
        <v>ACTIVE</v>
      </c>
      <c r="T11" s="854">
        <v>8000000</v>
      </c>
      <c r="U11" s="801"/>
      <c r="V11" s="805" t="s">
        <v>112</v>
      </c>
      <c r="W11" s="764" t="s">
        <v>113</v>
      </c>
      <c r="X11" s="764" t="s">
        <v>7958</v>
      </c>
      <c r="Y11" s="855" t="s">
        <v>7981</v>
      </c>
      <c r="Z11" s="795" t="s">
        <v>7982</v>
      </c>
      <c r="AA11" s="224" t="s">
        <v>7983</v>
      </c>
      <c r="AB11" s="1581" t="s">
        <v>7984</v>
      </c>
      <c r="AC11" s="224" t="s">
        <v>7985</v>
      </c>
      <c r="AD11" s="1581" t="s">
        <v>7986</v>
      </c>
      <c r="AE11" s="224"/>
      <c r="AF11" s="224" t="s">
        <v>7987</v>
      </c>
      <c r="AG11" s="224" t="s">
        <v>7988</v>
      </c>
      <c r="AH11" s="224" t="s">
        <v>7989</v>
      </c>
      <c r="AI11" s="860"/>
      <c r="AJ11" s="861"/>
      <c r="AK11" s="861"/>
      <c r="AL11" s="861"/>
      <c r="AM11" s="861"/>
      <c r="AN11" s="861"/>
    </row>
    <row r="12" ht="28.5" customHeight="1" spans="1:40">
      <c r="A12" s="1578" t="s">
        <v>78</v>
      </c>
      <c r="B12" s="466" t="s">
        <v>7990</v>
      </c>
      <c r="C12" s="835" t="s">
        <v>7991</v>
      </c>
      <c r="D12" s="793" t="s">
        <v>7992</v>
      </c>
      <c r="E12" s="700" t="s">
        <v>43</v>
      </c>
      <c r="F12" s="432" t="s">
        <v>254</v>
      </c>
      <c r="G12" s="793" t="s">
        <v>7993</v>
      </c>
      <c r="H12" s="700" t="s">
        <v>920</v>
      </c>
      <c r="I12" s="704">
        <v>42893</v>
      </c>
      <c r="J12" s="704">
        <v>42984</v>
      </c>
      <c r="K12" s="704">
        <v>43075</v>
      </c>
      <c r="L12" s="744">
        <v>43190</v>
      </c>
      <c r="M12" s="704">
        <v>43555</v>
      </c>
      <c r="N12" s="847" t="s">
        <v>604</v>
      </c>
      <c r="O12" s="704"/>
      <c r="P12" s="432"/>
      <c r="Q12" s="432"/>
      <c r="R12" s="640">
        <f ca="1" t="shared" ref="R12:R16" si="2">SUM(M12-NOW())</f>
        <v>282.61546296296</v>
      </c>
      <c r="S12" s="121" t="str">
        <f ca="1" t="shared" ref="S12:S22" si="3">IF(R12&lt;=40,"WARNING","ACTIVE")</f>
        <v>ACTIVE</v>
      </c>
      <c r="T12" s="853">
        <v>7500000</v>
      </c>
      <c r="U12" s="800"/>
      <c r="V12" s="802" t="s">
        <v>112</v>
      </c>
      <c r="W12" s="700" t="s">
        <v>113</v>
      </c>
      <c r="X12" s="700" t="s">
        <v>7958</v>
      </c>
      <c r="Y12" s="487" t="s">
        <v>7970</v>
      </c>
      <c r="Z12" s="793" t="s">
        <v>7994</v>
      </c>
      <c r="AA12" s="122" t="s">
        <v>7995</v>
      </c>
      <c r="AB12" s="122" t="s">
        <v>7996</v>
      </c>
      <c r="AC12" s="122" t="s">
        <v>7997</v>
      </c>
      <c r="AD12" s="122"/>
      <c r="AE12" s="122"/>
      <c r="AF12" s="122" t="s">
        <v>7998</v>
      </c>
      <c r="AG12" s="122" t="s">
        <v>7999</v>
      </c>
      <c r="AH12" s="122"/>
      <c r="AI12" s="856"/>
      <c r="AJ12" s="529"/>
      <c r="AK12" s="529"/>
      <c r="AL12" s="529"/>
      <c r="AM12" s="529"/>
      <c r="AN12" s="529"/>
    </row>
    <row r="13" ht="28.5" customHeight="1" spans="1:40">
      <c r="A13" s="1578" t="s">
        <v>92</v>
      </c>
      <c r="B13" s="837" t="s">
        <v>8000</v>
      </c>
      <c r="C13" s="835" t="s">
        <v>8001</v>
      </c>
      <c r="D13" s="793" t="s">
        <v>8002</v>
      </c>
      <c r="E13" s="700" t="s">
        <v>125</v>
      </c>
      <c r="F13" s="432" t="s">
        <v>44</v>
      </c>
      <c r="G13" s="793" t="s">
        <v>8003</v>
      </c>
      <c r="H13" s="700" t="s">
        <v>920</v>
      </c>
      <c r="I13" s="704">
        <v>42935</v>
      </c>
      <c r="J13" s="704">
        <v>43027</v>
      </c>
      <c r="K13" s="704">
        <v>43190</v>
      </c>
      <c r="L13" s="704">
        <v>43555</v>
      </c>
      <c r="M13" s="432"/>
      <c r="N13" s="432"/>
      <c r="O13" s="704"/>
      <c r="P13" s="432"/>
      <c r="Q13" s="432"/>
      <c r="R13" s="640">
        <f ca="1" t="shared" ref="R13:R17" si="4">SUM(L13-NOW())</f>
        <v>282.61546296296</v>
      </c>
      <c r="S13" s="121" t="str">
        <f ca="1" t="shared" si="3"/>
        <v>ACTIVE</v>
      </c>
      <c r="T13" s="852">
        <v>30000000</v>
      </c>
      <c r="U13" s="800"/>
      <c r="V13" s="802" t="s">
        <v>112</v>
      </c>
      <c r="W13" s="700" t="s">
        <v>113</v>
      </c>
      <c r="X13" s="700" t="s">
        <v>7958</v>
      </c>
      <c r="Y13" s="432" t="s">
        <v>8004</v>
      </c>
      <c r="Z13" s="793" t="s">
        <v>8005</v>
      </c>
      <c r="AA13" s="122" t="s">
        <v>8006</v>
      </c>
      <c r="AB13" s="122" t="s">
        <v>8007</v>
      </c>
      <c r="AC13" s="122" t="s">
        <v>8008</v>
      </c>
      <c r="AD13" s="122"/>
      <c r="AE13" s="122"/>
      <c r="AF13" s="122" t="s">
        <v>8009</v>
      </c>
      <c r="AG13" s="122" t="s">
        <v>8010</v>
      </c>
      <c r="AH13" s="122"/>
      <c r="AI13" s="856"/>
      <c r="AJ13" s="529"/>
      <c r="AK13" s="529"/>
      <c r="AL13" s="529"/>
      <c r="AM13" s="529"/>
      <c r="AN13" s="529"/>
    </row>
    <row r="14" ht="28.5" customHeight="1" spans="1:40">
      <c r="A14" s="1578" t="s">
        <v>107</v>
      </c>
      <c r="B14" s="837" t="s">
        <v>8011</v>
      </c>
      <c r="C14" s="835" t="s">
        <v>8012</v>
      </c>
      <c r="D14" s="793" t="s">
        <v>8013</v>
      </c>
      <c r="E14" s="700" t="s">
        <v>43</v>
      </c>
      <c r="F14" s="432" t="s">
        <v>254</v>
      </c>
      <c r="G14" s="793" t="s">
        <v>8014</v>
      </c>
      <c r="H14" s="700" t="s">
        <v>920</v>
      </c>
      <c r="I14" s="704">
        <v>42935</v>
      </c>
      <c r="J14" s="704">
        <v>42966</v>
      </c>
      <c r="K14" s="704">
        <v>43027</v>
      </c>
      <c r="L14" s="704">
        <v>43190</v>
      </c>
      <c r="M14" s="704">
        <v>43555</v>
      </c>
      <c r="N14" s="849" t="s">
        <v>604</v>
      </c>
      <c r="O14" s="704"/>
      <c r="P14" s="432"/>
      <c r="Q14" s="432"/>
      <c r="R14" s="640">
        <f ca="1" t="shared" si="2"/>
        <v>282.61546296296</v>
      </c>
      <c r="S14" s="121" t="str">
        <f ca="1" t="shared" si="3"/>
        <v>ACTIVE</v>
      </c>
      <c r="T14" s="852">
        <v>8000000</v>
      </c>
      <c r="U14" s="800"/>
      <c r="V14" s="802" t="s">
        <v>112</v>
      </c>
      <c r="W14" s="700" t="s">
        <v>113</v>
      </c>
      <c r="X14" s="700" t="s">
        <v>7958</v>
      </c>
      <c r="Y14" s="807" t="s">
        <v>8015</v>
      </c>
      <c r="Z14" s="793" t="s">
        <v>8016</v>
      </c>
      <c r="AA14" s="122" t="s">
        <v>8017</v>
      </c>
      <c r="AB14" s="122" t="s">
        <v>8018</v>
      </c>
      <c r="AC14" s="122" t="s">
        <v>8019</v>
      </c>
      <c r="AD14" s="122"/>
      <c r="AE14" s="122"/>
      <c r="AF14" s="122" t="s">
        <v>8020</v>
      </c>
      <c r="AG14" s="127" t="s">
        <v>8021</v>
      </c>
      <c r="AH14" s="122"/>
      <c r="AI14" s="856"/>
      <c r="AJ14" s="529"/>
      <c r="AK14" s="529"/>
      <c r="AL14" s="529"/>
      <c r="AM14" s="529"/>
      <c r="AN14" s="529"/>
    </row>
    <row r="15" ht="31.5" spans="1:40">
      <c r="A15" s="1578" t="s">
        <v>121</v>
      </c>
      <c r="B15" s="837" t="s">
        <v>8022</v>
      </c>
      <c r="C15" s="835" t="s">
        <v>8023</v>
      </c>
      <c r="D15" s="793" t="s">
        <v>8024</v>
      </c>
      <c r="E15" s="700" t="s">
        <v>43</v>
      </c>
      <c r="F15" s="432" t="s">
        <v>96</v>
      </c>
      <c r="G15" s="793" t="s">
        <v>8014</v>
      </c>
      <c r="H15" s="700" t="s">
        <v>920</v>
      </c>
      <c r="I15" s="704">
        <v>42933</v>
      </c>
      <c r="J15" s="704">
        <v>43025</v>
      </c>
      <c r="K15" s="704">
        <v>43190</v>
      </c>
      <c r="L15" s="704">
        <v>43555</v>
      </c>
      <c r="M15" s="847" t="s">
        <v>604</v>
      </c>
      <c r="N15" s="432"/>
      <c r="O15" s="704"/>
      <c r="P15" s="432"/>
      <c r="Q15" s="432"/>
      <c r="R15" s="640">
        <f ca="1" t="shared" si="4"/>
        <v>282.61546296296</v>
      </c>
      <c r="S15" s="121" t="str">
        <f ca="1" t="shared" si="3"/>
        <v>ACTIVE</v>
      </c>
      <c r="T15" s="853">
        <v>8000000</v>
      </c>
      <c r="U15" s="800"/>
      <c r="V15" s="802" t="s">
        <v>112</v>
      </c>
      <c r="W15" s="700" t="s">
        <v>113</v>
      </c>
      <c r="X15" s="700" t="s">
        <v>7958</v>
      </c>
      <c r="Y15" s="487" t="s">
        <v>7970</v>
      </c>
      <c r="Z15" s="793" t="s">
        <v>8025</v>
      </c>
      <c r="AA15" s="122" t="s">
        <v>8026</v>
      </c>
      <c r="AB15" s="122" t="s">
        <v>8027</v>
      </c>
      <c r="AC15" s="122" t="s">
        <v>8028</v>
      </c>
      <c r="AD15" s="1579" t="s">
        <v>8029</v>
      </c>
      <c r="AE15" s="122"/>
      <c r="AF15" s="122" t="s">
        <v>8030</v>
      </c>
      <c r="AG15" s="127" t="s">
        <v>8031</v>
      </c>
      <c r="AH15" s="122"/>
      <c r="AI15" s="856"/>
      <c r="AJ15" s="529"/>
      <c r="AK15" s="529"/>
      <c r="AL15" s="529"/>
      <c r="AM15" s="529"/>
      <c r="AN15" s="529"/>
    </row>
    <row r="16" s="459" customFormat="1" ht="21" spans="1:40">
      <c r="A16" s="1580" t="s">
        <v>135</v>
      </c>
      <c r="B16" s="838" t="s">
        <v>8032</v>
      </c>
      <c r="C16" s="836" t="s">
        <v>8033</v>
      </c>
      <c r="D16" s="795" t="s">
        <v>8034</v>
      </c>
      <c r="E16" s="764"/>
      <c r="F16" s="180"/>
      <c r="G16" s="795" t="s">
        <v>8014</v>
      </c>
      <c r="H16" s="764" t="s">
        <v>920</v>
      </c>
      <c r="I16" s="768">
        <v>42963</v>
      </c>
      <c r="J16" s="768">
        <v>43055</v>
      </c>
      <c r="K16" s="768">
        <v>43190</v>
      </c>
      <c r="L16" s="768">
        <v>43220</v>
      </c>
      <c r="M16" s="850">
        <v>43251</v>
      </c>
      <c r="N16" s="851">
        <v>43255</v>
      </c>
      <c r="O16" s="768"/>
      <c r="P16" s="180"/>
      <c r="Q16" s="180"/>
      <c r="R16" s="641">
        <f ca="1" t="shared" si="2"/>
        <v>-21.38453703704</v>
      </c>
      <c r="S16" s="187" t="str">
        <f ca="1" t="shared" si="3"/>
        <v>WARNING</v>
      </c>
      <c r="T16" s="801">
        <v>6000000</v>
      </c>
      <c r="U16" s="801" t="s">
        <v>583</v>
      </c>
      <c r="V16" s="805" t="s">
        <v>112</v>
      </c>
      <c r="W16" s="764" t="s">
        <v>113</v>
      </c>
      <c r="X16" s="764" t="s">
        <v>7958</v>
      </c>
      <c r="Y16" s="180"/>
      <c r="Z16" s="795" t="s">
        <v>8035</v>
      </c>
      <c r="AA16" s="224" t="s">
        <v>8036</v>
      </c>
      <c r="AB16" s="224" t="s">
        <v>8037</v>
      </c>
      <c r="AC16" s="224" t="s">
        <v>8038</v>
      </c>
      <c r="AD16" s="224"/>
      <c r="AE16" s="224"/>
      <c r="AF16" s="224" t="s">
        <v>8039</v>
      </c>
      <c r="AG16" s="229" t="s">
        <v>8040</v>
      </c>
      <c r="AH16" s="224" t="s">
        <v>8041</v>
      </c>
      <c r="AI16" s="860"/>
      <c r="AJ16" s="861"/>
      <c r="AK16" s="861"/>
      <c r="AL16" s="861"/>
      <c r="AM16" s="861"/>
      <c r="AN16" s="861"/>
    </row>
    <row r="17" ht="21" spans="1:40">
      <c r="A17" s="1578" t="s">
        <v>146</v>
      </c>
      <c r="B17" s="837" t="s">
        <v>8042</v>
      </c>
      <c r="C17" s="839" t="s">
        <v>8043</v>
      </c>
      <c r="D17" s="840" t="s">
        <v>8044</v>
      </c>
      <c r="E17" s="431" t="s">
        <v>125</v>
      </c>
      <c r="F17" s="432" t="s">
        <v>44</v>
      </c>
      <c r="G17" s="840" t="s">
        <v>8045</v>
      </c>
      <c r="H17" s="431" t="s">
        <v>920</v>
      </c>
      <c r="I17" s="744">
        <v>42961</v>
      </c>
      <c r="J17" s="744">
        <v>43053</v>
      </c>
      <c r="K17" s="744">
        <v>43190</v>
      </c>
      <c r="L17" s="704">
        <v>43555</v>
      </c>
      <c r="M17" s="847" t="s">
        <v>604</v>
      </c>
      <c r="N17" s="432"/>
      <c r="O17" s="704"/>
      <c r="P17" s="432"/>
      <c r="Q17" s="432"/>
      <c r="R17" s="640">
        <f ca="1" t="shared" si="4"/>
        <v>282.61546296296</v>
      </c>
      <c r="S17" s="121" t="str">
        <f ca="1" t="shared" si="3"/>
        <v>ACTIVE</v>
      </c>
      <c r="T17" s="853">
        <v>6500000</v>
      </c>
      <c r="U17" s="800"/>
      <c r="V17" s="802" t="s">
        <v>112</v>
      </c>
      <c r="W17" s="700" t="s">
        <v>113</v>
      </c>
      <c r="X17" s="700" t="s">
        <v>7958</v>
      </c>
      <c r="Y17" s="487" t="s">
        <v>8046</v>
      </c>
      <c r="Z17" s="840" t="s">
        <v>8047</v>
      </c>
      <c r="AA17" s="122"/>
      <c r="AB17" s="1579" t="s">
        <v>8048</v>
      </c>
      <c r="AC17" s="122" t="s">
        <v>8049</v>
      </c>
      <c r="AD17" s="122"/>
      <c r="AE17" s="122"/>
      <c r="AF17" s="122" t="s">
        <v>8050</v>
      </c>
      <c r="AG17" s="127" t="s">
        <v>8051</v>
      </c>
      <c r="AH17" s="122"/>
      <c r="AI17" s="856"/>
      <c r="AJ17" s="529"/>
      <c r="AK17" s="529"/>
      <c r="AL17" s="529"/>
      <c r="AM17" s="529"/>
      <c r="AN17" s="529"/>
    </row>
    <row r="18" ht="31.5" spans="1:40">
      <c r="A18" s="1578" t="s">
        <v>157</v>
      </c>
      <c r="B18" s="837" t="s">
        <v>8052</v>
      </c>
      <c r="C18" s="839" t="s">
        <v>8053</v>
      </c>
      <c r="D18" s="840" t="s">
        <v>8054</v>
      </c>
      <c r="E18" s="431" t="s">
        <v>125</v>
      </c>
      <c r="F18" s="432" t="s">
        <v>254</v>
      </c>
      <c r="G18" s="840" t="s">
        <v>8055</v>
      </c>
      <c r="H18" s="431" t="s">
        <v>3528</v>
      </c>
      <c r="I18" s="744">
        <v>42961</v>
      </c>
      <c r="J18" s="744">
        <v>43173</v>
      </c>
      <c r="K18" s="704">
        <v>43555</v>
      </c>
      <c r="L18" s="847" t="s">
        <v>604</v>
      </c>
      <c r="M18" s="432"/>
      <c r="N18" s="432"/>
      <c r="O18" s="704"/>
      <c r="P18" s="432"/>
      <c r="Q18" s="432"/>
      <c r="R18" s="640">
        <f ca="1" t="shared" ref="R18:R22" si="5">SUM(K18-NOW())</f>
        <v>282.61546296296</v>
      </c>
      <c r="S18" s="121" t="str">
        <f ca="1" t="shared" si="3"/>
        <v>ACTIVE</v>
      </c>
      <c r="T18" s="853">
        <v>23000000</v>
      </c>
      <c r="U18" s="800"/>
      <c r="V18" s="802" t="s">
        <v>112</v>
      </c>
      <c r="W18" s="700" t="s">
        <v>113</v>
      </c>
      <c r="X18" s="700" t="s">
        <v>7958</v>
      </c>
      <c r="Y18" s="487" t="s">
        <v>8056</v>
      </c>
      <c r="Z18" s="840" t="s">
        <v>8057</v>
      </c>
      <c r="AA18" s="122" t="s">
        <v>8058</v>
      </c>
      <c r="AB18" s="1579" t="s">
        <v>8059</v>
      </c>
      <c r="AC18" s="122" t="s">
        <v>8060</v>
      </c>
      <c r="AD18" s="122"/>
      <c r="AE18" s="122"/>
      <c r="AF18" s="122" t="s">
        <v>8061</v>
      </c>
      <c r="AG18" s="127" t="s">
        <v>8062</v>
      </c>
      <c r="AH18" s="122"/>
      <c r="AI18" s="856"/>
      <c r="AJ18" s="529"/>
      <c r="AK18" s="529"/>
      <c r="AL18" s="529"/>
      <c r="AM18" s="529"/>
      <c r="AN18" s="529"/>
    </row>
    <row r="19" ht="31.5" spans="1:40">
      <c r="A19" s="1578" t="s">
        <v>168</v>
      </c>
      <c r="B19" s="837" t="s">
        <v>8063</v>
      </c>
      <c r="C19" s="839" t="s">
        <v>8064</v>
      </c>
      <c r="D19" s="840" t="s">
        <v>8065</v>
      </c>
      <c r="E19" s="431" t="s">
        <v>43</v>
      </c>
      <c r="F19" s="432" t="s">
        <v>254</v>
      </c>
      <c r="G19" s="840" t="s">
        <v>8066</v>
      </c>
      <c r="H19" s="431" t="s">
        <v>920</v>
      </c>
      <c r="I19" s="744">
        <v>42984</v>
      </c>
      <c r="J19" s="744">
        <v>43173</v>
      </c>
      <c r="K19" s="704">
        <v>43555</v>
      </c>
      <c r="L19" s="847" t="s">
        <v>604</v>
      </c>
      <c r="M19" s="432"/>
      <c r="N19" s="432"/>
      <c r="O19" s="704"/>
      <c r="P19" s="432"/>
      <c r="Q19" s="432"/>
      <c r="R19" s="640">
        <f ca="1" t="shared" si="5"/>
        <v>282.61546296296</v>
      </c>
      <c r="S19" s="121" t="str">
        <f ca="1" t="shared" si="3"/>
        <v>ACTIVE</v>
      </c>
      <c r="T19" s="853">
        <v>17000000</v>
      </c>
      <c r="U19" s="800"/>
      <c r="V19" s="802" t="s">
        <v>112</v>
      </c>
      <c r="W19" s="700" t="s">
        <v>113</v>
      </c>
      <c r="X19" s="700" t="s">
        <v>7958</v>
      </c>
      <c r="Y19" s="487" t="s">
        <v>8067</v>
      </c>
      <c r="Z19" s="840" t="s">
        <v>8068</v>
      </c>
      <c r="AA19" s="122" t="s">
        <v>8069</v>
      </c>
      <c r="AB19" s="1579" t="s">
        <v>8070</v>
      </c>
      <c r="AC19" s="122" t="s">
        <v>8071</v>
      </c>
      <c r="AD19" s="122"/>
      <c r="AE19" s="122"/>
      <c r="AF19" s="122" t="s">
        <v>8072</v>
      </c>
      <c r="AG19" s="127" t="s">
        <v>8073</v>
      </c>
      <c r="AH19" s="122"/>
      <c r="AI19" s="856"/>
      <c r="AJ19" s="529"/>
      <c r="AK19" s="529"/>
      <c r="AL19" s="529"/>
      <c r="AM19" s="529"/>
      <c r="AN19" s="529"/>
    </row>
    <row r="20" ht="24" spans="1:40">
      <c r="A20" s="1578" t="s">
        <v>181</v>
      </c>
      <c r="B20" s="837" t="s">
        <v>8074</v>
      </c>
      <c r="C20" s="839" t="s">
        <v>663</v>
      </c>
      <c r="D20" s="840" t="s">
        <v>8075</v>
      </c>
      <c r="E20" s="431" t="s">
        <v>43</v>
      </c>
      <c r="F20" s="432" t="s">
        <v>60</v>
      </c>
      <c r="G20" s="840" t="s">
        <v>8076</v>
      </c>
      <c r="H20" s="431" t="s">
        <v>920</v>
      </c>
      <c r="I20" s="744">
        <v>43150</v>
      </c>
      <c r="J20" s="744">
        <v>43514</v>
      </c>
      <c r="K20" s="744"/>
      <c r="L20" s="744"/>
      <c r="M20" s="432"/>
      <c r="N20" s="432"/>
      <c r="O20" s="704"/>
      <c r="P20" s="432"/>
      <c r="Q20" s="432"/>
      <c r="R20" s="640">
        <f ca="1" t="shared" ref="R20:R24" si="6">SUM(J20-NOW())</f>
        <v>241.61546296296</v>
      </c>
      <c r="S20" s="121" t="str">
        <f ca="1" t="shared" si="3"/>
        <v>ACTIVE</v>
      </c>
      <c r="T20" s="800">
        <v>10000000</v>
      </c>
      <c r="U20" s="800"/>
      <c r="V20" s="802" t="s">
        <v>112</v>
      </c>
      <c r="W20" s="700" t="s">
        <v>113</v>
      </c>
      <c r="X20" s="700" t="s">
        <v>7958</v>
      </c>
      <c r="Y20" s="432"/>
      <c r="Z20" s="840" t="s">
        <v>8077</v>
      </c>
      <c r="AA20" s="122" t="s">
        <v>8078</v>
      </c>
      <c r="AB20" s="1579" t="s">
        <v>8079</v>
      </c>
      <c r="AC20" s="122" t="s">
        <v>8080</v>
      </c>
      <c r="AD20" s="122"/>
      <c r="AE20" s="1579" t="s">
        <v>8081</v>
      </c>
      <c r="AF20" s="122" t="s">
        <v>8082</v>
      </c>
      <c r="AG20" s="127" t="s">
        <v>8083</v>
      </c>
      <c r="AH20" s="122"/>
      <c r="AI20" s="856"/>
      <c r="AJ20" s="529"/>
      <c r="AK20" s="529"/>
      <c r="AL20" s="529"/>
      <c r="AM20" s="529"/>
      <c r="AN20" s="529"/>
    </row>
    <row r="21" ht="24" spans="1:40">
      <c r="A21" s="1578" t="s">
        <v>194</v>
      </c>
      <c r="B21" s="837" t="s">
        <v>8084</v>
      </c>
      <c r="C21" s="839" t="s">
        <v>8085</v>
      </c>
      <c r="D21" s="840" t="s">
        <v>8086</v>
      </c>
      <c r="E21" s="431" t="s">
        <v>43</v>
      </c>
      <c r="F21" s="432" t="s">
        <v>60</v>
      </c>
      <c r="G21" s="840" t="s">
        <v>8087</v>
      </c>
      <c r="H21" s="431" t="s">
        <v>920</v>
      </c>
      <c r="I21" s="744">
        <v>43160</v>
      </c>
      <c r="J21" s="744">
        <v>43525</v>
      </c>
      <c r="K21" s="744"/>
      <c r="L21" s="744"/>
      <c r="M21" s="432"/>
      <c r="N21" s="432"/>
      <c r="O21" s="704"/>
      <c r="P21" s="432"/>
      <c r="Q21" s="432"/>
      <c r="R21" s="640">
        <f ca="1" t="shared" si="6"/>
        <v>252.61546296296</v>
      </c>
      <c r="S21" s="121" t="str">
        <f ca="1" t="shared" si="3"/>
        <v>ACTIVE</v>
      </c>
      <c r="T21" s="800">
        <v>17000000</v>
      </c>
      <c r="U21" s="800"/>
      <c r="V21" s="802" t="s">
        <v>112</v>
      </c>
      <c r="W21" s="700" t="s">
        <v>113</v>
      </c>
      <c r="X21" s="700" t="s">
        <v>7958</v>
      </c>
      <c r="Y21" s="432"/>
      <c r="Z21" s="840" t="s">
        <v>8088</v>
      </c>
      <c r="AA21" s="122" t="s">
        <v>8089</v>
      </c>
      <c r="AB21" s="1579" t="s">
        <v>8090</v>
      </c>
      <c r="AC21" s="122" t="s">
        <v>8091</v>
      </c>
      <c r="AD21" s="1579" t="s">
        <v>8092</v>
      </c>
      <c r="AE21" s="122"/>
      <c r="AF21" s="122" t="s">
        <v>8093</v>
      </c>
      <c r="AG21" s="127" t="s">
        <v>8094</v>
      </c>
      <c r="AH21" s="122"/>
      <c r="AI21" s="856"/>
      <c r="AJ21" s="529"/>
      <c r="AK21" s="529"/>
      <c r="AL21" s="529"/>
      <c r="AM21" s="529"/>
      <c r="AN21" s="529"/>
    </row>
    <row r="22" ht="21" spans="1:40">
      <c r="A22" s="1578" t="s">
        <v>204</v>
      </c>
      <c r="B22" s="837" t="s">
        <v>8095</v>
      </c>
      <c r="C22" s="839" t="s">
        <v>8096</v>
      </c>
      <c r="D22" s="840" t="s">
        <v>8097</v>
      </c>
      <c r="E22" s="431" t="s">
        <v>125</v>
      </c>
      <c r="F22" s="432" t="s">
        <v>44</v>
      </c>
      <c r="G22" s="840" t="s">
        <v>8098</v>
      </c>
      <c r="H22" s="431" t="s">
        <v>920</v>
      </c>
      <c r="I22" s="744">
        <v>43174</v>
      </c>
      <c r="J22" s="744">
        <v>43266</v>
      </c>
      <c r="K22" s="848">
        <v>43306</v>
      </c>
      <c r="L22" s="744"/>
      <c r="M22" s="432"/>
      <c r="N22" s="432"/>
      <c r="O22" s="744"/>
      <c r="P22" s="432"/>
      <c r="Q22" s="432"/>
      <c r="R22" s="640">
        <f ca="1" t="shared" si="5"/>
        <v>33.61546296296</v>
      </c>
      <c r="S22" s="121" t="str">
        <f ca="1" t="shared" si="3"/>
        <v>WARNING</v>
      </c>
      <c r="T22" s="800">
        <v>6000000</v>
      </c>
      <c r="U22" s="800"/>
      <c r="V22" s="803" t="s">
        <v>112</v>
      </c>
      <c r="W22" s="431" t="s">
        <v>113</v>
      </c>
      <c r="X22" s="431" t="s">
        <v>7958</v>
      </c>
      <c r="Y22" s="432"/>
      <c r="Z22" s="840" t="s">
        <v>8099</v>
      </c>
      <c r="AA22" s="122" t="s">
        <v>8100</v>
      </c>
      <c r="AB22" s="1579" t="s">
        <v>8101</v>
      </c>
      <c r="AC22" s="122" t="s">
        <v>8102</v>
      </c>
      <c r="AD22" s="122"/>
      <c r="AE22" s="1579" t="s">
        <v>8103</v>
      </c>
      <c r="AF22" s="122" t="s">
        <v>8104</v>
      </c>
      <c r="AG22" s="130" t="s">
        <v>8105</v>
      </c>
      <c r="AH22" s="122" t="s">
        <v>8106</v>
      </c>
      <c r="AI22" s="856"/>
      <c r="AJ22" s="529"/>
      <c r="AK22" s="529"/>
      <c r="AL22" s="529"/>
      <c r="AM22" s="529"/>
      <c r="AN22" s="529"/>
    </row>
    <row r="23" ht="14.1" customHeight="1" spans="1:40">
      <c r="A23" s="1578" t="s">
        <v>215</v>
      </c>
      <c r="B23" s="837" t="s">
        <v>8107</v>
      </c>
      <c r="C23" s="839" t="s">
        <v>8108</v>
      </c>
      <c r="D23" s="840" t="s">
        <v>8109</v>
      </c>
      <c r="E23" s="431" t="s">
        <v>125</v>
      </c>
      <c r="F23" s="432"/>
      <c r="G23" s="840" t="s">
        <v>8110</v>
      </c>
      <c r="H23" s="431" t="s">
        <v>920</v>
      </c>
      <c r="I23" s="744">
        <v>43234</v>
      </c>
      <c r="J23" s="744">
        <v>43598</v>
      </c>
      <c r="K23" s="744"/>
      <c r="L23" s="744"/>
      <c r="M23" s="432"/>
      <c r="N23" s="432"/>
      <c r="O23" s="744"/>
      <c r="P23" s="432"/>
      <c r="Q23" s="432"/>
      <c r="R23" s="640">
        <f ca="1" t="shared" si="6"/>
        <v>325.61546296296</v>
      </c>
      <c r="S23" s="121" t="str">
        <f ca="1" t="shared" ref="S23:S24" si="7">IF(R23&lt;=40,"WARNING","ACTIVE")</f>
        <v>ACTIVE</v>
      </c>
      <c r="T23" s="800">
        <v>17000000</v>
      </c>
      <c r="U23" s="800" t="s">
        <v>583</v>
      </c>
      <c r="V23" s="803" t="s">
        <v>112</v>
      </c>
      <c r="W23" s="431" t="s">
        <v>113</v>
      </c>
      <c r="X23" s="431" t="s">
        <v>7958</v>
      </c>
      <c r="Y23" s="432"/>
      <c r="Z23" s="840" t="s">
        <v>8111</v>
      </c>
      <c r="AA23" s="122"/>
      <c r="AB23" s="1579" t="s">
        <v>8112</v>
      </c>
      <c r="AC23" s="122" t="s">
        <v>8113</v>
      </c>
      <c r="AD23" s="122"/>
      <c r="AE23" s="1579" t="s">
        <v>8114</v>
      </c>
      <c r="AF23" s="122" t="s">
        <v>8115</v>
      </c>
      <c r="AG23" s="127" t="s">
        <v>8116</v>
      </c>
      <c r="AH23" s="122"/>
      <c r="AI23" s="856"/>
      <c r="AJ23" s="529"/>
      <c r="AK23" s="529"/>
      <c r="AL23" s="529"/>
      <c r="AM23" s="529"/>
      <c r="AN23" s="529"/>
    </row>
    <row r="24" ht="14.1" customHeight="1" spans="1:40">
      <c r="A24" s="1578" t="s">
        <v>229</v>
      </c>
      <c r="B24" s="837" t="s">
        <v>8117</v>
      </c>
      <c r="C24" s="839" t="s">
        <v>8118</v>
      </c>
      <c r="D24" s="840" t="s">
        <v>8119</v>
      </c>
      <c r="E24" s="431" t="s">
        <v>43</v>
      </c>
      <c r="F24" s="432" t="s">
        <v>60</v>
      </c>
      <c r="G24" s="840" t="s">
        <v>8120</v>
      </c>
      <c r="H24" s="431" t="s">
        <v>920</v>
      </c>
      <c r="I24" s="744">
        <v>43229</v>
      </c>
      <c r="J24" s="744">
        <v>43320</v>
      </c>
      <c r="K24" s="744"/>
      <c r="L24" s="744"/>
      <c r="M24" s="432"/>
      <c r="N24" s="432"/>
      <c r="O24" s="744"/>
      <c r="P24" s="432"/>
      <c r="Q24" s="432"/>
      <c r="R24" s="640">
        <f ca="1" t="shared" si="6"/>
        <v>47.61546296296</v>
      </c>
      <c r="S24" s="121" t="str">
        <f ca="1" t="shared" si="7"/>
        <v>ACTIVE</v>
      </c>
      <c r="T24" s="800">
        <v>8000000</v>
      </c>
      <c r="U24" s="800" t="s">
        <v>583</v>
      </c>
      <c r="V24" s="803" t="s">
        <v>112</v>
      </c>
      <c r="W24" s="431" t="s">
        <v>113</v>
      </c>
      <c r="X24" s="431" t="s">
        <v>7958</v>
      </c>
      <c r="Y24" s="432"/>
      <c r="Z24" s="840" t="s">
        <v>8121</v>
      </c>
      <c r="AA24" s="122" t="s">
        <v>8122</v>
      </c>
      <c r="AB24" s="1579" t="s">
        <v>8123</v>
      </c>
      <c r="AC24" s="122" t="s">
        <v>8124</v>
      </c>
      <c r="AD24" s="122"/>
      <c r="AE24" s="1579" t="s">
        <v>8125</v>
      </c>
      <c r="AF24" s="679" t="s">
        <v>8126</v>
      </c>
      <c r="AG24" s="127" t="s">
        <v>8127</v>
      </c>
      <c r="AH24" s="122"/>
      <c r="AI24" s="856"/>
      <c r="AJ24" s="529"/>
      <c r="AK24" s="529"/>
      <c r="AL24" s="529"/>
      <c r="AM24" s="529"/>
      <c r="AN24" s="529"/>
    </row>
    <row r="25" ht="14.1" customHeight="1" spans="1:40">
      <c r="A25" s="529"/>
      <c r="B25" s="841" t="s">
        <v>0</v>
      </c>
      <c r="C25" s="841" t="s">
        <v>8128</v>
      </c>
      <c r="D25" s="841" t="s">
        <v>8129</v>
      </c>
      <c r="E25" s="841" t="s">
        <v>8130</v>
      </c>
      <c r="F25" s="841" t="s">
        <v>8131</v>
      </c>
      <c r="G25" s="841" t="s">
        <v>8132</v>
      </c>
      <c r="H25" s="841" t="s">
        <v>8133</v>
      </c>
      <c r="I25" s="841" t="s">
        <v>8134</v>
      </c>
      <c r="J25" s="841" t="s">
        <v>8135</v>
      </c>
      <c r="K25" s="841" t="s">
        <v>8136</v>
      </c>
      <c r="L25" s="841" t="s">
        <v>8137</v>
      </c>
      <c r="M25" s="529"/>
      <c r="N25" s="529"/>
      <c r="O25" s="529"/>
      <c r="P25" s="529"/>
      <c r="Q25" s="529"/>
      <c r="R25" s="546"/>
      <c r="S25" s="533"/>
      <c r="T25" s="545"/>
      <c r="U25" s="545"/>
      <c r="V25" s="815"/>
      <c r="W25" s="815"/>
      <c r="X25" s="823"/>
      <c r="Y25" s="529"/>
      <c r="Z25" s="815"/>
      <c r="AA25" s="856"/>
      <c r="AB25" s="856"/>
      <c r="AC25" s="856"/>
      <c r="AD25" s="856"/>
      <c r="AE25" s="856"/>
      <c r="AF25" s="856"/>
      <c r="AG25" s="862"/>
      <c r="AH25" s="856"/>
      <c r="AI25" s="856"/>
      <c r="AJ25" s="529"/>
      <c r="AK25" s="529"/>
      <c r="AL25" s="529"/>
      <c r="AM25" s="529"/>
      <c r="AN25" s="529"/>
    </row>
    <row r="26" ht="14.1" customHeight="1" spans="1:40">
      <c r="A26" s="529"/>
      <c r="B26" s="842" t="s">
        <v>8138</v>
      </c>
      <c r="C26" s="842" t="s">
        <v>8139</v>
      </c>
      <c r="D26" s="842" t="s">
        <v>8140</v>
      </c>
      <c r="E26" s="842" t="s">
        <v>8141</v>
      </c>
      <c r="F26" s="842" t="s">
        <v>1241</v>
      </c>
      <c r="G26" s="842" t="s">
        <v>8142</v>
      </c>
      <c r="H26" s="842" t="s">
        <v>8143</v>
      </c>
      <c r="I26" s="842" t="s">
        <v>8144</v>
      </c>
      <c r="J26" s="842" t="s">
        <v>583</v>
      </c>
      <c r="K26" s="842" t="s">
        <v>8145</v>
      </c>
      <c r="L26" s="842" t="s">
        <v>920</v>
      </c>
      <c r="M26" s="529"/>
      <c r="N26" s="529"/>
      <c r="O26" s="529"/>
      <c r="P26" s="529"/>
      <c r="Q26" s="529"/>
      <c r="R26" s="546"/>
      <c r="S26" s="533"/>
      <c r="T26" s="545"/>
      <c r="U26" s="545"/>
      <c r="V26" s="815"/>
      <c r="W26" s="815"/>
      <c r="X26" s="823"/>
      <c r="Y26" s="529"/>
      <c r="Z26" s="815"/>
      <c r="AA26" s="856"/>
      <c r="AB26" s="856"/>
      <c r="AC26" s="856"/>
      <c r="AD26" s="856"/>
      <c r="AE26" s="856"/>
      <c r="AF26" s="856"/>
      <c r="AG26" s="862"/>
      <c r="AH26" s="856"/>
      <c r="AI26" s="856"/>
      <c r="AJ26" s="529"/>
      <c r="AK26" s="529"/>
      <c r="AL26" s="529"/>
      <c r="AM26" s="529"/>
      <c r="AN26" s="529"/>
    </row>
    <row r="27" ht="14.1" customHeight="1" spans="1:40">
      <c r="A27" s="529"/>
      <c r="B27" s="814"/>
      <c r="C27" s="843"/>
      <c r="D27" s="815"/>
      <c r="E27" s="817"/>
      <c r="F27" s="521"/>
      <c r="G27" s="815"/>
      <c r="H27" s="815"/>
      <c r="I27" s="818"/>
      <c r="J27" s="818"/>
      <c r="K27" s="529"/>
      <c r="L27" s="529"/>
      <c r="M27" s="529"/>
      <c r="N27" s="529"/>
      <c r="O27" s="529"/>
      <c r="P27" s="529"/>
      <c r="Q27" s="529"/>
      <c r="R27" s="546"/>
      <c r="S27" s="533"/>
      <c r="T27" s="545"/>
      <c r="U27" s="545"/>
      <c r="V27" s="815"/>
      <c r="W27" s="815"/>
      <c r="X27" s="823"/>
      <c r="Y27" s="529"/>
      <c r="Z27" s="815"/>
      <c r="AA27" s="856"/>
      <c r="AB27" s="856"/>
      <c r="AC27" s="856"/>
      <c r="AD27" s="856"/>
      <c r="AE27" s="856"/>
      <c r="AF27" s="856"/>
      <c r="AG27" s="862"/>
      <c r="AH27" s="862"/>
      <c r="AI27" s="856"/>
      <c r="AJ27" s="529"/>
      <c r="AK27" s="529"/>
      <c r="AL27" s="529"/>
      <c r="AM27" s="529"/>
      <c r="AN27" s="529"/>
    </row>
    <row r="28" ht="14.1" customHeight="1" spans="1:40">
      <c r="A28" s="529"/>
      <c r="B28" s="814"/>
      <c r="C28" s="843"/>
      <c r="D28" s="815"/>
      <c r="E28" s="817"/>
      <c r="F28" s="521"/>
      <c r="G28" s="815"/>
      <c r="H28" s="815"/>
      <c r="I28" s="818"/>
      <c r="J28" s="818"/>
      <c r="K28" s="529"/>
      <c r="L28" s="529"/>
      <c r="M28" s="529"/>
      <c r="N28" s="529"/>
      <c r="O28" s="529"/>
      <c r="P28" s="529"/>
      <c r="Q28" s="529"/>
      <c r="R28" s="546"/>
      <c r="S28" s="533"/>
      <c r="T28" s="545"/>
      <c r="U28" s="545"/>
      <c r="V28" s="815"/>
      <c r="W28" s="815"/>
      <c r="X28" s="823"/>
      <c r="Y28" s="529"/>
      <c r="Z28" s="815"/>
      <c r="AA28" s="856"/>
      <c r="AB28" s="856"/>
      <c r="AC28" s="856"/>
      <c r="AD28" s="856"/>
      <c r="AE28" s="856"/>
      <c r="AF28" s="856"/>
      <c r="AG28" s="862"/>
      <c r="AH28" s="862"/>
      <c r="AI28" s="856"/>
      <c r="AJ28" s="529"/>
      <c r="AK28" s="529"/>
      <c r="AL28" s="529"/>
      <c r="AM28" s="529"/>
      <c r="AN28" s="529"/>
    </row>
    <row r="29" ht="14.1" customHeight="1" spans="1:40">
      <c r="A29" s="529"/>
      <c r="B29" s="814"/>
      <c r="C29" s="843"/>
      <c r="D29" s="815"/>
      <c r="E29" s="817"/>
      <c r="F29" s="521"/>
      <c r="G29" s="815"/>
      <c r="H29" s="815"/>
      <c r="I29" s="818"/>
      <c r="J29" s="818"/>
      <c r="K29" s="529"/>
      <c r="L29" s="529"/>
      <c r="M29" s="529"/>
      <c r="N29" s="529"/>
      <c r="O29" s="529"/>
      <c r="P29" s="529"/>
      <c r="Q29" s="529"/>
      <c r="R29" s="546"/>
      <c r="S29" s="533"/>
      <c r="T29" s="545"/>
      <c r="U29" s="545"/>
      <c r="V29" s="815"/>
      <c r="W29" s="815"/>
      <c r="X29" s="823"/>
      <c r="Y29" s="529"/>
      <c r="Z29" s="815"/>
      <c r="AA29" s="856"/>
      <c r="AB29" s="856"/>
      <c r="AC29" s="856"/>
      <c r="AD29" s="856"/>
      <c r="AE29" s="856"/>
      <c r="AF29" s="856"/>
      <c r="AG29" s="862"/>
      <c r="AH29" s="862"/>
      <c r="AI29" s="856"/>
      <c r="AJ29" s="529"/>
      <c r="AK29" s="529"/>
      <c r="AL29" s="529"/>
      <c r="AM29" s="529"/>
      <c r="AN29" s="529"/>
    </row>
    <row r="30" ht="14.1" customHeight="1" spans="1:40">
      <c r="A30" s="529"/>
      <c r="B30" s="814"/>
      <c r="C30" s="843"/>
      <c r="D30" s="815"/>
      <c r="E30" s="817"/>
      <c r="F30" s="521"/>
      <c r="G30" s="815"/>
      <c r="H30" s="815"/>
      <c r="I30" s="818"/>
      <c r="J30" s="818"/>
      <c r="K30" s="529"/>
      <c r="L30" s="529"/>
      <c r="M30" s="529"/>
      <c r="N30" s="529"/>
      <c r="O30" s="529"/>
      <c r="P30" s="529"/>
      <c r="Q30" s="529"/>
      <c r="R30" s="546"/>
      <c r="S30" s="533"/>
      <c r="T30" s="545"/>
      <c r="U30" s="545"/>
      <c r="V30" s="815"/>
      <c r="W30" s="815"/>
      <c r="X30" s="823"/>
      <c r="Y30" s="529"/>
      <c r="Z30" s="815"/>
      <c r="AA30" s="856"/>
      <c r="AB30" s="856"/>
      <c r="AC30" s="856"/>
      <c r="AD30" s="856"/>
      <c r="AE30" s="856"/>
      <c r="AF30" s="856"/>
      <c r="AG30" s="862"/>
      <c r="AH30" s="862"/>
      <c r="AI30" s="856"/>
      <c r="AJ30" s="529"/>
      <c r="AK30" s="529"/>
      <c r="AL30" s="529"/>
      <c r="AM30" s="529"/>
      <c r="AN30" s="529"/>
    </row>
    <row r="31" ht="14.1" customHeight="1" spans="1:40">
      <c r="A31" s="844" t="s">
        <v>2552</v>
      </c>
      <c r="B31" s="845"/>
      <c r="C31" s="843"/>
      <c r="D31" s="815"/>
      <c r="E31" s="817"/>
      <c r="F31" s="521"/>
      <c r="G31" s="815"/>
      <c r="H31" s="815"/>
      <c r="I31" s="818"/>
      <c r="J31" s="818"/>
      <c r="K31" s="529"/>
      <c r="L31" s="529"/>
      <c r="M31" s="529"/>
      <c r="N31" s="529"/>
      <c r="O31" s="529"/>
      <c r="P31" s="529"/>
      <c r="Q31" s="529"/>
      <c r="R31" s="546"/>
      <c r="S31" s="533"/>
      <c r="T31" s="545"/>
      <c r="U31" s="545"/>
      <c r="V31" s="815"/>
      <c r="W31" s="815"/>
      <c r="X31" s="823"/>
      <c r="Y31" s="529"/>
      <c r="Z31" s="815"/>
      <c r="AA31" s="856"/>
      <c r="AB31" s="856"/>
      <c r="AC31" s="856"/>
      <c r="AD31" s="856"/>
      <c r="AE31" s="856"/>
      <c r="AF31" s="856"/>
      <c r="AG31" s="862"/>
      <c r="AH31" s="856"/>
      <c r="AI31" s="856"/>
      <c r="AJ31" s="529"/>
      <c r="AK31" s="529"/>
      <c r="AL31" s="529"/>
      <c r="AM31" s="529"/>
      <c r="AN31" s="529"/>
    </row>
    <row r="32" ht="14.1" customHeight="1" spans="1:40">
      <c r="A32" s="1580" t="s">
        <v>92</v>
      </c>
      <c r="B32" s="467"/>
      <c r="C32" s="836" t="s">
        <v>8146</v>
      </c>
      <c r="D32" s="795" t="s">
        <v>8147</v>
      </c>
      <c r="E32" s="764" t="s">
        <v>43</v>
      </c>
      <c r="F32" s="180" t="s">
        <v>60</v>
      </c>
      <c r="G32" s="795" t="s">
        <v>7969</v>
      </c>
      <c r="H32" s="764" t="s">
        <v>920</v>
      </c>
      <c r="I32" s="768" t="s">
        <v>8148</v>
      </c>
      <c r="J32" s="768">
        <v>42948</v>
      </c>
      <c r="K32" s="768"/>
      <c r="L32" s="768"/>
      <c r="M32" s="180"/>
      <c r="N32" s="180"/>
      <c r="O32" s="180"/>
      <c r="P32" s="180"/>
      <c r="Q32" s="180"/>
      <c r="R32" s="641">
        <f ca="1" t="shared" ref="R32:R35" si="8">SUM(J32-NOW())</f>
        <v>-324.38453703704</v>
      </c>
      <c r="S32" s="187" t="str">
        <f ca="1" t="shared" ref="S32:S36" si="9">IF(R32&lt;=40,"WARNING","ACTIVE")</f>
        <v>WARNING</v>
      </c>
      <c r="T32" s="801">
        <v>6000000</v>
      </c>
      <c r="U32" s="801"/>
      <c r="V32" s="805" t="s">
        <v>112</v>
      </c>
      <c r="W32" s="764" t="s">
        <v>113</v>
      </c>
      <c r="X32" s="764" t="s">
        <v>7958</v>
      </c>
      <c r="Y32" s="180"/>
      <c r="Z32" s="795" t="s">
        <v>8149</v>
      </c>
      <c r="AA32" s="224" t="s">
        <v>8150</v>
      </c>
      <c r="AB32" s="1581" t="s">
        <v>8151</v>
      </c>
      <c r="AC32" s="224" t="s">
        <v>8152</v>
      </c>
      <c r="AD32" s="1581" t="s">
        <v>8153</v>
      </c>
      <c r="AE32" s="224"/>
      <c r="AF32" s="224" t="s">
        <v>8154</v>
      </c>
      <c r="AG32" s="229" t="s">
        <v>8155</v>
      </c>
      <c r="AH32" s="224" t="s">
        <v>8156</v>
      </c>
      <c r="AI32" s="856"/>
      <c r="AJ32" s="529"/>
      <c r="AK32" s="529"/>
      <c r="AL32" s="529"/>
      <c r="AM32" s="529"/>
      <c r="AN32" s="529"/>
    </row>
    <row r="33" ht="14.1" customHeight="1" spans="1:40">
      <c r="A33" s="1580" t="s">
        <v>107</v>
      </c>
      <c r="B33" s="467"/>
      <c r="C33" s="836" t="s">
        <v>8157</v>
      </c>
      <c r="D33" s="795" t="s">
        <v>8158</v>
      </c>
      <c r="E33" s="764" t="s">
        <v>43</v>
      </c>
      <c r="F33" s="180" t="s">
        <v>880</v>
      </c>
      <c r="G33" s="795" t="s">
        <v>7969</v>
      </c>
      <c r="H33" s="764" t="s">
        <v>920</v>
      </c>
      <c r="I33" s="768" t="s">
        <v>8159</v>
      </c>
      <c r="J33" s="768">
        <v>42940</v>
      </c>
      <c r="K33" s="768"/>
      <c r="L33" s="768"/>
      <c r="M33" s="180"/>
      <c r="N33" s="180"/>
      <c r="O33" s="180"/>
      <c r="P33" s="180"/>
      <c r="Q33" s="180"/>
      <c r="R33" s="641">
        <f ca="1" t="shared" si="8"/>
        <v>-332.38453703704</v>
      </c>
      <c r="S33" s="187" t="str">
        <f ca="1" t="shared" si="9"/>
        <v>WARNING</v>
      </c>
      <c r="T33" s="801">
        <v>6000000</v>
      </c>
      <c r="U33" s="801"/>
      <c r="V33" s="805" t="s">
        <v>112</v>
      </c>
      <c r="W33" s="764" t="s">
        <v>113</v>
      </c>
      <c r="X33" s="764" t="s">
        <v>7958</v>
      </c>
      <c r="Y33" s="180"/>
      <c r="Z33" s="795" t="s">
        <v>8160</v>
      </c>
      <c r="AA33" s="224" t="s">
        <v>8161</v>
      </c>
      <c r="AB33" s="1581" t="s">
        <v>8162</v>
      </c>
      <c r="AC33" s="224" t="s">
        <v>8163</v>
      </c>
      <c r="AD33" s="1581" t="s">
        <v>8164</v>
      </c>
      <c r="AE33" s="224"/>
      <c r="AF33" s="224" t="s">
        <v>8165</v>
      </c>
      <c r="AG33" s="229" t="s">
        <v>8166</v>
      </c>
      <c r="AH33" s="224" t="s">
        <v>8167</v>
      </c>
      <c r="AI33" s="856"/>
      <c r="AJ33" s="529"/>
      <c r="AK33" s="529"/>
      <c r="AL33" s="529"/>
      <c r="AM33" s="529"/>
      <c r="AN33" s="529"/>
    </row>
    <row r="34" ht="14.1" customHeight="1" spans="1:40">
      <c r="A34" s="1580" t="s">
        <v>39</v>
      </c>
      <c r="B34" s="467" t="s">
        <v>8168</v>
      </c>
      <c r="C34" s="836" t="s">
        <v>8169</v>
      </c>
      <c r="D34" s="795" t="s">
        <v>8170</v>
      </c>
      <c r="E34" s="764" t="s">
        <v>43</v>
      </c>
      <c r="F34" s="180" t="s">
        <v>404</v>
      </c>
      <c r="G34" s="795" t="s">
        <v>8171</v>
      </c>
      <c r="H34" s="764" t="s">
        <v>920</v>
      </c>
      <c r="I34" s="768">
        <v>42826</v>
      </c>
      <c r="J34" s="768">
        <v>42916</v>
      </c>
      <c r="K34" s="768"/>
      <c r="L34" s="768"/>
      <c r="M34" s="180"/>
      <c r="N34" s="180"/>
      <c r="O34" s="180"/>
      <c r="P34" s="180"/>
      <c r="Q34" s="180"/>
      <c r="R34" s="641">
        <f ca="1" t="shared" si="8"/>
        <v>-356.38453703704</v>
      </c>
      <c r="S34" s="187" t="str">
        <f ca="1" t="shared" si="9"/>
        <v>WARNING</v>
      </c>
      <c r="T34" s="801">
        <v>17000000</v>
      </c>
      <c r="U34" s="801"/>
      <c r="V34" s="805" t="s">
        <v>112</v>
      </c>
      <c r="W34" s="764" t="s">
        <v>113</v>
      </c>
      <c r="X34" s="764" t="s">
        <v>7958</v>
      </c>
      <c r="Y34" s="180"/>
      <c r="Z34" s="795" t="s">
        <v>8172</v>
      </c>
      <c r="AA34" s="224">
        <v>817805014</v>
      </c>
      <c r="AB34" s="224" t="s">
        <v>8173</v>
      </c>
      <c r="AC34" s="224" t="s">
        <v>8174</v>
      </c>
      <c r="AD34" s="224" t="s">
        <v>8175</v>
      </c>
      <c r="AE34" s="224" t="s">
        <v>8176</v>
      </c>
      <c r="AF34" s="224" t="s">
        <v>8177</v>
      </c>
      <c r="AG34" s="229" t="s">
        <v>8178</v>
      </c>
      <c r="AH34" s="224" t="s">
        <v>8179</v>
      </c>
      <c r="AI34" s="856"/>
      <c r="AJ34" s="529"/>
      <c r="AK34" s="529"/>
      <c r="AL34" s="529"/>
      <c r="AM34" s="529"/>
      <c r="AN34" s="529"/>
    </row>
    <row r="35" ht="14.1" customHeight="1" spans="1:40">
      <c r="A35" s="1580" t="s">
        <v>168</v>
      </c>
      <c r="B35" s="838" t="s">
        <v>8032</v>
      </c>
      <c r="C35" s="836" t="s">
        <v>8033</v>
      </c>
      <c r="D35" s="795" t="s">
        <v>8034</v>
      </c>
      <c r="E35" s="764"/>
      <c r="F35" s="180"/>
      <c r="G35" s="795" t="s">
        <v>8014</v>
      </c>
      <c r="H35" s="764" t="s">
        <v>920</v>
      </c>
      <c r="I35" s="768">
        <v>42921</v>
      </c>
      <c r="J35" s="768">
        <v>43013</v>
      </c>
      <c r="K35" s="768"/>
      <c r="L35" s="768"/>
      <c r="M35" s="180"/>
      <c r="N35" s="180"/>
      <c r="O35" s="180"/>
      <c r="P35" s="180"/>
      <c r="Q35" s="180"/>
      <c r="R35" s="641">
        <f ca="1" t="shared" si="8"/>
        <v>-259.38453703704</v>
      </c>
      <c r="S35" s="187" t="str">
        <f ca="1" t="shared" si="9"/>
        <v>WARNING</v>
      </c>
      <c r="T35" s="801">
        <v>6000000</v>
      </c>
      <c r="U35" s="801" t="s">
        <v>583</v>
      </c>
      <c r="V35" s="805" t="s">
        <v>112</v>
      </c>
      <c r="W35" s="764" t="s">
        <v>113</v>
      </c>
      <c r="X35" s="764" t="s">
        <v>7958</v>
      </c>
      <c r="Y35" s="180"/>
      <c r="Z35" s="795" t="s">
        <v>8035</v>
      </c>
      <c r="AA35" s="224" t="s">
        <v>8180</v>
      </c>
      <c r="AB35" s="224" t="s">
        <v>8037</v>
      </c>
      <c r="AC35" s="224" t="s">
        <v>8038</v>
      </c>
      <c r="AD35" s="224"/>
      <c r="AE35" s="224"/>
      <c r="AF35" s="224" t="s">
        <v>8039</v>
      </c>
      <c r="AG35" s="229" t="s">
        <v>8040</v>
      </c>
      <c r="AH35" s="224" t="s">
        <v>8181</v>
      </c>
      <c r="AI35" s="856"/>
      <c r="AJ35" s="529"/>
      <c r="AK35" s="529"/>
      <c r="AL35" s="529"/>
      <c r="AM35" s="529"/>
      <c r="AN35" s="529"/>
    </row>
    <row r="36" s="459" customFormat="1" ht="14.1" customHeight="1" spans="1:40">
      <c r="A36" s="1580" t="s">
        <v>181</v>
      </c>
      <c r="B36" s="838" t="s">
        <v>8182</v>
      </c>
      <c r="C36" s="836" t="s">
        <v>8146</v>
      </c>
      <c r="D36" s="795" t="s">
        <v>8147</v>
      </c>
      <c r="E36" s="764" t="s">
        <v>43</v>
      </c>
      <c r="F36" s="180" t="s">
        <v>60</v>
      </c>
      <c r="G36" s="795" t="s">
        <v>8014</v>
      </c>
      <c r="H36" s="764" t="s">
        <v>920</v>
      </c>
      <c r="I36" s="768">
        <v>42947</v>
      </c>
      <c r="J36" s="768">
        <v>43039</v>
      </c>
      <c r="K36" s="768">
        <v>43190</v>
      </c>
      <c r="L36" s="768"/>
      <c r="M36" s="180"/>
      <c r="N36" s="180"/>
      <c r="O36" s="180"/>
      <c r="P36" s="180"/>
      <c r="Q36" s="180"/>
      <c r="R36" s="641">
        <f ca="1">SUM(K36-NOW())</f>
        <v>-82.38453703704</v>
      </c>
      <c r="S36" s="187" t="str">
        <f ca="1" t="shared" si="9"/>
        <v>WARNING</v>
      </c>
      <c r="T36" s="801">
        <v>6000000</v>
      </c>
      <c r="U36" s="801"/>
      <c r="V36" s="805" t="s">
        <v>112</v>
      </c>
      <c r="W36" s="764" t="s">
        <v>113</v>
      </c>
      <c r="X36" s="764" t="s">
        <v>7958</v>
      </c>
      <c r="Y36" s="180"/>
      <c r="Z36" s="795" t="s">
        <v>8149</v>
      </c>
      <c r="AA36" s="224" t="s">
        <v>8150</v>
      </c>
      <c r="AB36" s="1581" t="s">
        <v>8151</v>
      </c>
      <c r="AC36" s="224" t="s">
        <v>8152</v>
      </c>
      <c r="AD36" s="1581" t="s">
        <v>8153</v>
      </c>
      <c r="AE36" s="224"/>
      <c r="AF36" s="224" t="s">
        <v>8154</v>
      </c>
      <c r="AG36" s="229" t="s">
        <v>8155</v>
      </c>
      <c r="AH36" s="224" t="s">
        <v>8183</v>
      </c>
      <c r="AI36" s="860"/>
      <c r="AJ36" s="861"/>
      <c r="AK36" s="861"/>
      <c r="AL36" s="861"/>
      <c r="AM36" s="861"/>
      <c r="AN36" s="861"/>
    </row>
    <row r="37" s="459" customFormat="1" ht="28.5" customHeight="1" spans="1:40">
      <c r="A37" s="1580" t="s">
        <v>78</v>
      </c>
      <c r="B37" s="467" t="s">
        <v>8184</v>
      </c>
      <c r="C37" s="836" t="s">
        <v>8185</v>
      </c>
      <c r="D37" s="795" t="s">
        <v>8186</v>
      </c>
      <c r="E37" s="764" t="s">
        <v>43</v>
      </c>
      <c r="F37" s="180"/>
      <c r="G37" s="795" t="s">
        <v>7969</v>
      </c>
      <c r="H37" s="764" t="s">
        <v>920</v>
      </c>
      <c r="I37" s="768">
        <v>42819</v>
      </c>
      <c r="J37" s="768">
        <v>42940</v>
      </c>
      <c r="K37" s="768">
        <v>43032</v>
      </c>
      <c r="L37" s="768">
        <v>43063</v>
      </c>
      <c r="M37" s="768">
        <v>43190</v>
      </c>
      <c r="N37" s="768"/>
      <c r="O37" s="704"/>
      <c r="P37" s="768"/>
      <c r="Q37" s="768"/>
      <c r="R37" s="641">
        <v>-16.7490633101843</v>
      </c>
      <c r="S37" s="187" t="s">
        <v>2569</v>
      </c>
      <c r="T37" s="801">
        <v>6000000</v>
      </c>
      <c r="U37" s="801"/>
      <c r="V37" s="805" t="s">
        <v>112</v>
      </c>
      <c r="W37" s="764" t="s">
        <v>113</v>
      </c>
      <c r="X37" s="764" t="s">
        <v>7958</v>
      </c>
      <c r="Y37" s="180"/>
      <c r="Z37" s="795" t="s">
        <v>8187</v>
      </c>
      <c r="AA37" s="224" t="s">
        <v>8188</v>
      </c>
      <c r="AB37" s="224" t="s">
        <v>8189</v>
      </c>
      <c r="AC37" s="224" t="s">
        <v>8190</v>
      </c>
      <c r="AD37" s="224"/>
      <c r="AE37" s="224"/>
      <c r="AF37" s="224" t="s">
        <v>8191</v>
      </c>
      <c r="AG37" s="229" t="s">
        <v>8192</v>
      </c>
      <c r="AH37" s="224" t="s">
        <v>8193</v>
      </c>
      <c r="AI37" s="860"/>
      <c r="AJ37" s="861"/>
      <c r="AK37" s="861"/>
      <c r="AL37" s="861"/>
      <c r="AM37" s="861"/>
      <c r="AN37" s="861"/>
    </row>
    <row r="38" s="459" customFormat="1" ht="28.5" customHeight="1" spans="1:40">
      <c r="A38" s="1580" t="s">
        <v>92</v>
      </c>
      <c r="B38" s="467" t="s">
        <v>8194</v>
      </c>
      <c r="C38" s="836" t="s">
        <v>8195</v>
      </c>
      <c r="D38" s="795" t="s">
        <v>8196</v>
      </c>
      <c r="E38" s="764" t="s">
        <v>43</v>
      </c>
      <c r="F38" s="180" t="s">
        <v>404</v>
      </c>
      <c r="G38" s="795" t="s">
        <v>8197</v>
      </c>
      <c r="H38" s="764" t="s">
        <v>920</v>
      </c>
      <c r="I38" s="768">
        <v>42829</v>
      </c>
      <c r="J38" s="768">
        <v>42920</v>
      </c>
      <c r="K38" s="768">
        <v>43012</v>
      </c>
      <c r="L38" s="768">
        <v>43190</v>
      </c>
      <c r="M38" s="180"/>
      <c r="N38" s="180"/>
      <c r="O38" s="704"/>
      <c r="P38" s="180"/>
      <c r="Q38" s="180"/>
      <c r="R38" s="641">
        <v>-16.7490633101843</v>
      </c>
      <c r="S38" s="187" t="s">
        <v>2569</v>
      </c>
      <c r="T38" s="801">
        <v>10000000</v>
      </c>
      <c r="U38" s="801"/>
      <c r="V38" s="805" t="s">
        <v>112</v>
      </c>
      <c r="W38" s="764" t="s">
        <v>113</v>
      </c>
      <c r="X38" s="764" t="s">
        <v>7958</v>
      </c>
      <c r="Y38" s="180"/>
      <c r="Z38" s="795" t="s">
        <v>8198</v>
      </c>
      <c r="AA38" s="224" t="s">
        <v>8199</v>
      </c>
      <c r="AB38" s="224" t="s">
        <v>8200</v>
      </c>
      <c r="AC38" s="224" t="s">
        <v>8201</v>
      </c>
      <c r="AD38" s="224"/>
      <c r="AE38" s="1581" t="s">
        <v>8202</v>
      </c>
      <c r="AF38" s="224" t="s">
        <v>8203</v>
      </c>
      <c r="AG38" s="224" t="s">
        <v>8204</v>
      </c>
      <c r="AH38" s="224" t="s">
        <v>4508</v>
      </c>
      <c r="AI38" s="860"/>
      <c r="AJ38" s="861"/>
      <c r="AK38" s="861"/>
      <c r="AL38" s="861"/>
      <c r="AM38" s="861"/>
      <c r="AN38" s="861"/>
    </row>
    <row r="39" s="459" customFormat="1" ht="31.5" spans="1:40">
      <c r="A39" s="1580" t="s">
        <v>157</v>
      </c>
      <c r="B39" s="838" t="s">
        <v>8205</v>
      </c>
      <c r="C39" s="836" t="s">
        <v>8206</v>
      </c>
      <c r="D39" s="795" t="s">
        <v>8207</v>
      </c>
      <c r="E39" s="764" t="s">
        <v>43</v>
      </c>
      <c r="F39" s="180" t="s">
        <v>60</v>
      </c>
      <c r="G39" s="795" t="s">
        <v>8014</v>
      </c>
      <c r="H39" s="764" t="s">
        <v>920</v>
      </c>
      <c r="I39" s="768" t="s">
        <v>4826</v>
      </c>
      <c r="J39" s="768">
        <v>43025</v>
      </c>
      <c r="K39" s="768">
        <v>43190</v>
      </c>
      <c r="L39" s="472"/>
      <c r="M39" s="180"/>
      <c r="N39" s="180"/>
      <c r="O39" s="704"/>
      <c r="P39" s="180"/>
      <c r="Q39" s="180"/>
      <c r="R39" s="641">
        <v>-16.7490633101843</v>
      </c>
      <c r="S39" s="187" t="s">
        <v>2569</v>
      </c>
      <c r="T39" s="801">
        <v>6000000</v>
      </c>
      <c r="U39" s="801"/>
      <c r="V39" s="805" t="s">
        <v>112</v>
      </c>
      <c r="W39" s="764" t="s">
        <v>113</v>
      </c>
      <c r="X39" s="764" t="s">
        <v>7958</v>
      </c>
      <c r="Y39" s="180"/>
      <c r="Z39" s="795" t="s">
        <v>8208</v>
      </c>
      <c r="AA39" s="224" t="s">
        <v>8209</v>
      </c>
      <c r="AB39" s="224" t="s">
        <v>8210</v>
      </c>
      <c r="AC39" s="224" t="s">
        <v>8211</v>
      </c>
      <c r="AD39" s="224"/>
      <c r="AE39" s="1581" t="s">
        <v>8212</v>
      </c>
      <c r="AF39" s="224" t="s">
        <v>8213</v>
      </c>
      <c r="AG39" s="229" t="s">
        <v>8214</v>
      </c>
      <c r="AH39" s="224" t="s">
        <v>4508</v>
      </c>
      <c r="AI39" s="860"/>
      <c r="AJ39" s="861"/>
      <c r="AK39" s="861"/>
      <c r="AL39" s="861"/>
      <c r="AM39" s="861"/>
      <c r="AN39" s="861"/>
    </row>
    <row r="40" ht="14.1" customHeight="1" spans="1:40">
      <c r="A40" s="529"/>
      <c r="B40" s="814"/>
      <c r="C40" s="843"/>
      <c r="D40" s="815"/>
      <c r="E40" s="817"/>
      <c r="F40" s="521"/>
      <c r="G40" s="815"/>
      <c r="H40" s="815"/>
      <c r="I40" s="818"/>
      <c r="J40" s="818"/>
      <c r="K40" s="529"/>
      <c r="L40" s="529"/>
      <c r="M40" s="529"/>
      <c r="N40" s="529"/>
      <c r="O40" s="529"/>
      <c r="P40" s="529"/>
      <c r="Q40" s="529"/>
      <c r="R40" s="546"/>
      <c r="S40" s="533"/>
      <c r="T40" s="545"/>
      <c r="U40" s="545"/>
      <c r="V40" s="815"/>
      <c r="W40" s="815"/>
      <c r="X40" s="823"/>
      <c r="Y40" s="529"/>
      <c r="Z40" s="815"/>
      <c r="AA40" s="856"/>
      <c r="AB40" s="856"/>
      <c r="AC40" s="856"/>
      <c r="AD40" s="856"/>
      <c r="AE40" s="856"/>
      <c r="AF40" s="856"/>
      <c r="AG40" s="862"/>
      <c r="AH40" s="856"/>
      <c r="AI40" s="856"/>
      <c r="AJ40" s="529"/>
      <c r="AK40" s="529"/>
      <c r="AL40" s="529"/>
      <c r="AM40" s="529"/>
      <c r="AN40" s="529"/>
    </row>
    <row r="41" ht="14.1" customHeight="1" spans="1:40">
      <c r="A41" s="529"/>
      <c r="B41" s="814"/>
      <c r="C41" s="843"/>
      <c r="D41" s="815"/>
      <c r="E41" s="817"/>
      <c r="F41" s="521"/>
      <c r="G41" s="815"/>
      <c r="H41" s="815"/>
      <c r="I41" s="818"/>
      <c r="J41" s="818"/>
      <c r="K41" s="529"/>
      <c r="L41" s="529"/>
      <c r="M41" s="529"/>
      <c r="N41" s="529"/>
      <c r="O41" s="529"/>
      <c r="P41" s="529"/>
      <c r="Q41" s="529"/>
      <c r="R41" s="546"/>
      <c r="S41" s="533"/>
      <c r="T41" s="545"/>
      <c r="U41" s="545"/>
      <c r="V41" s="815"/>
      <c r="W41" s="815"/>
      <c r="X41" s="823"/>
      <c r="Y41" s="529"/>
      <c r="Z41" s="815"/>
      <c r="AA41" s="856"/>
      <c r="AB41" s="856"/>
      <c r="AC41" s="856"/>
      <c r="AD41" s="856"/>
      <c r="AE41" s="856"/>
      <c r="AF41" s="856"/>
      <c r="AG41" s="862"/>
      <c r="AH41" s="856"/>
      <c r="AI41" s="856"/>
      <c r="AJ41" s="529"/>
      <c r="AK41" s="529"/>
      <c r="AL41" s="529"/>
      <c r="AM41" s="529"/>
      <c r="AN41" s="529"/>
    </row>
    <row r="42" ht="14.1" customHeight="1" spans="1:40">
      <c r="A42" s="529"/>
      <c r="B42" s="814"/>
      <c r="C42" s="843"/>
      <c r="D42" s="815"/>
      <c r="E42" s="817"/>
      <c r="F42" s="521"/>
      <c r="G42" s="815"/>
      <c r="H42" s="815"/>
      <c r="I42" s="818"/>
      <c r="J42" s="818"/>
      <c r="K42" s="529"/>
      <c r="L42" s="529"/>
      <c r="M42" s="529"/>
      <c r="N42" s="529"/>
      <c r="O42" s="529"/>
      <c r="P42" s="529"/>
      <c r="Q42" s="529"/>
      <c r="R42" s="546"/>
      <c r="S42" s="533"/>
      <c r="T42" s="545"/>
      <c r="U42" s="545"/>
      <c r="V42" s="815"/>
      <c r="W42" s="815"/>
      <c r="X42" s="823"/>
      <c r="Y42" s="529"/>
      <c r="Z42" s="815"/>
      <c r="AA42" s="856"/>
      <c r="AB42" s="856"/>
      <c r="AC42" s="856"/>
      <c r="AD42" s="856"/>
      <c r="AE42" s="856"/>
      <c r="AF42" s="856"/>
      <c r="AG42" s="862"/>
      <c r="AH42" s="856"/>
      <c r="AI42" s="856"/>
      <c r="AJ42" s="529"/>
      <c r="AK42" s="529"/>
      <c r="AL42" s="529"/>
      <c r="AM42" s="529"/>
      <c r="AN42" s="529"/>
    </row>
    <row r="43" ht="14.1" customHeight="1" spans="1:40">
      <c r="A43" s="529"/>
      <c r="B43" s="814"/>
      <c r="C43" s="843"/>
      <c r="D43" s="815"/>
      <c r="E43" s="817"/>
      <c r="F43" s="521"/>
      <c r="G43" s="815"/>
      <c r="H43" s="815"/>
      <c r="I43" s="818"/>
      <c r="J43" s="818"/>
      <c r="K43" s="529"/>
      <c r="L43" s="529"/>
      <c r="M43" s="529"/>
      <c r="N43" s="529"/>
      <c r="O43" s="529"/>
      <c r="P43" s="529"/>
      <c r="Q43" s="529"/>
      <c r="R43" s="546"/>
      <c r="S43" s="533"/>
      <c r="T43" s="545"/>
      <c r="U43" s="545"/>
      <c r="V43" s="815"/>
      <c r="W43" s="815"/>
      <c r="X43" s="823"/>
      <c r="Y43" s="529"/>
      <c r="Z43" s="815"/>
      <c r="AA43" s="856"/>
      <c r="AB43" s="856"/>
      <c r="AC43" s="856"/>
      <c r="AD43" s="856"/>
      <c r="AE43" s="856"/>
      <c r="AF43" s="856"/>
      <c r="AG43" s="862"/>
      <c r="AH43" s="856"/>
      <c r="AI43" s="856"/>
      <c r="AJ43" s="529"/>
      <c r="AK43" s="529"/>
      <c r="AL43" s="529"/>
      <c r="AM43" s="529"/>
      <c r="AN43" s="529"/>
    </row>
    <row r="44" ht="14.1" customHeight="1" spans="1:40">
      <c r="A44" s="529"/>
      <c r="B44" s="814"/>
      <c r="C44" s="843"/>
      <c r="D44" s="815"/>
      <c r="E44" s="817"/>
      <c r="F44" s="521"/>
      <c r="G44" s="815"/>
      <c r="H44" s="815"/>
      <c r="I44" s="818"/>
      <c r="J44" s="818"/>
      <c r="K44" s="529"/>
      <c r="L44" s="529"/>
      <c r="M44" s="529"/>
      <c r="N44" s="529"/>
      <c r="O44" s="529"/>
      <c r="P44" s="529"/>
      <c r="Q44" s="529"/>
      <c r="R44" s="546"/>
      <c r="S44" s="533"/>
      <c r="T44" s="545"/>
      <c r="U44" s="545"/>
      <c r="V44" s="815"/>
      <c r="W44" s="815"/>
      <c r="X44" s="823"/>
      <c r="Y44" s="529"/>
      <c r="Z44" s="815"/>
      <c r="AA44" s="856"/>
      <c r="AB44" s="856"/>
      <c r="AC44" s="856"/>
      <c r="AD44" s="856"/>
      <c r="AE44" s="856"/>
      <c r="AF44" s="856"/>
      <c r="AG44" s="862"/>
      <c r="AH44" s="856"/>
      <c r="AI44" s="856"/>
      <c r="AJ44" s="529"/>
      <c r="AK44" s="529"/>
      <c r="AL44" s="529"/>
      <c r="AM44" s="529"/>
      <c r="AN44" s="529"/>
    </row>
    <row r="45" ht="14.1" customHeight="1" spans="1:40">
      <c r="A45" s="529"/>
      <c r="B45" s="814"/>
      <c r="C45" s="843"/>
      <c r="D45" s="815"/>
      <c r="E45" s="817"/>
      <c r="F45" s="521"/>
      <c r="G45" s="815"/>
      <c r="H45" s="815"/>
      <c r="I45" s="818"/>
      <c r="J45" s="818"/>
      <c r="K45" s="529"/>
      <c r="L45" s="529"/>
      <c r="M45" s="529"/>
      <c r="N45" s="529"/>
      <c r="O45" s="529"/>
      <c r="P45" s="529"/>
      <c r="Q45" s="529"/>
      <c r="R45" s="546"/>
      <c r="S45" s="533"/>
      <c r="T45" s="545"/>
      <c r="U45" s="545"/>
      <c r="V45" s="815"/>
      <c r="W45" s="815"/>
      <c r="X45" s="823"/>
      <c r="Y45" s="529"/>
      <c r="Z45" s="815"/>
      <c r="AA45" s="856"/>
      <c r="AB45" s="856"/>
      <c r="AC45" s="856"/>
      <c r="AD45" s="856"/>
      <c r="AE45" s="856"/>
      <c r="AF45" s="856"/>
      <c r="AG45" s="862"/>
      <c r="AH45" s="856"/>
      <c r="AI45" s="856"/>
      <c r="AJ45" s="529"/>
      <c r="AK45" s="529"/>
      <c r="AL45" s="529"/>
      <c r="AM45" s="529"/>
      <c r="AN45" s="529"/>
    </row>
    <row r="46" ht="14.1" customHeight="1" spans="1:40">
      <c r="A46" s="529"/>
      <c r="B46" s="814"/>
      <c r="C46" s="843"/>
      <c r="D46" s="815"/>
      <c r="E46" s="817"/>
      <c r="F46" s="521"/>
      <c r="G46" s="815"/>
      <c r="H46" s="815"/>
      <c r="I46" s="818"/>
      <c r="J46" s="818"/>
      <c r="K46" s="529"/>
      <c r="L46" s="529"/>
      <c r="M46" s="529"/>
      <c r="N46" s="529"/>
      <c r="O46" s="529"/>
      <c r="P46" s="529"/>
      <c r="Q46" s="529"/>
      <c r="R46" s="546"/>
      <c r="S46" s="533"/>
      <c r="T46" s="545"/>
      <c r="U46" s="545"/>
      <c r="V46" s="815"/>
      <c r="W46" s="815"/>
      <c r="X46" s="823"/>
      <c r="Y46" s="529"/>
      <c r="Z46" s="815"/>
      <c r="AA46" s="856"/>
      <c r="AB46" s="856"/>
      <c r="AC46" s="856"/>
      <c r="AD46" s="856"/>
      <c r="AE46" s="856"/>
      <c r="AF46" s="857"/>
      <c r="AG46" s="862"/>
      <c r="AH46" s="856"/>
      <c r="AI46" s="856"/>
      <c r="AJ46" s="529"/>
      <c r="AK46" s="529"/>
      <c r="AL46" s="529"/>
      <c r="AM46" s="529"/>
      <c r="AN46" s="529"/>
    </row>
    <row r="47" ht="14.1" customHeight="1" spans="1:40">
      <c r="A47" s="529"/>
      <c r="B47" s="814"/>
      <c r="C47" s="843"/>
      <c r="D47" s="815"/>
      <c r="E47" s="817"/>
      <c r="F47" s="521"/>
      <c r="G47" s="815"/>
      <c r="H47" s="815"/>
      <c r="I47" s="818"/>
      <c r="J47" s="818"/>
      <c r="K47" s="529"/>
      <c r="L47" s="529"/>
      <c r="M47" s="529"/>
      <c r="N47" s="529"/>
      <c r="O47" s="529"/>
      <c r="P47" s="529"/>
      <c r="Q47" s="529"/>
      <c r="R47" s="546"/>
      <c r="S47" s="533"/>
      <c r="T47" s="545"/>
      <c r="U47" s="545"/>
      <c r="V47" s="815"/>
      <c r="W47" s="815"/>
      <c r="X47" s="823"/>
      <c r="Y47" s="529"/>
      <c r="Z47" s="815"/>
      <c r="AA47" s="856"/>
      <c r="AB47" s="856"/>
      <c r="AC47" s="856"/>
      <c r="AD47" s="856"/>
      <c r="AE47" s="856"/>
      <c r="AF47" s="856"/>
      <c r="AG47" s="862"/>
      <c r="AH47" s="856"/>
      <c r="AI47" s="856"/>
      <c r="AJ47" s="529"/>
      <c r="AK47" s="529"/>
      <c r="AL47" s="529"/>
      <c r="AM47" s="529"/>
      <c r="AN47" s="529"/>
    </row>
    <row r="48" ht="14.1" customHeight="1" spans="1:40">
      <c r="A48" s="529"/>
      <c r="B48" s="814"/>
      <c r="C48" s="843"/>
      <c r="D48" s="815"/>
      <c r="E48" s="817"/>
      <c r="F48" s="521"/>
      <c r="G48" s="815"/>
      <c r="H48" s="815"/>
      <c r="I48" s="818"/>
      <c r="J48" s="818"/>
      <c r="K48" s="529"/>
      <c r="L48" s="529"/>
      <c r="M48" s="529"/>
      <c r="N48" s="529"/>
      <c r="O48" s="529"/>
      <c r="P48" s="529"/>
      <c r="Q48" s="529"/>
      <c r="R48" s="546"/>
      <c r="S48" s="533"/>
      <c r="T48" s="545"/>
      <c r="U48" s="545"/>
      <c r="V48" s="815"/>
      <c r="W48" s="815"/>
      <c r="X48" s="823"/>
      <c r="Y48" s="529"/>
      <c r="Z48" s="815"/>
      <c r="AA48" s="856"/>
      <c r="AB48" s="856"/>
      <c r="AC48" s="856"/>
      <c r="AD48" s="856"/>
      <c r="AE48" s="856"/>
      <c r="AF48" s="856"/>
      <c r="AG48" s="856"/>
      <c r="AH48" s="856"/>
      <c r="AI48" s="856"/>
      <c r="AJ48" s="529"/>
      <c r="AK48" s="529"/>
      <c r="AL48" s="529"/>
      <c r="AM48" s="529"/>
      <c r="AN48" s="529"/>
    </row>
    <row r="49" ht="14.1" customHeight="1" spans="1:40">
      <c r="A49" s="529"/>
      <c r="B49" s="814"/>
      <c r="C49" s="843"/>
      <c r="D49" s="815"/>
      <c r="E49" s="817"/>
      <c r="F49" s="521"/>
      <c r="G49" s="815"/>
      <c r="H49" s="815"/>
      <c r="I49" s="818"/>
      <c r="J49" s="818"/>
      <c r="K49" s="529"/>
      <c r="L49" s="529"/>
      <c r="M49" s="529"/>
      <c r="N49" s="529"/>
      <c r="O49" s="529"/>
      <c r="P49" s="529"/>
      <c r="Q49" s="529"/>
      <c r="R49" s="546"/>
      <c r="S49" s="533"/>
      <c r="T49" s="545"/>
      <c r="U49" s="545"/>
      <c r="V49" s="815"/>
      <c r="W49" s="815"/>
      <c r="X49" s="823"/>
      <c r="Y49" s="529"/>
      <c r="Z49" s="815"/>
      <c r="AA49" s="856"/>
      <c r="AB49" s="856"/>
      <c r="AC49" s="856"/>
      <c r="AD49" s="856"/>
      <c r="AE49" s="856"/>
      <c r="AF49" s="856"/>
      <c r="AG49" s="862"/>
      <c r="AH49" s="856"/>
      <c r="AI49" s="856"/>
      <c r="AJ49" s="529"/>
      <c r="AK49" s="529"/>
      <c r="AL49" s="529"/>
      <c r="AM49" s="529"/>
      <c r="AN49" s="529"/>
    </row>
    <row r="50" ht="14.1" customHeight="1" spans="1:40">
      <c r="A50" s="529"/>
      <c r="B50" s="814"/>
      <c r="C50" s="843"/>
      <c r="D50" s="815"/>
      <c r="E50" s="817"/>
      <c r="F50" s="521"/>
      <c r="G50" s="815"/>
      <c r="H50" s="815"/>
      <c r="I50" s="818"/>
      <c r="J50" s="818"/>
      <c r="K50" s="529"/>
      <c r="L50" s="529"/>
      <c r="M50" s="529"/>
      <c r="N50" s="529"/>
      <c r="O50" s="529"/>
      <c r="P50" s="529"/>
      <c r="Q50" s="529"/>
      <c r="R50" s="546"/>
      <c r="S50" s="533"/>
      <c r="T50" s="545"/>
      <c r="U50" s="545"/>
      <c r="V50" s="815"/>
      <c r="W50" s="815"/>
      <c r="X50" s="823"/>
      <c r="Y50" s="529"/>
      <c r="Z50" s="815"/>
      <c r="AA50" s="856"/>
      <c r="AB50" s="856"/>
      <c r="AC50" s="856"/>
      <c r="AD50" s="856"/>
      <c r="AE50" s="856"/>
      <c r="AF50" s="856"/>
      <c r="AG50" s="862"/>
      <c r="AH50" s="856"/>
      <c r="AI50" s="856"/>
      <c r="AJ50" s="529"/>
      <c r="AK50" s="529"/>
      <c r="AL50" s="529"/>
      <c r="AM50" s="529"/>
      <c r="AN50" s="529"/>
    </row>
    <row r="51" ht="14.1" customHeight="1" spans="1:40">
      <c r="A51" s="529"/>
      <c r="B51" s="814"/>
      <c r="C51" s="843"/>
      <c r="D51" s="815"/>
      <c r="E51" s="817"/>
      <c r="F51" s="521"/>
      <c r="G51" s="815"/>
      <c r="H51" s="815"/>
      <c r="I51" s="818"/>
      <c r="J51" s="818"/>
      <c r="K51" s="529"/>
      <c r="L51" s="529"/>
      <c r="M51" s="529"/>
      <c r="N51" s="529"/>
      <c r="O51" s="529"/>
      <c r="P51" s="529"/>
      <c r="Q51" s="529"/>
      <c r="R51" s="546"/>
      <c r="S51" s="533"/>
      <c r="T51" s="545"/>
      <c r="U51" s="545"/>
      <c r="V51" s="815"/>
      <c r="W51" s="815"/>
      <c r="X51" s="823"/>
      <c r="Y51" s="529"/>
      <c r="Z51" s="815"/>
      <c r="AA51" s="856"/>
      <c r="AB51" s="856"/>
      <c r="AC51" s="856"/>
      <c r="AD51" s="856"/>
      <c r="AE51" s="856"/>
      <c r="AF51" s="856"/>
      <c r="AG51" s="856"/>
      <c r="AH51" s="856"/>
      <c r="AI51" s="856"/>
      <c r="AJ51" s="529"/>
      <c r="AK51" s="529"/>
      <c r="AL51" s="529"/>
      <c r="AM51" s="529"/>
      <c r="AN51" s="529"/>
    </row>
    <row r="52" ht="14.1" customHeight="1" spans="1:40">
      <c r="A52" s="529"/>
      <c r="B52" s="814"/>
      <c r="C52" s="843"/>
      <c r="D52" s="815"/>
      <c r="E52" s="817"/>
      <c r="F52" s="521"/>
      <c r="G52" s="815"/>
      <c r="H52" s="815"/>
      <c r="I52" s="818"/>
      <c r="J52" s="818"/>
      <c r="K52" s="529"/>
      <c r="L52" s="529"/>
      <c r="M52" s="529"/>
      <c r="N52" s="529"/>
      <c r="O52" s="529"/>
      <c r="P52" s="529"/>
      <c r="Q52" s="529"/>
      <c r="R52" s="546"/>
      <c r="S52" s="533"/>
      <c r="T52" s="545"/>
      <c r="U52" s="545"/>
      <c r="V52" s="815"/>
      <c r="W52" s="815"/>
      <c r="X52" s="823"/>
      <c r="Y52" s="529"/>
      <c r="Z52" s="815"/>
      <c r="AA52" s="856"/>
      <c r="AB52" s="856"/>
      <c r="AC52" s="856"/>
      <c r="AD52" s="856"/>
      <c r="AE52" s="856"/>
      <c r="AF52" s="856"/>
      <c r="AG52" s="862"/>
      <c r="AH52" s="856"/>
      <c r="AI52" s="856"/>
      <c r="AJ52" s="529"/>
      <c r="AK52" s="529"/>
      <c r="AL52" s="529"/>
      <c r="AM52" s="529"/>
      <c r="AN52" s="529"/>
    </row>
    <row r="53" ht="14.1" customHeight="1" spans="1:40">
      <c r="A53" s="529"/>
      <c r="B53" s="814"/>
      <c r="C53" s="843"/>
      <c r="D53" s="815"/>
      <c r="E53" s="817"/>
      <c r="F53" s="521"/>
      <c r="G53" s="815"/>
      <c r="H53" s="815"/>
      <c r="I53" s="818"/>
      <c r="J53" s="818"/>
      <c r="K53" s="529"/>
      <c r="L53" s="529"/>
      <c r="M53" s="529"/>
      <c r="N53" s="529"/>
      <c r="O53" s="529"/>
      <c r="P53" s="529"/>
      <c r="Q53" s="529"/>
      <c r="R53" s="546"/>
      <c r="S53" s="533"/>
      <c r="T53" s="545"/>
      <c r="U53" s="545"/>
      <c r="V53" s="815"/>
      <c r="W53" s="815"/>
      <c r="X53" s="823"/>
      <c r="Y53" s="529"/>
      <c r="Z53" s="815"/>
      <c r="AA53" s="856"/>
      <c r="AB53" s="856"/>
      <c r="AC53" s="856"/>
      <c r="AD53" s="856"/>
      <c r="AE53" s="856"/>
      <c r="AF53" s="856"/>
      <c r="AG53" s="862"/>
      <c r="AH53" s="856"/>
      <c r="AI53" s="856"/>
      <c r="AJ53" s="529"/>
      <c r="AK53" s="529"/>
      <c r="AL53" s="529"/>
      <c r="AM53" s="529"/>
      <c r="AN53" s="529"/>
    </row>
    <row r="54" ht="14.1" customHeight="1" spans="1:40">
      <c r="A54" s="529"/>
      <c r="B54" s="814"/>
      <c r="C54" s="843"/>
      <c r="D54" s="815"/>
      <c r="E54" s="817"/>
      <c r="F54" s="521"/>
      <c r="G54" s="815"/>
      <c r="H54" s="815"/>
      <c r="I54" s="818"/>
      <c r="J54" s="818"/>
      <c r="K54" s="529"/>
      <c r="L54" s="529"/>
      <c r="M54" s="529"/>
      <c r="N54" s="529"/>
      <c r="O54" s="529"/>
      <c r="P54" s="529"/>
      <c r="Q54" s="529"/>
      <c r="R54" s="546"/>
      <c r="S54" s="533"/>
      <c r="T54" s="545"/>
      <c r="U54" s="545"/>
      <c r="V54" s="815"/>
      <c r="W54" s="815"/>
      <c r="X54" s="823"/>
      <c r="Y54" s="529"/>
      <c r="Z54" s="815"/>
      <c r="AA54" s="856"/>
      <c r="AB54" s="856"/>
      <c r="AC54" s="856"/>
      <c r="AD54" s="856"/>
      <c r="AE54" s="856"/>
      <c r="AF54" s="856"/>
      <c r="AG54" s="856"/>
      <c r="AH54" s="856"/>
      <c r="AI54" s="856"/>
      <c r="AJ54" s="529"/>
      <c r="AK54" s="529"/>
      <c r="AL54" s="529"/>
      <c r="AM54" s="529"/>
      <c r="AN54" s="529"/>
    </row>
    <row r="55" ht="14.1" customHeight="1" spans="1:40">
      <c r="A55" s="529"/>
      <c r="B55" s="814"/>
      <c r="C55" s="843"/>
      <c r="D55" s="815"/>
      <c r="E55" s="817"/>
      <c r="F55" s="521"/>
      <c r="G55" s="815"/>
      <c r="H55" s="815"/>
      <c r="I55" s="818"/>
      <c r="J55" s="818"/>
      <c r="K55" s="529"/>
      <c r="L55" s="529"/>
      <c r="M55" s="529"/>
      <c r="N55" s="529"/>
      <c r="O55" s="529"/>
      <c r="P55" s="529"/>
      <c r="Q55" s="529"/>
      <c r="R55" s="546"/>
      <c r="S55" s="533"/>
      <c r="T55" s="545"/>
      <c r="U55" s="545"/>
      <c r="V55" s="815"/>
      <c r="W55" s="815"/>
      <c r="X55" s="823"/>
      <c r="Y55" s="529"/>
      <c r="Z55" s="815"/>
      <c r="AA55" s="856"/>
      <c r="AB55" s="856"/>
      <c r="AC55" s="856"/>
      <c r="AD55" s="856"/>
      <c r="AE55" s="856"/>
      <c r="AF55" s="856"/>
      <c r="AG55" s="862"/>
      <c r="AH55" s="856"/>
      <c r="AI55" s="856"/>
      <c r="AJ55" s="529"/>
      <c r="AK55" s="529"/>
      <c r="AL55" s="529"/>
      <c r="AM55" s="529"/>
      <c r="AN55" s="529"/>
    </row>
    <row r="56" ht="14.1" customHeight="1" spans="1:40">
      <c r="A56" s="529"/>
      <c r="B56" s="529"/>
      <c r="C56" s="846"/>
      <c r="D56" s="529"/>
      <c r="E56" s="521"/>
      <c r="F56" s="521"/>
      <c r="G56" s="529"/>
      <c r="H56" s="529"/>
      <c r="I56" s="529"/>
      <c r="J56" s="529"/>
      <c r="K56" s="529"/>
      <c r="L56" s="529"/>
      <c r="M56" s="529"/>
      <c r="N56" s="529"/>
      <c r="O56" s="529"/>
      <c r="P56" s="529"/>
      <c r="Q56" s="529"/>
      <c r="R56" s="529"/>
      <c r="S56" s="529"/>
      <c r="T56" s="529"/>
      <c r="U56" s="529"/>
      <c r="V56" s="529"/>
      <c r="W56" s="529"/>
      <c r="X56" s="529"/>
      <c r="Y56" s="529"/>
      <c r="Z56" s="529"/>
      <c r="AA56" s="856"/>
      <c r="AB56" s="856"/>
      <c r="AC56" s="856"/>
      <c r="AD56" s="856"/>
      <c r="AE56" s="856"/>
      <c r="AF56" s="856"/>
      <c r="AG56" s="856"/>
      <c r="AH56" s="856"/>
      <c r="AI56" s="856"/>
      <c r="AJ56" s="529"/>
      <c r="AK56" s="529"/>
      <c r="AL56" s="529"/>
      <c r="AM56" s="529"/>
      <c r="AN56" s="529"/>
    </row>
    <row r="57" ht="14.1" customHeight="1" spans="1:40">
      <c r="A57" s="529"/>
      <c r="B57" s="529"/>
      <c r="C57" s="846"/>
      <c r="D57" s="529"/>
      <c r="E57" s="521"/>
      <c r="F57" s="521"/>
      <c r="G57" s="529"/>
      <c r="H57" s="529"/>
      <c r="I57" s="529"/>
      <c r="J57" s="529"/>
      <c r="K57" s="529"/>
      <c r="L57" s="529"/>
      <c r="M57" s="529"/>
      <c r="N57" s="529"/>
      <c r="O57" s="529"/>
      <c r="P57" s="529"/>
      <c r="Q57" s="529"/>
      <c r="R57" s="529"/>
      <c r="S57" s="529"/>
      <c r="T57" s="529"/>
      <c r="U57" s="529"/>
      <c r="V57" s="529"/>
      <c r="W57" s="529"/>
      <c r="X57" s="529"/>
      <c r="Y57" s="529"/>
      <c r="Z57" s="529"/>
      <c r="AA57" s="856"/>
      <c r="AB57" s="856"/>
      <c r="AC57" s="856"/>
      <c r="AD57" s="856"/>
      <c r="AE57" s="856"/>
      <c r="AF57" s="856"/>
      <c r="AG57" s="856"/>
      <c r="AH57" s="856"/>
      <c r="AI57" s="856"/>
      <c r="AJ57" s="529"/>
      <c r="AK57" s="529"/>
      <c r="AL57" s="529"/>
      <c r="AM57" s="529"/>
      <c r="AN57" s="529"/>
    </row>
    <row r="58" ht="14.1" customHeight="1" spans="1:40">
      <c r="A58" s="529"/>
      <c r="B58" s="529"/>
      <c r="C58" s="846"/>
      <c r="D58" s="529"/>
      <c r="E58" s="521"/>
      <c r="F58" s="521"/>
      <c r="G58" s="529"/>
      <c r="H58" s="529"/>
      <c r="I58" s="529"/>
      <c r="J58" s="529"/>
      <c r="K58" s="529"/>
      <c r="L58" s="529"/>
      <c r="M58" s="529"/>
      <c r="N58" s="529"/>
      <c r="O58" s="529"/>
      <c r="P58" s="529"/>
      <c r="Q58" s="529"/>
      <c r="R58" s="529"/>
      <c r="S58" s="529"/>
      <c r="T58" s="529"/>
      <c r="U58" s="529"/>
      <c r="V58" s="529"/>
      <c r="W58" s="529"/>
      <c r="X58" s="529"/>
      <c r="Y58" s="529"/>
      <c r="Z58" s="529"/>
      <c r="AA58" s="856"/>
      <c r="AB58" s="856"/>
      <c r="AC58" s="856"/>
      <c r="AD58" s="856"/>
      <c r="AE58" s="856"/>
      <c r="AF58" s="856"/>
      <c r="AG58" s="856"/>
      <c r="AH58" s="856"/>
      <c r="AI58" s="856"/>
      <c r="AJ58" s="529"/>
      <c r="AK58" s="529"/>
      <c r="AL58" s="529"/>
      <c r="AM58" s="529"/>
      <c r="AN58" s="529"/>
    </row>
    <row r="59" ht="14.1" customHeight="1"/>
    <row r="60" ht="14.1" customHeight="1"/>
  </sheetData>
  <mergeCells count="30">
    <mergeCell ref="A2:K2"/>
    <mergeCell ref="A3:K3"/>
    <mergeCell ref="I7:J7"/>
    <mergeCell ref="K7:N7"/>
    <mergeCell ref="O7:P7"/>
    <mergeCell ref="A7:A8"/>
    <mergeCell ref="B7:B8"/>
    <mergeCell ref="C7:C8"/>
    <mergeCell ref="D7:D8"/>
    <mergeCell ref="E7:E8"/>
    <mergeCell ref="F7:F8"/>
    <mergeCell ref="G7:G8"/>
    <mergeCell ref="H7:H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s>
  <conditionalFormatting sqref="R40:S55;S12:S15;R16:S19;R9:S11;R25:S34">
    <cfRule type="expression" dxfId="1007" priority="1" stopIfTrue="1">
      <formula>IF($S9="warning",TRUE,FALSE)</formula>
    </cfRule>
  </conditionalFormatting>
  <conditionalFormatting sqref="R12:R13">
    <cfRule type="expression" dxfId="1008" priority="2" stopIfTrue="1">
      <formula>IF($T12="warning",TRUE,FALSE)</formula>
    </cfRule>
  </conditionalFormatting>
  <conditionalFormatting sqref="R35:S35">
    <cfRule type="expression" dxfId="1009" priority="3" stopIfTrue="1">
      <formula>IF($S35="warning",TRUE,FALSE)</formula>
    </cfRule>
  </conditionalFormatting>
  <conditionalFormatting sqref="R21:S24">
    <cfRule type="expression" dxfId="1010" priority="4" stopIfTrue="1">
      <formula>IF($S21="warning",TRUE,FALSE)</formula>
    </cfRule>
  </conditionalFormatting>
  <conditionalFormatting sqref="R36:S36">
    <cfRule type="expression" dxfId="1011" priority="5" stopIfTrue="1">
      <formula>IF($S36="warning",TRUE,FALSE)</formula>
    </cfRule>
  </conditionalFormatting>
  <conditionalFormatting sqref="R20:S20">
    <cfRule type="expression" dxfId="1012" priority="6" stopIfTrue="1">
      <formula>IF($S20="warning",TRUE,FALSE)</formula>
    </cfRule>
  </conditionalFormatting>
  <conditionalFormatting sqref="R14">
    <cfRule type="expression" dxfId="1013" priority="7" stopIfTrue="1">
      <formula>IF($S14="warning",TRUE,FALSE)</formula>
    </cfRule>
  </conditionalFormatting>
  <conditionalFormatting sqref="R15">
    <cfRule type="expression" dxfId="1014" priority="8" stopIfTrue="1">
      <formula>IF($S15="warning",TRUE,FALSE)</formula>
    </cfRule>
  </conditionalFormatting>
  <conditionalFormatting sqref="R38">
    <cfRule type="expression" dxfId="1015" priority="9" stopIfTrue="1">
      <formula>IF($T38="warning",TRUE,FALSE)</formula>
    </cfRule>
  </conditionalFormatting>
  <conditionalFormatting sqref="S38">
    <cfRule type="expression" dxfId="1016" priority="10" stopIfTrue="1">
      <formula>IF($S38="warning",TRUE,FALSE)</formula>
    </cfRule>
  </conditionalFormatting>
  <hyperlinks>
    <hyperlink ref="AG34" location="" display="donnysaputra@gmail.com"/>
    <hyperlink ref="AG9" location="" display="bli_futhu@yahoo.co.id       "/>
    <hyperlink ref="AG10" location="" display="algio_81@yahoo.co.id"/>
    <hyperlink ref="AG32" location="" display="budiman.cme@gmail.com"/>
    <hyperlink ref="AG33" location="" display="muhamad.darman2015@gmail.com"/>
    <hyperlink ref="AG16" location="" display="Bireycharles@gmail.com"/>
    <hyperlink ref="AG14" location="" display="ngurah_gx@yahoo.com"/>
    <hyperlink ref="AG15" location="" display="tidarmp.tm@gmail.com"/>
    <hyperlink ref="AG17" location="" display="ifonshyrgia@gmail.com"/>
    <hyperlink ref="AG18" location="" display="emma.siahaan@gmail.com"/>
    <hyperlink ref="AG19" location="" display="alaziz_sbs@yahoo.com"/>
    <hyperlink ref="AG35" location="" display="Bireycharles@gmail.com"/>
    <hyperlink ref="AG36" location="" display="budiman.cme@gmail.com"/>
    <hyperlink ref="AG20" r:id="rId4" display="daim_nnuralip@yahoo.co.id"/>
    <hyperlink ref="AG21" r:id="rId5" display="THORIQ.IKHWAN@GMAIL.COM"/>
    <hyperlink ref="AG22" r:id="rId6" display="indabelgrade@gmail.com"/>
    <hyperlink ref="AG37" location="" display="gokmapanjaitan67@gmail.com"/>
    <hyperlink ref="AG38" location="" display="dimas.andelane@gmail.com       "/>
    <hyperlink ref="AG39" location="" display="tgunawan97@gmail.com, teguh_gun72@yahoo.com"/>
    <hyperlink ref="AG24" r:id="rId7" display="loginto_firman@yahoo.co.id"/>
    <hyperlink ref="AG23" r:id="rId8" display="evelindasigalingging@yahoo.com"/>
  </hyperlinks>
  <pageMargins left="0" right="0" top="0.75" bottom="0.75" header="0.3" footer="0.3"/>
  <pageSetup paperSize="9" scale="56" fitToWidth="2" orientation="landscape"/>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AL67"/>
  <sheetViews>
    <sheetView workbookViewId="0">
      <pane xSplit="3" ySplit="5" topLeftCell="D6" activePane="bottomRight" state="frozen"/>
      <selection/>
      <selection pane="topRight"/>
      <selection pane="bottomLeft"/>
      <selection pane="bottomRight" activeCell="E6" sqref="E6"/>
    </sheetView>
  </sheetViews>
  <sheetFormatPr defaultColWidth="9" defaultRowHeight="12.95" customHeight="1"/>
  <cols>
    <col min="1" max="1" width="3.70833333333333" style="93" customWidth="1"/>
    <col min="2" max="2" width="10.425" style="93" customWidth="1"/>
    <col min="3" max="3" width="17.5666666666667" style="93" customWidth="1"/>
    <col min="4" max="4" width="20.1416666666667" style="93" customWidth="1"/>
    <col min="5" max="5" width="5" style="91" customWidth="1"/>
    <col min="6" max="6" width="8.14166666666667" style="91" customWidth="1"/>
    <col min="7" max="8" width="12" style="93" customWidth="1"/>
    <col min="9" max="9" width="10.7083333333333" style="93" customWidth="1"/>
    <col min="10" max="10" width="9.28333333333333" style="93" customWidth="1"/>
    <col min="11" max="11" width="8.70833333333333" style="93" customWidth="1"/>
    <col min="12" max="13" width="8.56666666666667" style="93" customWidth="1"/>
    <col min="14" max="14" width="9" style="93" customWidth="1"/>
    <col min="15" max="15" width="9.85833333333333" style="93" customWidth="1"/>
    <col min="16" max="16" width="12.425" style="93" customWidth="1"/>
    <col min="17" max="17" width="10.425" style="93" customWidth="1"/>
    <col min="18" max="18" width="10.1416666666667" style="811" customWidth="1"/>
    <col min="19" max="19" width="5.85833333333333" style="93" customWidth="1"/>
    <col min="20" max="20" width="6.85833333333333" style="93" customWidth="1"/>
    <col min="21" max="21" width="9.70833333333333" style="93" customWidth="1"/>
    <col min="22" max="22" width="12.2833333333333" style="93" customWidth="1"/>
    <col min="23" max="23" width="23.425" style="93" customWidth="1"/>
    <col min="24" max="24" width="25.425" style="93" customWidth="1"/>
    <col min="25" max="25" width="12.5666666666667" style="93" customWidth="1"/>
    <col min="26" max="26" width="15" style="93" customWidth="1"/>
    <col min="27" max="27" width="16.8583333333333" style="93" customWidth="1"/>
    <col min="28" max="29" width="13" style="93" customWidth="1"/>
    <col min="30" max="30" width="20.425" style="93" customWidth="1"/>
    <col min="31" max="31" width="22.1416666666667" style="93" customWidth="1"/>
    <col min="32" max="32" width="19.2833333333333" style="93" customWidth="1"/>
    <col min="33" max="16384" width="9.14166666666667" style="93"/>
  </cols>
  <sheetData>
    <row r="1" s="91" customFormat="1" customHeight="1" spans="1:29">
      <c r="A1" s="97" t="s">
        <v>7926</v>
      </c>
      <c r="B1" s="812"/>
      <c r="C1" s="812"/>
      <c r="D1" s="812"/>
      <c r="E1" s="812"/>
      <c r="F1" s="812"/>
      <c r="G1" s="812"/>
      <c r="H1" s="812"/>
      <c r="I1" s="812"/>
      <c r="J1" s="812"/>
      <c r="K1" s="812"/>
      <c r="L1" s="97"/>
      <c r="M1" s="97"/>
      <c r="N1" s="97"/>
      <c r="O1" s="97"/>
      <c r="P1" s="97"/>
      <c r="Q1" s="97"/>
      <c r="R1" s="97"/>
      <c r="S1" s="97"/>
      <c r="T1" s="97"/>
      <c r="U1" s="97"/>
      <c r="V1" s="97"/>
      <c r="W1" s="97"/>
      <c r="X1" s="97"/>
      <c r="Y1" s="97"/>
      <c r="Z1" s="97"/>
      <c r="AA1" s="97"/>
      <c r="AB1" s="97"/>
      <c r="AC1" s="97"/>
    </row>
    <row r="2" s="91" customFormat="1" customHeight="1" spans="1:29">
      <c r="A2" s="97" t="s">
        <v>8215</v>
      </c>
      <c r="B2" s="812"/>
      <c r="C2" s="812"/>
      <c r="D2" s="812"/>
      <c r="E2" s="812"/>
      <c r="F2" s="812"/>
      <c r="G2" s="812"/>
      <c r="H2" s="812"/>
      <c r="I2" s="812"/>
      <c r="J2" s="812"/>
      <c r="K2" s="812"/>
      <c r="L2" s="97"/>
      <c r="M2" s="97"/>
      <c r="N2" s="97"/>
      <c r="O2" s="97"/>
      <c r="P2" s="97"/>
      <c r="Q2" s="97"/>
      <c r="R2" s="97"/>
      <c r="S2" s="97"/>
      <c r="T2" s="97"/>
      <c r="U2" s="97"/>
      <c r="V2" s="97"/>
      <c r="W2" s="97"/>
      <c r="X2" s="97"/>
      <c r="Y2" s="97"/>
      <c r="Z2" s="97"/>
      <c r="AA2" s="97"/>
      <c r="AB2" s="97"/>
      <c r="AC2" s="97"/>
    </row>
    <row r="3" s="91" customFormat="1" customHeight="1" spans="1:23">
      <c r="A3" s="97"/>
      <c r="B3" s="97"/>
      <c r="C3" s="97"/>
      <c r="D3" s="97"/>
      <c r="E3" s="97"/>
      <c r="F3" s="97"/>
      <c r="G3" s="97"/>
      <c r="H3" s="97"/>
      <c r="I3" s="97"/>
      <c r="J3" s="97"/>
      <c r="K3" s="97"/>
      <c r="L3" s="97"/>
      <c r="M3" s="97"/>
      <c r="N3" s="97"/>
      <c r="O3" s="97"/>
      <c r="P3" s="97"/>
      <c r="Q3" s="97"/>
      <c r="R3" s="97"/>
      <c r="S3" s="97"/>
      <c r="T3" s="97"/>
      <c r="U3" s="97"/>
      <c r="V3" s="97"/>
      <c r="W3" s="97"/>
    </row>
    <row r="4" s="91" customFormat="1" ht="19.5" customHeight="1" spans="1:32">
      <c r="A4" s="98" t="s">
        <v>0</v>
      </c>
      <c r="B4" s="98" t="s">
        <v>1</v>
      </c>
      <c r="C4" s="98" t="s">
        <v>2</v>
      </c>
      <c r="D4" s="98" t="s">
        <v>3</v>
      </c>
      <c r="E4" s="124" t="s">
        <v>7928</v>
      </c>
      <c r="F4" s="98" t="s">
        <v>7929</v>
      </c>
      <c r="G4" s="98" t="s">
        <v>8</v>
      </c>
      <c r="H4" s="124" t="s">
        <v>7930</v>
      </c>
      <c r="I4" s="174" t="s">
        <v>9</v>
      </c>
      <c r="J4" s="186"/>
      <c r="K4" s="186"/>
      <c r="L4" s="174" t="s">
        <v>11</v>
      </c>
      <c r="M4" s="186"/>
      <c r="N4" s="98" t="s">
        <v>14</v>
      </c>
      <c r="O4" s="103" t="s">
        <v>15</v>
      </c>
      <c r="P4" s="103" t="s">
        <v>7931</v>
      </c>
      <c r="Q4" s="537" t="s">
        <v>7932</v>
      </c>
      <c r="R4" s="537" t="s">
        <v>7933</v>
      </c>
      <c r="S4" s="98" t="s">
        <v>25</v>
      </c>
      <c r="T4" s="98" t="s">
        <v>26</v>
      </c>
      <c r="U4" s="98" t="s">
        <v>7953</v>
      </c>
      <c r="V4" s="98" t="s">
        <v>3509</v>
      </c>
      <c r="W4" s="103" t="s">
        <v>15</v>
      </c>
      <c r="X4" s="117" t="s">
        <v>28</v>
      </c>
      <c r="Y4" s="118" t="s">
        <v>29</v>
      </c>
      <c r="Z4" s="104" t="s">
        <v>31</v>
      </c>
      <c r="AA4" s="104" t="s">
        <v>32</v>
      </c>
      <c r="AB4" s="104" t="s">
        <v>7934</v>
      </c>
      <c r="AC4" s="124" t="s">
        <v>7935</v>
      </c>
      <c r="AD4" s="104" t="s">
        <v>30</v>
      </c>
      <c r="AE4" s="548" t="s">
        <v>7936</v>
      </c>
      <c r="AF4" s="124" t="s">
        <v>36</v>
      </c>
    </row>
    <row r="5" s="91" customFormat="1" ht="21" customHeight="1" spans="1:32">
      <c r="A5" s="672"/>
      <c r="B5" s="672"/>
      <c r="C5" s="672"/>
      <c r="D5" s="672"/>
      <c r="E5" s="816"/>
      <c r="F5" s="672"/>
      <c r="G5" s="672"/>
      <c r="H5" s="816"/>
      <c r="I5" s="98" t="s">
        <v>37</v>
      </c>
      <c r="J5" s="98" t="s">
        <v>38</v>
      </c>
      <c r="K5" s="98" t="s">
        <v>38</v>
      </c>
      <c r="L5" s="98" t="s">
        <v>37</v>
      </c>
      <c r="M5" s="98" t="s">
        <v>38</v>
      </c>
      <c r="N5" s="672"/>
      <c r="O5" s="706"/>
      <c r="P5" s="706"/>
      <c r="Q5" s="819"/>
      <c r="R5" s="819"/>
      <c r="S5" s="710"/>
      <c r="T5" s="820"/>
      <c r="U5" s="820"/>
      <c r="V5" s="710"/>
      <c r="W5" s="706"/>
      <c r="X5" s="717"/>
      <c r="Y5" s="824"/>
      <c r="Z5" s="825"/>
      <c r="AA5" s="825"/>
      <c r="AB5" s="825"/>
      <c r="AC5" s="828"/>
      <c r="AD5" s="825"/>
      <c r="AE5" s="560"/>
      <c r="AF5" s="730"/>
    </row>
    <row r="6" s="204" customFormat="1" ht="28.5" customHeight="1" spans="1:33">
      <c r="A6" s="432">
        <v>1</v>
      </c>
      <c r="B6" s="466" t="s">
        <v>8216</v>
      </c>
      <c r="C6" s="793" t="s">
        <v>8217</v>
      </c>
      <c r="D6" s="793" t="s">
        <v>8218</v>
      </c>
      <c r="E6" s="700" t="s">
        <v>43</v>
      </c>
      <c r="F6" s="432" t="s">
        <v>60</v>
      </c>
      <c r="G6" s="793" t="s">
        <v>8219</v>
      </c>
      <c r="H6" s="700"/>
      <c r="I6" s="704">
        <v>42401</v>
      </c>
      <c r="J6" s="704">
        <v>42766</v>
      </c>
      <c r="K6" s="704">
        <v>43131</v>
      </c>
      <c r="L6" s="704">
        <v>43132</v>
      </c>
      <c r="M6" s="704">
        <v>43496</v>
      </c>
      <c r="N6" s="640">
        <f ca="1">SUM(M6-NOW())</f>
        <v>223.61546296296</v>
      </c>
      <c r="O6" s="121" t="str">
        <f ca="1">IF(N6&lt;=40,"WARNING","ACTIVE")</f>
        <v>ACTIVE</v>
      </c>
      <c r="P6" s="800">
        <v>3648036</v>
      </c>
      <c r="Q6" s="116"/>
      <c r="R6" s="700"/>
      <c r="S6" s="700" t="s">
        <v>112</v>
      </c>
      <c r="T6" s="700" t="s">
        <v>113</v>
      </c>
      <c r="U6" s="700" t="s">
        <v>8220</v>
      </c>
      <c r="V6" s="432"/>
      <c r="W6" s="432" t="s">
        <v>8221</v>
      </c>
      <c r="X6" s="793" t="s">
        <v>8222</v>
      </c>
      <c r="Y6" s="1577" t="s">
        <v>8223</v>
      </c>
      <c r="Z6" s="640">
        <v>3174012001870010</v>
      </c>
      <c r="AA6" s="432"/>
      <c r="AB6" s="432">
        <v>10010082146</v>
      </c>
      <c r="AC6" s="1577" t="s">
        <v>8224</v>
      </c>
      <c r="AD6" s="432" t="s">
        <v>8225</v>
      </c>
      <c r="AE6" s="365" t="s">
        <v>8226</v>
      </c>
      <c r="AF6" s="432"/>
      <c r="AG6" s="831"/>
    </row>
    <row r="7" ht="28.5" customHeight="1" spans="1:32">
      <c r="A7" s="529"/>
      <c r="B7" s="529"/>
      <c r="C7" s="529"/>
      <c r="D7" s="529"/>
      <c r="E7" s="529"/>
      <c r="F7" s="529"/>
      <c r="G7" s="529"/>
      <c r="H7" s="529"/>
      <c r="I7" s="529"/>
      <c r="J7" s="529"/>
      <c r="K7" s="529"/>
      <c r="L7" s="529"/>
      <c r="M7" s="529"/>
      <c r="N7" s="529"/>
      <c r="O7" s="529"/>
      <c r="P7" s="529"/>
      <c r="Q7" s="529"/>
      <c r="R7" s="529"/>
      <c r="S7" s="529"/>
      <c r="T7" s="529"/>
      <c r="U7" s="529"/>
      <c r="V7" s="529"/>
      <c r="W7" s="529"/>
      <c r="X7" s="529"/>
      <c r="Y7" s="529"/>
      <c r="Z7" s="529"/>
      <c r="AA7" s="529"/>
      <c r="AB7" s="529"/>
      <c r="AC7" s="529"/>
      <c r="AD7" s="529"/>
      <c r="AE7" s="529"/>
      <c r="AF7" s="529"/>
    </row>
    <row r="8" ht="28.5" customHeight="1" spans="1:38">
      <c r="A8" s="529"/>
      <c r="B8" s="813"/>
      <c r="C8" s="813"/>
      <c r="D8" s="813"/>
      <c r="E8" s="813"/>
      <c r="F8" s="813"/>
      <c r="G8" s="813"/>
      <c r="H8" s="813"/>
      <c r="I8" s="813"/>
      <c r="J8" s="813"/>
      <c r="K8" s="813"/>
      <c r="L8" s="813"/>
      <c r="M8" s="529"/>
      <c r="N8" s="546"/>
      <c r="O8" s="533"/>
      <c r="P8" s="545"/>
      <c r="Q8" s="545"/>
      <c r="R8" s="821"/>
      <c r="S8" s="815"/>
      <c r="T8" s="815"/>
      <c r="U8" s="823"/>
      <c r="V8" s="529"/>
      <c r="W8" s="529"/>
      <c r="X8" s="815"/>
      <c r="Y8" s="529"/>
      <c r="Z8" s="826"/>
      <c r="AA8" s="529"/>
      <c r="AB8" s="529"/>
      <c r="AC8" s="529"/>
      <c r="AD8" s="529"/>
      <c r="AE8" s="829"/>
      <c r="AF8" s="529"/>
      <c r="AG8" s="529"/>
      <c r="AH8" s="529"/>
      <c r="AI8" s="529"/>
      <c r="AJ8" s="529"/>
      <c r="AK8" s="529"/>
      <c r="AL8" s="529"/>
    </row>
    <row r="9" ht="28.5" customHeight="1" spans="1:38">
      <c r="A9" s="529"/>
      <c r="B9" s="814"/>
      <c r="C9" s="815"/>
      <c r="D9" s="815"/>
      <c r="E9" s="817"/>
      <c r="F9" s="521"/>
      <c r="G9" s="815"/>
      <c r="H9" s="815"/>
      <c r="I9" s="818"/>
      <c r="J9" s="818"/>
      <c r="K9" s="529"/>
      <c r="L9" s="529"/>
      <c r="M9" s="529"/>
      <c r="N9" s="546"/>
      <c r="O9" s="533"/>
      <c r="P9" s="545"/>
      <c r="Q9" s="545"/>
      <c r="R9" s="821"/>
      <c r="S9" s="815"/>
      <c r="T9" s="815"/>
      <c r="U9" s="823"/>
      <c r="V9" s="529"/>
      <c r="W9" s="529"/>
      <c r="X9" s="815"/>
      <c r="Y9" s="529"/>
      <c r="Z9" s="826"/>
      <c r="AA9" s="529"/>
      <c r="AB9" s="529"/>
      <c r="AC9" s="529"/>
      <c r="AD9" s="830"/>
      <c r="AE9" s="829"/>
      <c r="AF9" s="529"/>
      <c r="AG9" s="529"/>
      <c r="AH9" s="529"/>
      <c r="AI9" s="529"/>
      <c r="AJ9" s="529"/>
      <c r="AK9" s="529"/>
      <c r="AL9" s="529"/>
    </row>
    <row r="10" ht="28.5" customHeight="1" spans="1:38">
      <c r="A10" s="529"/>
      <c r="B10" s="814"/>
      <c r="C10" s="815"/>
      <c r="D10" s="815"/>
      <c r="E10" s="817"/>
      <c r="F10" s="521"/>
      <c r="G10" s="815"/>
      <c r="H10" s="815"/>
      <c r="I10" s="818"/>
      <c r="J10" s="818"/>
      <c r="K10" s="529"/>
      <c r="L10" s="529"/>
      <c r="M10" s="529"/>
      <c r="N10" s="546"/>
      <c r="O10" s="533"/>
      <c r="P10" s="545"/>
      <c r="Q10" s="545"/>
      <c r="R10" s="821"/>
      <c r="S10" s="815"/>
      <c r="T10" s="815"/>
      <c r="U10" s="823"/>
      <c r="V10" s="529"/>
      <c r="W10" s="529"/>
      <c r="X10" s="815"/>
      <c r="Y10" s="529"/>
      <c r="Z10" s="826"/>
      <c r="AA10" s="529"/>
      <c r="AB10" s="529"/>
      <c r="AC10" s="529"/>
      <c r="AD10" s="529"/>
      <c r="AE10" s="829"/>
      <c r="AF10" s="529"/>
      <c r="AG10" s="529"/>
      <c r="AH10" s="529"/>
      <c r="AI10" s="529"/>
      <c r="AJ10" s="529"/>
      <c r="AK10" s="529"/>
      <c r="AL10" s="529"/>
    </row>
    <row r="11" ht="28.5" customHeight="1" spans="1:38">
      <c r="A11" s="529"/>
      <c r="B11" s="814"/>
      <c r="C11" s="815"/>
      <c r="D11" s="815"/>
      <c r="E11" s="817"/>
      <c r="F11" s="521"/>
      <c r="G11" s="815"/>
      <c r="H11" s="815"/>
      <c r="I11" s="818"/>
      <c r="J11" s="818"/>
      <c r="K11" s="529"/>
      <c r="L11" s="529"/>
      <c r="M11" s="529"/>
      <c r="N11" s="546"/>
      <c r="O11" s="533"/>
      <c r="P11" s="545"/>
      <c r="Q11" s="545"/>
      <c r="R11" s="821"/>
      <c r="S11" s="815"/>
      <c r="T11" s="815"/>
      <c r="U11" s="823"/>
      <c r="V11" s="529"/>
      <c r="W11" s="529"/>
      <c r="X11" s="815"/>
      <c r="Y11" s="529"/>
      <c r="Z11" s="826"/>
      <c r="AA11" s="529"/>
      <c r="AB11" s="529"/>
      <c r="AC11" s="529"/>
      <c r="AD11" s="830"/>
      <c r="AE11" s="829"/>
      <c r="AF11" s="529"/>
      <c r="AG11" s="529"/>
      <c r="AH11" s="529"/>
      <c r="AI11" s="529"/>
      <c r="AJ11" s="529"/>
      <c r="AK11" s="529"/>
      <c r="AL11" s="529"/>
    </row>
    <row r="12" ht="28.5" customHeight="1" spans="1:38">
      <c r="A12" s="529"/>
      <c r="B12" s="814"/>
      <c r="C12" s="815"/>
      <c r="D12" s="815"/>
      <c r="E12" s="817"/>
      <c r="F12" s="521"/>
      <c r="G12" s="815"/>
      <c r="H12" s="815"/>
      <c r="I12" s="818"/>
      <c r="J12" s="818"/>
      <c r="K12" s="529"/>
      <c r="L12" s="529"/>
      <c r="M12" s="529"/>
      <c r="N12" s="546"/>
      <c r="O12" s="533"/>
      <c r="P12" s="545"/>
      <c r="Q12" s="545"/>
      <c r="R12" s="821"/>
      <c r="S12" s="815"/>
      <c r="T12" s="815"/>
      <c r="U12" s="823"/>
      <c r="V12" s="529"/>
      <c r="W12" s="529"/>
      <c r="X12" s="815"/>
      <c r="Y12" s="529"/>
      <c r="Z12" s="826"/>
      <c r="AA12" s="529"/>
      <c r="AB12" s="529"/>
      <c r="AC12" s="529"/>
      <c r="AD12" s="529"/>
      <c r="AE12" s="829"/>
      <c r="AF12" s="529"/>
      <c r="AG12" s="529"/>
      <c r="AH12" s="529"/>
      <c r="AI12" s="529"/>
      <c r="AJ12" s="529"/>
      <c r="AK12" s="529"/>
      <c r="AL12" s="529"/>
    </row>
    <row r="13" ht="28.5" customHeight="1" spans="1:38">
      <c r="A13" s="529"/>
      <c r="B13" s="814"/>
      <c r="C13" s="815"/>
      <c r="D13" s="815"/>
      <c r="E13" s="817"/>
      <c r="F13" s="521"/>
      <c r="G13" s="815"/>
      <c r="H13" s="815"/>
      <c r="I13" s="818"/>
      <c r="J13" s="818"/>
      <c r="K13" s="529"/>
      <c r="L13" s="529"/>
      <c r="M13" s="529"/>
      <c r="N13" s="546"/>
      <c r="O13" s="533"/>
      <c r="P13" s="545"/>
      <c r="Q13" s="545"/>
      <c r="R13" s="821"/>
      <c r="S13" s="815"/>
      <c r="T13" s="815"/>
      <c r="U13" s="823"/>
      <c r="V13" s="529"/>
      <c r="W13" s="529"/>
      <c r="X13" s="815"/>
      <c r="Y13" s="529"/>
      <c r="Z13" s="826"/>
      <c r="AA13" s="529"/>
      <c r="AB13" s="529"/>
      <c r="AC13" s="529"/>
      <c r="AD13" s="529"/>
      <c r="AE13" s="829"/>
      <c r="AF13" s="529"/>
      <c r="AG13" s="529"/>
      <c r="AH13" s="529"/>
      <c r="AI13" s="529"/>
      <c r="AJ13" s="529"/>
      <c r="AK13" s="529"/>
      <c r="AL13" s="529"/>
    </row>
    <row r="14" ht="28.5" customHeight="1" spans="1:38">
      <c r="A14" s="529"/>
      <c r="B14" s="814"/>
      <c r="C14" s="815"/>
      <c r="D14" s="815"/>
      <c r="E14" s="817"/>
      <c r="F14" s="521"/>
      <c r="G14" s="815"/>
      <c r="H14" s="815"/>
      <c r="I14" s="818"/>
      <c r="J14" s="818"/>
      <c r="K14" s="529"/>
      <c r="L14" s="529"/>
      <c r="M14" s="529"/>
      <c r="N14" s="546"/>
      <c r="O14" s="533"/>
      <c r="P14" s="545"/>
      <c r="Q14" s="545"/>
      <c r="R14" s="821"/>
      <c r="S14" s="815"/>
      <c r="T14" s="815"/>
      <c r="U14" s="823"/>
      <c r="V14" s="529"/>
      <c r="W14" s="529"/>
      <c r="X14" s="815"/>
      <c r="Y14" s="529"/>
      <c r="Z14" s="826"/>
      <c r="AA14" s="529"/>
      <c r="AB14" s="529"/>
      <c r="AC14" s="529"/>
      <c r="AD14" s="529"/>
      <c r="AE14" s="829"/>
      <c r="AF14" s="529"/>
      <c r="AG14" s="529"/>
      <c r="AH14" s="529"/>
      <c r="AI14" s="529"/>
      <c r="AJ14" s="529"/>
      <c r="AK14" s="529"/>
      <c r="AL14" s="529"/>
    </row>
    <row r="15" ht="28.5" customHeight="1" spans="1:38">
      <c r="A15" s="529"/>
      <c r="B15" s="814"/>
      <c r="C15" s="815"/>
      <c r="D15" s="815"/>
      <c r="E15" s="817"/>
      <c r="F15" s="521"/>
      <c r="G15" s="815"/>
      <c r="H15" s="815"/>
      <c r="I15" s="818"/>
      <c r="J15" s="818"/>
      <c r="K15" s="529"/>
      <c r="L15" s="529"/>
      <c r="M15" s="529"/>
      <c r="N15" s="546"/>
      <c r="O15" s="533"/>
      <c r="P15" s="545"/>
      <c r="Q15" s="545"/>
      <c r="R15" s="821"/>
      <c r="S15" s="815"/>
      <c r="T15" s="815"/>
      <c r="U15" s="823"/>
      <c r="V15" s="529"/>
      <c r="W15" s="529"/>
      <c r="X15" s="815"/>
      <c r="Y15" s="529"/>
      <c r="Z15" s="826"/>
      <c r="AA15" s="529"/>
      <c r="AB15" s="529"/>
      <c r="AC15" s="529"/>
      <c r="AD15" s="529"/>
      <c r="AE15" s="829"/>
      <c r="AF15" s="529"/>
      <c r="AG15" s="529"/>
      <c r="AH15" s="529"/>
      <c r="AI15" s="529"/>
      <c r="AJ15" s="529"/>
      <c r="AK15" s="529"/>
      <c r="AL15" s="529"/>
    </row>
    <row r="16" ht="28.5" customHeight="1" spans="1:38">
      <c r="A16" s="529"/>
      <c r="B16" s="814"/>
      <c r="C16" s="815"/>
      <c r="D16" s="815"/>
      <c r="E16" s="817"/>
      <c r="F16" s="521"/>
      <c r="G16" s="815"/>
      <c r="H16" s="815"/>
      <c r="I16" s="818"/>
      <c r="J16" s="818"/>
      <c r="K16" s="529"/>
      <c r="L16" s="529"/>
      <c r="M16" s="529"/>
      <c r="N16" s="546"/>
      <c r="O16" s="533"/>
      <c r="P16" s="545"/>
      <c r="Q16" s="545"/>
      <c r="R16" s="821"/>
      <c r="S16" s="815"/>
      <c r="T16" s="815"/>
      <c r="U16" s="823"/>
      <c r="V16" s="529"/>
      <c r="W16" s="529"/>
      <c r="X16" s="815"/>
      <c r="Y16" s="529"/>
      <c r="Z16" s="826"/>
      <c r="AA16" s="529"/>
      <c r="AB16" s="529"/>
      <c r="AC16" s="529"/>
      <c r="AD16" s="529"/>
      <c r="AE16" s="829"/>
      <c r="AF16" s="529"/>
      <c r="AG16" s="529"/>
      <c r="AH16" s="529"/>
      <c r="AI16" s="529"/>
      <c r="AJ16" s="529"/>
      <c r="AK16" s="529"/>
      <c r="AL16" s="529"/>
    </row>
    <row r="17" ht="28.5" customHeight="1" spans="1:38">
      <c r="A17" s="529"/>
      <c r="B17" s="814"/>
      <c r="C17" s="815"/>
      <c r="D17" s="815"/>
      <c r="E17" s="817"/>
      <c r="F17" s="521"/>
      <c r="G17" s="815"/>
      <c r="H17" s="815"/>
      <c r="I17" s="818"/>
      <c r="J17" s="818"/>
      <c r="K17" s="529"/>
      <c r="L17" s="529"/>
      <c r="M17" s="529"/>
      <c r="N17" s="546"/>
      <c r="O17" s="533"/>
      <c r="P17" s="545"/>
      <c r="Q17" s="545"/>
      <c r="R17" s="821"/>
      <c r="S17" s="815"/>
      <c r="T17" s="815"/>
      <c r="U17" s="823"/>
      <c r="V17" s="529"/>
      <c r="W17" s="529"/>
      <c r="X17" s="815"/>
      <c r="Y17" s="529"/>
      <c r="Z17" s="826"/>
      <c r="AA17" s="529"/>
      <c r="AB17" s="529"/>
      <c r="AC17" s="529"/>
      <c r="AD17" s="529"/>
      <c r="AE17" s="829"/>
      <c r="AF17" s="529"/>
      <c r="AG17" s="529"/>
      <c r="AH17" s="529"/>
      <c r="AI17" s="529"/>
      <c r="AJ17" s="529"/>
      <c r="AK17" s="529"/>
      <c r="AL17" s="529"/>
    </row>
    <row r="18" ht="28.5" customHeight="1" spans="1:38">
      <c r="A18" s="529"/>
      <c r="B18" s="814"/>
      <c r="C18" s="815"/>
      <c r="D18" s="815"/>
      <c r="E18" s="817"/>
      <c r="F18" s="521"/>
      <c r="G18" s="815"/>
      <c r="H18" s="815"/>
      <c r="I18" s="818"/>
      <c r="J18" s="818"/>
      <c r="K18" s="529"/>
      <c r="L18" s="529"/>
      <c r="M18" s="529"/>
      <c r="N18" s="546"/>
      <c r="O18" s="533"/>
      <c r="P18" s="545"/>
      <c r="Q18" s="545"/>
      <c r="R18" s="821"/>
      <c r="S18" s="815"/>
      <c r="T18" s="815"/>
      <c r="U18" s="823"/>
      <c r="V18" s="529"/>
      <c r="W18" s="529"/>
      <c r="X18" s="815"/>
      <c r="Y18" s="529"/>
      <c r="Z18" s="826"/>
      <c r="AA18" s="529"/>
      <c r="AB18" s="529"/>
      <c r="AC18" s="529"/>
      <c r="AD18" s="529"/>
      <c r="AE18" s="829"/>
      <c r="AF18" s="529"/>
      <c r="AG18" s="529"/>
      <c r="AH18" s="529"/>
      <c r="AI18" s="529"/>
      <c r="AJ18" s="529"/>
      <c r="AK18" s="529"/>
      <c r="AL18" s="529"/>
    </row>
    <row r="19" ht="28.5" customHeight="1" spans="1:38">
      <c r="A19" s="529"/>
      <c r="B19" s="814"/>
      <c r="C19" s="815"/>
      <c r="D19" s="815"/>
      <c r="E19" s="817"/>
      <c r="F19" s="521"/>
      <c r="G19" s="815"/>
      <c r="H19" s="815"/>
      <c r="I19" s="818"/>
      <c r="J19" s="818"/>
      <c r="K19" s="529"/>
      <c r="L19" s="529"/>
      <c r="M19" s="529"/>
      <c r="N19" s="546"/>
      <c r="O19" s="533"/>
      <c r="P19" s="545"/>
      <c r="Q19" s="545"/>
      <c r="R19" s="821"/>
      <c r="S19" s="815"/>
      <c r="T19" s="815"/>
      <c r="U19" s="823"/>
      <c r="V19" s="529"/>
      <c r="W19" s="529"/>
      <c r="X19" s="815"/>
      <c r="Y19" s="529"/>
      <c r="Z19" s="826"/>
      <c r="AA19" s="529"/>
      <c r="AB19" s="529"/>
      <c r="AC19" s="529"/>
      <c r="AD19" s="529"/>
      <c r="AE19" s="829"/>
      <c r="AF19" s="529"/>
      <c r="AG19" s="529"/>
      <c r="AH19" s="529"/>
      <c r="AI19" s="529"/>
      <c r="AJ19" s="529"/>
      <c r="AK19" s="529"/>
      <c r="AL19" s="529"/>
    </row>
    <row r="20" ht="28.5" customHeight="1" spans="1:38">
      <c r="A20" s="529"/>
      <c r="B20" s="814"/>
      <c r="C20" s="815"/>
      <c r="D20" s="815"/>
      <c r="E20" s="817"/>
      <c r="F20" s="521"/>
      <c r="G20" s="815"/>
      <c r="H20" s="815"/>
      <c r="I20" s="818"/>
      <c r="J20" s="818"/>
      <c r="K20" s="529"/>
      <c r="L20" s="529"/>
      <c r="M20" s="529"/>
      <c r="N20" s="546"/>
      <c r="O20" s="533"/>
      <c r="P20" s="545"/>
      <c r="Q20" s="545"/>
      <c r="R20" s="821"/>
      <c r="S20" s="815"/>
      <c r="T20" s="815"/>
      <c r="U20" s="823"/>
      <c r="V20" s="529"/>
      <c r="W20" s="529"/>
      <c r="X20" s="815"/>
      <c r="Y20" s="529"/>
      <c r="Z20" s="826"/>
      <c r="AA20" s="529"/>
      <c r="AB20" s="529"/>
      <c r="AC20" s="529"/>
      <c r="AD20" s="529"/>
      <c r="AE20" s="829"/>
      <c r="AF20" s="529"/>
      <c r="AG20" s="529"/>
      <c r="AH20" s="529"/>
      <c r="AI20" s="529"/>
      <c r="AJ20" s="529"/>
      <c r="AK20" s="529"/>
      <c r="AL20" s="529"/>
    </row>
    <row r="21" ht="28.5" customHeight="1" spans="1:38">
      <c r="A21" s="529"/>
      <c r="B21" s="814"/>
      <c r="C21" s="815"/>
      <c r="D21" s="815"/>
      <c r="E21" s="817"/>
      <c r="F21" s="521"/>
      <c r="G21" s="815"/>
      <c r="H21" s="815"/>
      <c r="I21" s="818"/>
      <c r="J21" s="818"/>
      <c r="K21" s="529"/>
      <c r="L21" s="529"/>
      <c r="M21" s="529"/>
      <c r="N21" s="546"/>
      <c r="O21" s="533"/>
      <c r="P21" s="545"/>
      <c r="Q21" s="545"/>
      <c r="R21" s="821"/>
      <c r="S21" s="815"/>
      <c r="T21" s="815"/>
      <c r="U21" s="823"/>
      <c r="V21" s="529"/>
      <c r="W21" s="529"/>
      <c r="X21" s="815"/>
      <c r="Y21" s="529"/>
      <c r="Z21" s="826"/>
      <c r="AA21" s="529"/>
      <c r="AB21" s="529"/>
      <c r="AC21" s="529"/>
      <c r="AD21" s="529"/>
      <c r="AE21" s="829"/>
      <c r="AF21" s="529"/>
      <c r="AG21" s="529"/>
      <c r="AH21" s="529"/>
      <c r="AI21" s="529"/>
      <c r="AJ21" s="529"/>
      <c r="AK21" s="529"/>
      <c r="AL21" s="529"/>
    </row>
    <row r="22" ht="28.5" customHeight="1" spans="1:38">
      <c r="A22" s="529"/>
      <c r="B22" s="814"/>
      <c r="C22" s="815"/>
      <c r="D22" s="815"/>
      <c r="E22" s="817"/>
      <c r="F22" s="521"/>
      <c r="G22" s="815"/>
      <c r="H22" s="815"/>
      <c r="I22" s="818"/>
      <c r="J22" s="818"/>
      <c r="K22" s="529"/>
      <c r="L22" s="529"/>
      <c r="M22" s="529"/>
      <c r="N22" s="546"/>
      <c r="O22" s="533"/>
      <c r="P22" s="545"/>
      <c r="Q22" s="545"/>
      <c r="R22" s="821"/>
      <c r="S22" s="815"/>
      <c r="T22" s="815"/>
      <c r="U22" s="823"/>
      <c r="V22" s="529"/>
      <c r="W22" s="529"/>
      <c r="X22" s="815"/>
      <c r="Y22" s="529"/>
      <c r="Z22" s="826"/>
      <c r="AA22" s="529"/>
      <c r="AB22" s="529"/>
      <c r="AC22" s="529"/>
      <c r="AD22" s="529"/>
      <c r="AE22" s="829"/>
      <c r="AF22" s="529"/>
      <c r="AG22" s="529"/>
      <c r="AH22" s="529"/>
      <c r="AI22" s="529"/>
      <c r="AJ22" s="529"/>
      <c r="AK22" s="529"/>
      <c r="AL22" s="529"/>
    </row>
    <row r="23" ht="28.5" customHeight="1" spans="1:38">
      <c r="A23" s="529"/>
      <c r="B23" s="814"/>
      <c r="C23" s="815"/>
      <c r="D23" s="815"/>
      <c r="E23" s="817"/>
      <c r="F23" s="521"/>
      <c r="G23" s="815"/>
      <c r="H23" s="815"/>
      <c r="I23" s="818"/>
      <c r="J23" s="818"/>
      <c r="K23" s="529"/>
      <c r="L23" s="529"/>
      <c r="M23" s="529"/>
      <c r="N23" s="546"/>
      <c r="O23" s="533"/>
      <c r="P23" s="545"/>
      <c r="Q23" s="545"/>
      <c r="R23" s="821"/>
      <c r="S23" s="815"/>
      <c r="T23" s="815"/>
      <c r="U23" s="823"/>
      <c r="V23" s="529"/>
      <c r="W23" s="529"/>
      <c r="X23" s="815"/>
      <c r="Y23" s="529"/>
      <c r="Z23" s="826"/>
      <c r="AA23" s="529"/>
      <c r="AB23" s="529"/>
      <c r="AC23" s="529"/>
      <c r="AD23" s="529"/>
      <c r="AE23" s="829"/>
      <c r="AF23" s="529"/>
      <c r="AG23" s="529"/>
      <c r="AH23" s="529"/>
      <c r="AI23" s="529"/>
      <c r="AJ23" s="529"/>
      <c r="AK23" s="529"/>
      <c r="AL23" s="529"/>
    </row>
    <row r="24" ht="28.5" customHeight="1" spans="1:38">
      <c r="A24" s="529"/>
      <c r="B24" s="814"/>
      <c r="C24" s="815"/>
      <c r="D24" s="815"/>
      <c r="E24" s="817"/>
      <c r="F24" s="521"/>
      <c r="G24" s="815"/>
      <c r="H24" s="815"/>
      <c r="I24" s="818"/>
      <c r="J24" s="818"/>
      <c r="K24" s="529"/>
      <c r="L24" s="529"/>
      <c r="M24" s="529"/>
      <c r="N24" s="546"/>
      <c r="O24" s="533"/>
      <c r="P24" s="545"/>
      <c r="Q24" s="545"/>
      <c r="R24" s="821"/>
      <c r="S24" s="815"/>
      <c r="T24" s="815"/>
      <c r="U24" s="823"/>
      <c r="V24" s="529"/>
      <c r="W24" s="529"/>
      <c r="X24" s="815"/>
      <c r="Y24" s="529"/>
      <c r="Z24" s="826"/>
      <c r="AA24" s="529"/>
      <c r="AB24" s="529"/>
      <c r="AC24" s="529"/>
      <c r="AD24" s="529"/>
      <c r="AE24" s="829"/>
      <c r="AF24" s="529"/>
      <c r="AG24" s="529"/>
      <c r="AH24" s="529"/>
      <c r="AI24" s="529"/>
      <c r="AJ24" s="529"/>
      <c r="AK24" s="529"/>
      <c r="AL24" s="529"/>
    </row>
    <row r="25" ht="28.5" customHeight="1" spans="1:38">
      <c r="A25" s="529"/>
      <c r="B25" s="814"/>
      <c r="C25" s="815"/>
      <c r="D25" s="815"/>
      <c r="E25" s="817"/>
      <c r="F25" s="521"/>
      <c r="G25" s="815"/>
      <c r="H25" s="815"/>
      <c r="I25" s="818"/>
      <c r="J25" s="818"/>
      <c r="K25" s="529"/>
      <c r="L25" s="529"/>
      <c r="M25" s="529"/>
      <c r="N25" s="546"/>
      <c r="O25" s="533"/>
      <c r="P25" s="545"/>
      <c r="Q25" s="545"/>
      <c r="R25" s="821"/>
      <c r="S25" s="815"/>
      <c r="T25" s="815"/>
      <c r="U25" s="823"/>
      <c r="V25" s="529"/>
      <c r="W25" s="529"/>
      <c r="X25" s="815"/>
      <c r="Y25" s="529"/>
      <c r="Z25" s="826"/>
      <c r="AA25" s="529"/>
      <c r="AB25" s="529"/>
      <c r="AC25" s="529"/>
      <c r="AD25" s="529"/>
      <c r="AE25" s="829"/>
      <c r="AF25" s="529"/>
      <c r="AG25" s="529"/>
      <c r="AH25" s="529"/>
      <c r="AI25" s="529"/>
      <c r="AJ25" s="529"/>
      <c r="AK25" s="529"/>
      <c r="AL25" s="529"/>
    </row>
    <row r="26" ht="28.5" customHeight="1" spans="1:38">
      <c r="A26" s="529"/>
      <c r="B26" s="814"/>
      <c r="C26" s="815"/>
      <c r="D26" s="815"/>
      <c r="E26" s="817"/>
      <c r="F26" s="521"/>
      <c r="G26" s="815"/>
      <c r="H26" s="815"/>
      <c r="I26" s="818"/>
      <c r="J26" s="818"/>
      <c r="K26" s="529"/>
      <c r="L26" s="529"/>
      <c r="M26" s="529"/>
      <c r="N26" s="546"/>
      <c r="O26" s="533"/>
      <c r="P26" s="545"/>
      <c r="Q26" s="545"/>
      <c r="R26" s="821"/>
      <c r="S26" s="815"/>
      <c r="T26" s="815"/>
      <c r="U26" s="823"/>
      <c r="V26" s="529"/>
      <c r="W26" s="529"/>
      <c r="X26" s="815"/>
      <c r="Y26" s="529"/>
      <c r="Z26" s="826"/>
      <c r="AA26" s="529"/>
      <c r="AB26" s="529"/>
      <c r="AC26" s="529"/>
      <c r="AD26" s="529"/>
      <c r="AE26" s="829"/>
      <c r="AF26" s="529"/>
      <c r="AG26" s="529"/>
      <c r="AH26" s="529"/>
      <c r="AI26" s="529"/>
      <c r="AJ26" s="529"/>
      <c r="AK26" s="529"/>
      <c r="AL26" s="529"/>
    </row>
    <row r="27" ht="28.5" customHeight="1" spans="1:38">
      <c r="A27" s="529"/>
      <c r="B27" s="814"/>
      <c r="C27" s="815"/>
      <c r="D27" s="815"/>
      <c r="E27" s="817"/>
      <c r="F27" s="521"/>
      <c r="G27" s="815"/>
      <c r="H27" s="815"/>
      <c r="I27" s="818"/>
      <c r="J27" s="818"/>
      <c r="K27" s="529"/>
      <c r="L27" s="529"/>
      <c r="M27" s="529"/>
      <c r="N27" s="546"/>
      <c r="O27" s="533"/>
      <c r="P27" s="545"/>
      <c r="Q27" s="545"/>
      <c r="R27" s="821"/>
      <c r="S27" s="815"/>
      <c r="T27" s="815"/>
      <c r="U27" s="823"/>
      <c r="V27" s="529"/>
      <c r="W27" s="529"/>
      <c r="X27" s="815"/>
      <c r="Y27" s="529"/>
      <c r="Z27" s="826"/>
      <c r="AA27" s="529"/>
      <c r="AB27" s="529"/>
      <c r="AC27" s="529"/>
      <c r="AD27" s="830"/>
      <c r="AE27" s="829"/>
      <c r="AF27" s="529"/>
      <c r="AG27" s="529"/>
      <c r="AH27" s="529"/>
      <c r="AI27" s="529"/>
      <c r="AJ27" s="529"/>
      <c r="AK27" s="529"/>
      <c r="AL27" s="529"/>
    </row>
    <row r="28" ht="28.5" customHeight="1" spans="1:38">
      <c r="A28" s="529"/>
      <c r="B28" s="814"/>
      <c r="C28" s="815"/>
      <c r="D28" s="815"/>
      <c r="E28" s="817"/>
      <c r="F28" s="521"/>
      <c r="G28" s="815"/>
      <c r="H28" s="815"/>
      <c r="I28" s="818"/>
      <c r="J28" s="818"/>
      <c r="K28" s="529"/>
      <c r="L28" s="529"/>
      <c r="M28" s="529"/>
      <c r="N28" s="546"/>
      <c r="O28" s="533"/>
      <c r="P28" s="545"/>
      <c r="Q28" s="545"/>
      <c r="R28" s="821"/>
      <c r="S28" s="815"/>
      <c r="T28" s="815"/>
      <c r="U28" s="823"/>
      <c r="V28" s="529"/>
      <c r="W28" s="529"/>
      <c r="X28" s="815"/>
      <c r="Y28" s="529"/>
      <c r="Z28" s="826"/>
      <c r="AA28" s="529"/>
      <c r="AB28" s="529"/>
      <c r="AC28" s="529"/>
      <c r="AD28" s="529"/>
      <c r="AE28" s="829"/>
      <c r="AF28" s="529"/>
      <c r="AG28" s="529"/>
      <c r="AH28" s="529"/>
      <c r="AI28" s="529"/>
      <c r="AJ28" s="529"/>
      <c r="AK28" s="529"/>
      <c r="AL28" s="529"/>
    </row>
    <row r="29" ht="28.5" customHeight="1" spans="1:38">
      <c r="A29" s="529"/>
      <c r="B29" s="814"/>
      <c r="C29" s="815"/>
      <c r="D29" s="815"/>
      <c r="E29" s="817"/>
      <c r="F29" s="521"/>
      <c r="G29" s="815"/>
      <c r="H29" s="815"/>
      <c r="I29" s="818"/>
      <c r="J29" s="818"/>
      <c r="K29" s="529"/>
      <c r="L29" s="529"/>
      <c r="M29" s="529"/>
      <c r="N29" s="546"/>
      <c r="O29" s="533"/>
      <c r="P29" s="545"/>
      <c r="Q29" s="545"/>
      <c r="R29" s="822"/>
      <c r="S29" s="815"/>
      <c r="T29" s="815"/>
      <c r="U29" s="823"/>
      <c r="V29" s="529"/>
      <c r="W29" s="529"/>
      <c r="X29" s="815"/>
      <c r="Y29" s="529"/>
      <c r="Z29" s="826"/>
      <c r="AA29" s="529"/>
      <c r="AB29" s="529"/>
      <c r="AC29" s="529"/>
      <c r="AD29" s="529"/>
      <c r="AE29" s="829"/>
      <c r="AF29" s="529"/>
      <c r="AG29" s="529"/>
      <c r="AH29" s="529"/>
      <c r="AI29" s="529"/>
      <c r="AJ29" s="529"/>
      <c r="AK29" s="529"/>
      <c r="AL29" s="529"/>
    </row>
    <row r="30" ht="28.5" customHeight="1" spans="1:38">
      <c r="A30" s="529"/>
      <c r="B30" s="814"/>
      <c r="C30" s="815"/>
      <c r="D30" s="815"/>
      <c r="E30" s="817"/>
      <c r="F30" s="521"/>
      <c r="G30" s="815"/>
      <c r="H30" s="815"/>
      <c r="I30" s="818"/>
      <c r="J30" s="818"/>
      <c r="K30" s="529"/>
      <c r="L30" s="529"/>
      <c r="M30" s="529"/>
      <c r="N30" s="546"/>
      <c r="O30" s="533"/>
      <c r="P30" s="545"/>
      <c r="Q30" s="545"/>
      <c r="R30" s="822"/>
      <c r="S30" s="815"/>
      <c r="T30" s="815"/>
      <c r="U30" s="823"/>
      <c r="V30" s="529"/>
      <c r="W30" s="529"/>
      <c r="X30" s="815"/>
      <c r="Y30" s="529"/>
      <c r="Z30" s="826"/>
      <c r="AA30" s="529"/>
      <c r="AB30" s="827"/>
      <c r="AC30" s="827"/>
      <c r="AD30" s="529"/>
      <c r="AE30" s="829"/>
      <c r="AF30" s="529"/>
      <c r="AG30" s="529"/>
      <c r="AH30" s="529"/>
      <c r="AI30" s="529"/>
      <c r="AJ30" s="529"/>
      <c r="AK30" s="529"/>
      <c r="AL30" s="529"/>
    </row>
    <row r="31" ht="28.5" customHeight="1" spans="1:38">
      <c r="A31" s="529"/>
      <c r="B31" s="814"/>
      <c r="C31" s="815"/>
      <c r="D31" s="815"/>
      <c r="E31" s="817"/>
      <c r="F31" s="521"/>
      <c r="G31" s="815"/>
      <c r="H31" s="815"/>
      <c r="I31" s="818"/>
      <c r="J31" s="818"/>
      <c r="K31" s="529"/>
      <c r="L31" s="529"/>
      <c r="M31" s="529"/>
      <c r="N31" s="546"/>
      <c r="O31" s="533"/>
      <c r="P31" s="545"/>
      <c r="Q31" s="545"/>
      <c r="R31" s="822"/>
      <c r="S31" s="815"/>
      <c r="T31" s="815"/>
      <c r="U31" s="823"/>
      <c r="V31" s="529"/>
      <c r="W31" s="529"/>
      <c r="X31" s="815"/>
      <c r="Y31" s="529"/>
      <c r="Z31" s="826"/>
      <c r="AA31" s="529"/>
      <c r="AB31" s="529"/>
      <c r="AC31" s="529"/>
      <c r="AD31" s="529"/>
      <c r="AE31" s="829"/>
      <c r="AF31" s="529"/>
      <c r="AG31" s="529"/>
      <c r="AH31" s="529"/>
      <c r="AI31" s="529"/>
      <c r="AJ31" s="529"/>
      <c r="AK31" s="529"/>
      <c r="AL31" s="529"/>
    </row>
    <row r="32" ht="28.5" customHeight="1" spans="1:38">
      <c r="A32" s="529"/>
      <c r="B32" s="814"/>
      <c r="C32" s="815"/>
      <c r="D32" s="815"/>
      <c r="E32" s="817"/>
      <c r="F32" s="521"/>
      <c r="G32" s="815"/>
      <c r="H32" s="815"/>
      <c r="I32" s="818"/>
      <c r="J32" s="818"/>
      <c r="K32" s="529"/>
      <c r="L32" s="529"/>
      <c r="M32" s="529"/>
      <c r="N32" s="546"/>
      <c r="O32" s="533"/>
      <c r="P32" s="545"/>
      <c r="Q32" s="545"/>
      <c r="R32" s="822"/>
      <c r="S32" s="815"/>
      <c r="T32" s="815"/>
      <c r="U32" s="823"/>
      <c r="V32" s="529"/>
      <c r="W32" s="529"/>
      <c r="X32" s="815"/>
      <c r="Y32" s="529"/>
      <c r="Z32" s="826"/>
      <c r="AA32" s="529"/>
      <c r="AB32" s="529"/>
      <c r="AC32" s="529"/>
      <c r="AD32" s="529"/>
      <c r="AE32" s="529"/>
      <c r="AF32" s="529"/>
      <c r="AG32" s="529"/>
      <c r="AH32" s="529"/>
      <c r="AI32" s="529"/>
      <c r="AJ32" s="529"/>
      <c r="AK32" s="529"/>
      <c r="AL32" s="529"/>
    </row>
    <row r="33" ht="28.5" customHeight="1" spans="1:38">
      <c r="A33" s="529"/>
      <c r="B33" s="814"/>
      <c r="C33" s="815"/>
      <c r="D33" s="815"/>
      <c r="E33" s="817"/>
      <c r="F33" s="521"/>
      <c r="G33" s="815"/>
      <c r="H33" s="815"/>
      <c r="I33" s="818"/>
      <c r="J33" s="818"/>
      <c r="K33" s="529"/>
      <c r="L33" s="529"/>
      <c r="M33" s="529"/>
      <c r="N33" s="546"/>
      <c r="O33" s="533"/>
      <c r="P33" s="545"/>
      <c r="Q33" s="545"/>
      <c r="R33" s="822"/>
      <c r="S33" s="815"/>
      <c r="T33" s="815"/>
      <c r="U33" s="823"/>
      <c r="V33" s="529"/>
      <c r="W33" s="529"/>
      <c r="X33" s="815"/>
      <c r="Y33" s="529"/>
      <c r="Z33" s="826"/>
      <c r="AA33" s="529"/>
      <c r="AB33" s="529"/>
      <c r="AC33" s="529"/>
      <c r="AD33" s="529"/>
      <c r="AE33" s="829"/>
      <c r="AF33" s="529"/>
      <c r="AG33" s="529"/>
      <c r="AH33" s="529"/>
      <c r="AI33" s="529"/>
      <c r="AJ33" s="529"/>
      <c r="AK33" s="529"/>
      <c r="AL33" s="529"/>
    </row>
    <row r="34" ht="28.5" customHeight="1" spans="1:38">
      <c r="A34" s="529"/>
      <c r="B34" s="814"/>
      <c r="C34" s="815"/>
      <c r="D34" s="815"/>
      <c r="E34" s="817"/>
      <c r="F34" s="521"/>
      <c r="G34" s="815"/>
      <c r="H34" s="815"/>
      <c r="I34" s="818"/>
      <c r="J34" s="818"/>
      <c r="K34" s="529"/>
      <c r="L34" s="529"/>
      <c r="M34" s="529"/>
      <c r="N34" s="546"/>
      <c r="O34" s="533"/>
      <c r="P34" s="545"/>
      <c r="Q34" s="545"/>
      <c r="R34" s="822"/>
      <c r="S34" s="815"/>
      <c r="T34" s="815"/>
      <c r="U34" s="823"/>
      <c r="V34" s="529"/>
      <c r="W34" s="529"/>
      <c r="X34" s="815"/>
      <c r="Y34" s="529"/>
      <c r="Z34" s="826"/>
      <c r="AA34" s="529"/>
      <c r="AB34" s="529"/>
      <c r="AC34" s="529"/>
      <c r="AD34" s="830"/>
      <c r="AE34" s="829"/>
      <c r="AF34" s="529"/>
      <c r="AG34" s="529"/>
      <c r="AH34" s="529"/>
      <c r="AI34" s="529"/>
      <c r="AJ34" s="529"/>
      <c r="AK34" s="529"/>
      <c r="AL34" s="529"/>
    </row>
    <row r="35" ht="28.5" customHeight="1" spans="1:38">
      <c r="A35" s="529"/>
      <c r="B35" s="814"/>
      <c r="C35" s="815"/>
      <c r="D35" s="815"/>
      <c r="E35" s="817"/>
      <c r="F35" s="521"/>
      <c r="G35" s="815"/>
      <c r="H35" s="815"/>
      <c r="I35" s="818"/>
      <c r="J35" s="818"/>
      <c r="K35" s="529"/>
      <c r="L35" s="529"/>
      <c r="M35" s="529"/>
      <c r="N35" s="546"/>
      <c r="O35" s="533"/>
      <c r="P35" s="545"/>
      <c r="Q35" s="545"/>
      <c r="R35" s="822"/>
      <c r="S35" s="815"/>
      <c r="T35" s="815"/>
      <c r="U35" s="823"/>
      <c r="V35" s="529"/>
      <c r="W35" s="529"/>
      <c r="X35" s="815"/>
      <c r="Y35" s="529"/>
      <c r="Z35" s="826"/>
      <c r="AA35" s="529"/>
      <c r="AB35" s="529"/>
      <c r="AC35" s="529"/>
      <c r="AD35" s="529"/>
      <c r="AE35" s="829"/>
      <c r="AF35" s="529"/>
      <c r="AG35" s="529"/>
      <c r="AH35" s="529"/>
      <c r="AI35" s="529"/>
      <c r="AJ35" s="529"/>
      <c r="AK35" s="529"/>
      <c r="AL35" s="529"/>
    </row>
    <row r="36" ht="28.5" customHeight="1" spans="1:38">
      <c r="A36" s="529"/>
      <c r="B36" s="814"/>
      <c r="C36" s="815"/>
      <c r="D36" s="815"/>
      <c r="E36" s="817"/>
      <c r="F36" s="521"/>
      <c r="G36" s="815"/>
      <c r="H36" s="815"/>
      <c r="I36" s="818"/>
      <c r="J36" s="818"/>
      <c r="K36" s="529"/>
      <c r="L36" s="529"/>
      <c r="M36" s="529"/>
      <c r="N36" s="546"/>
      <c r="O36" s="533"/>
      <c r="P36" s="545"/>
      <c r="Q36" s="545"/>
      <c r="R36" s="822"/>
      <c r="S36" s="815"/>
      <c r="T36" s="815"/>
      <c r="U36" s="823"/>
      <c r="V36" s="529"/>
      <c r="W36" s="529"/>
      <c r="X36" s="815"/>
      <c r="Y36" s="529"/>
      <c r="Z36" s="826"/>
      <c r="AA36" s="529"/>
      <c r="AB36" s="529"/>
      <c r="AC36" s="529"/>
      <c r="AD36" s="529"/>
      <c r="AE36" s="829"/>
      <c r="AF36" s="529"/>
      <c r="AG36" s="529"/>
      <c r="AH36" s="529"/>
      <c r="AI36" s="529"/>
      <c r="AJ36" s="529"/>
      <c r="AK36" s="529"/>
      <c r="AL36" s="529"/>
    </row>
    <row r="37" ht="28.5" customHeight="1" spans="1:38">
      <c r="A37" s="529"/>
      <c r="B37" s="814"/>
      <c r="C37" s="815"/>
      <c r="D37" s="815"/>
      <c r="E37" s="817"/>
      <c r="F37" s="521"/>
      <c r="G37" s="815"/>
      <c r="H37" s="815"/>
      <c r="I37" s="818"/>
      <c r="J37" s="818"/>
      <c r="K37" s="529"/>
      <c r="L37" s="529"/>
      <c r="M37" s="529"/>
      <c r="N37" s="546"/>
      <c r="O37" s="533"/>
      <c r="P37" s="545"/>
      <c r="Q37" s="545"/>
      <c r="R37" s="822"/>
      <c r="S37" s="815"/>
      <c r="T37" s="815"/>
      <c r="U37" s="823"/>
      <c r="V37" s="529"/>
      <c r="W37" s="529"/>
      <c r="X37" s="815"/>
      <c r="Y37" s="529"/>
      <c r="Z37" s="826"/>
      <c r="AA37" s="529"/>
      <c r="AB37" s="529"/>
      <c r="AC37" s="529"/>
      <c r="AD37" s="529"/>
      <c r="AE37" s="829"/>
      <c r="AF37" s="529"/>
      <c r="AG37" s="529"/>
      <c r="AH37" s="529"/>
      <c r="AI37" s="529"/>
      <c r="AJ37" s="529"/>
      <c r="AK37" s="529"/>
      <c r="AL37" s="529"/>
    </row>
    <row r="38" ht="28.5" customHeight="1" spans="1:38">
      <c r="A38" s="529"/>
      <c r="B38" s="814"/>
      <c r="C38" s="815"/>
      <c r="D38" s="815"/>
      <c r="E38" s="817"/>
      <c r="F38" s="521"/>
      <c r="G38" s="815"/>
      <c r="H38" s="815"/>
      <c r="I38" s="818"/>
      <c r="J38" s="818"/>
      <c r="K38" s="529"/>
      <c r="L38" s="529"/>
      <c r="M38" s="529"/>
      <c r="N38" s="546"/>
      <c r="O38" s="533"/>
      <c r="P38" s="545"/>
      <c r="Q38" s="545"/>
      <c r="R38" s="822"/>
      <c r="S38" s="815"/>
      <c r="T38" s="815"/>
      <c r="U38" s="823"/>
      <c r="V38" s="529"/>
      <c r="W38" s="529"/>
      <c r="X38" s="815"/>
      <c r="Y38" s="529"/>
      <c r="Z38" s="826"/>
      <c r="AA38" s="529"/>
      <c r="AB38" s="529"/>
      <c r="AC38" s="529"/>
      <c r="AD38" s="529"/>
      <c r="AE38" s="829"/>
      <c r="AF38" s="529"/>
      <c r="AG38" s="529"/>
      <c r="AH38" s="529"/>
      <c r="AI38" s="529"/>
      <c r="AJ38" s="529"/>
      <c r="AK38" s="529"/>
      <c r="AL38" s="529"/>
    </row>
    <row r="39" ht="28.5" customHeight="1" spans="1:38">
      <c r="A39" s="529"/>
      <c r="B39" s="814"/>
      <c r="C39" s="815"/>
      <c r="D39" s="815"/>
      <c r="E39" s="817"/>
      <c r="F39" s="521"/>
      <c r="G39" s="815"/>
      <c r="H39" s="815"/>
      <c r="I39" s="818"/>
      <c r="J39" s="818"/>
      <c r="K39" s="529"/>
      <c r="L39" s="529"/>
      <c r="M39" s="529"/>
      <c r="N39" s="546"/>
      <c r="O39" s="533"/>
      <c r="P39" s="545"/>
      <c r="Q39" s="545"/>
      <c r="R39" s="822"/>
      <c r="S39" s="815"/>
      <c r="T39" s="815"/>
      <c r="U39" s="823"/>
      <c r="V39" s="529"/>
      <c r="W39" s="529"/>
      <c r="X39" s="815"/>
      <c r="Y39" s="529"/>
      <c r="Z39" s="826"/>
      <c r="AA39" s="529"/>
      <c r="AB39" s="529"/>
      <c r="AC39" s="529"/>
      <c r="AD39" s="529"/>
      <c r="AE39" s="829"/>
      <c r="AF39" s="829"/>
      <c r="AG39" s="529"/>
      <c r="AH39" s="529"/>
      <c r="AI39" s="529"/>
      <c r="AJ39" s="529"/>
      <c r="AK39" s="529"/>
      <c r="AL39" s="529"/>
    </row>
    <row r="40" ht="28.5" customHeight="1" spans="1:38">
      <c r="A40" s="529"/>
      <c r="B40" s="814"/>
      <c r="C40" s="815"/>
      <c r="D40" s="815"/>
      <c r="E40" s="817"/>
      <c r="F40" s="521"/>
      <c r="G40" s="815"/>
      <c r="H40" s="815"/>
      <c r="I40" s="818"/>
      <c r="J40" s="818"/>
      <c r="K40" s="529"/>
      <c r="L40" s="529"/>
      <c r="M40" s="529"/>
      <c r="N40" s="546"/>
      <c r="O40" s="533"/>
      <c r="P40" s="545"/>
      <c r="Q40" s="545"/>
      <c r="R40" s="822"/>
      <c r="S40" s="815"/>
      <c r="T40" s="815"/>
      <c r="U40" s="823"/>
      <c r="V40" s="529"/>
      <c r="W40" s="529"/>
      <c r="X40" s="815"/>
      <c r="Y40" s="529"/>
      <c r="Z40" s="826"/>
      <c r="AA40" s="529"/>
      <c r="AB40" s="529"/>
      <c r="AC40" s="529"/>
      <c r="AD40" s="529"/>
      <c r="AE40" s="829"/>
      <c r="AF40" s="529"/>
      <c r="AG40" s="529"/>
      <c r="AH40" s="529"/>
      <c r="AI40" s="529"/>
      <c r="AJ40" s="529"/>
      <c r="AK40" s="529"/>
      <c r="AL40" s="529"/>
    </row>
    <row r="41" ht="28.5" customHeight="1" spans="1:38">
      <c r="A41" s="529"/>
      <c r="B41" s="814"/>
      <c r="C41" s="815"/>
      <c r="D41" s="815"/>
      <c r="E41" s="817"/>
      <c r="F41" s="521"/>
      <c r="G41" s="815"/>
      <c r="H41" s="815"/>
      <c r="I41" s="818"/>
      <c r="J41" s="818"/>
      <c r="K41" s="529"/>
      <c r="L41" s="529"/>
      <c r="M41" s="529"/>
      <c r="N41" s="546"/>
      <c r="O41" s="533"/>
      <c r="P41" s="545"/>
      <c r="Q41" s="545"/>
      <c r="R41" s="822"/>
      <c r="S41" s="815"/>
      <c r="T41" s="815"/>
      <c r="U41" s="823"/>
      <c r="V41" s="529"/>
      <c r="W41" s="529"/>
      <c r="X41" s="815"/>
      <c r="Y41" s="529"/>
      <c r="Z41" s="826"/>
      <c r="AA41" s="529"/>
      <c r="AB41" s="529"/>
      <c r="AC41" s="529"/>
      <c r="AD41" s="529"/>
      <c r="AE41" s="829"/>
      <c r="AF41" s="529"/>
      <c r="AG41" s="529"/>
      <c r="AH41" s="529"/>
      <c r="AI41" s="529"/>
      <c r="AJ41" s="529"/>
      <c r="AK41" s="529"/>
      <c r="AL41" s="529"/>
    </row>
    <row r="42" ht="28.5" customHeight="1" spans="1:38">
      <c r="A42" s="529"/>
      <c r="B42" s="814"/>
      <c r="C42" s="815"/>
      <c r="D42" s="815"/>
      <c r="E42" s="817"/>
      <c r="F42" s="521"/>
      <c r="G42" s="815"/>
      <c r="H42" s="815"/>
      <c r="I42" s="818"/>
      <c r="J42" s="818"/>
      <c r="K42" s="529"/>
      <c r="L42" s="529"/>
      <c r="M42" s="529"/>
      <c r="N42" s="546"/>
      <c r="O42" s="533"/>
      <c r="P42" s="545"/>
      <c r="Q42" s="545"/>
      <c r="R42" s="822"/>
      <c r="S42" s="815"/>
      <c r="T42" s="815"/>
      <c r="U42" s="823"/>
      <c r="V42" s="529"/>
      <c r="W42" s="529"/>
      <c r="X42" s="815"/>
      <c r="Y42" s="516"/>
      <c r="Z42" s="826"/>
      <c r="AA42" s="516"/>
      <c r="AB42" s="565"/>
      <c r="AC42" s="565"/>
      <c r="AD42" s="830"/>
      <c r="AE42" s="829"/>
      <c r="AF42" s="529"/>
      <c r="AG42" s="529"/>
      <c r="AH42" s="529"/>
      <c r="AI42" s="529"/>
      <c r="AJ42" s="529"/>
      <c r="AK42" s="529"/>
      <c r="AL42" s="529"/>
    </row>
    <row r="43" ht="28.5" customHeight="1" spans="1:38">
      <c r="A43" s="529"/>
      <c r="B43" s="814"/>
      <c r="C43" s="815"/>
      <c r="D43" s="815"/>
      <c r="E43" s="817"/>
      <c r="F43" s="521"/>
      <c r="G43" s="815"/>
      <c r="H43" s="815"/>
      <c r="I43" s="818"/>
      <c r="J43" s="818"/>
      <c r="K43" s="529"/>
      <c r="L43" s="529"/>
      <c r="M43" s="529"/>
      <c r="N43" s="546"/>
      <c r="O43" s="533"/>
      <c r="P43" s="545"/>
      <c r="Q43" s="545"/>
      <c r="R43" s="822"/>
      <c r="S43" s="815"/>
      <c r="T43" s="815"/>
      <c r="U43" s="823"/>
      <c r="V43" s="529"/>
      <c r="W43" s="529"/>
      <c r="X43" s="815"/>
      <c r="Y43" s="529"/>
      <c r="Z43" s="826"/>
      <c r="AA43" s="529"/>
      <c r="AB43" s="529"/>
      <c r="AC43" s="529"/>
      <c r="AD43" s="529"/>
      <c r="AE43" s="829"/>
      <c r="AF43" s="529"/>
      <c r="AG43" s="529"/>
      <c r="AH43" s="529"/>
      <c r="AI43" s="529"/>
      <c r="AJ43" s="529"/>
      <c r="AK43" s="529"/>
      <c r="AL43" s="529"/>
    </row>
    <row r="44" ht="28.5" customHeight="1" spans="1:38">
      <c r="A44" s="529"/>
      <c r="B44" s="814"/>
      <c r="C44" s="815"/>
      <c r="D44" s="815"/>
      <c r="E44" s="817"/>
      <c r="F44" s="521"/>
      <c r="G44" s="815"/>
      <c r="H44" s="815"/>
      <c r="I44" s="818"/>
      <c r="J44" s="818"/>
      <c r="K44" s="529"/>
      <c r="L44" s="529"/>
      <c r="M44" s="529"/>
      <c r="N44" s="546"/>
      <c r="O44" s="533"/>
      <c r="P44" s="545"/>
      <c r="Q44" s="545"/>
      <c r="R44" s="822"/>
      <c r="S44" s="815"/>
      <c r="T44" s="815"/>
      <c r="U44" s="823"/>
      <c r="V44" s="529"/>
      <c r="W44" s="529"/>
      <c r="X44" s="815"/>
      <c r="Y44" s="529"/>
      <c r="Z44" s="826"/>
      <c r="AA44" s="529"/>
      <c r="AB44" s="529"/>
      <c r="AC44" s="529"/>
      <c r="AD44" s="529"/>
      <c r="AE44" s="829"/>
      <c r="AF44" s="529"/>
      <c r="AG44" s="529"/>
      <c r="AH44" s="529"/>
      <c r="AI44" s="529"/>
      <c r="AJ44" s="529"/>
      <c r="AK44" s="529"/>
      <c r="AL44" s="529"/>
    </row>
    <row r="45" ht="28.5" customHeight="1" spans="1:38">
      <c r="A45" s="529"/>
      <c r="B45" s="814"/>
      <c r="C45" s="815"/>
      <c r="D45" s="815"/>
      <c r="E45" s="817"/>
      <c r="F45" s="521"/>
      <c r="G45" s="815"/>
      <c r="H45" s="815"/>
      <c r="I45" s="818"/>
      <c r="J45" s="818"/>
      <c r="K45" s="529"/>
      <c r="L45" s="529"/>
      <c r="M45" s="529"/>
      <c r="N45" s="546"/>
      <c r="O45" s="533"/>
      <c r="P45" s="545"/>
      <c r="Q45" s="545"/>
      <c r="R45" s="822"/>
      <c r="S45" s="815"/>
      <c r="T45" s="815"/>
      <c r="U45" s="823"/>
      <c r="V45" s="529"/>
      <c r="W45" s="529"/>
      <c r="X45" s="815"/>
      <c r="Y45" s="529"/>
      <c r="Z45" s="826"/>
      <c r="AA45" s="529"/>
      <c r="AB45" s="529"/>
      <c r="AC45" s="529"/>
      <c r="AD45" s="529"/>
      <c r="AE45" s="829"/>
      <c r="AF45" s="529"/>
      <c r="AG45" s="529"/>
      <c r="AH45" s="529"/>
      <c r="AI45" s="529"/>
      <c r="AJ45" s="529"/>
      <c r="AK45" s="529"/>
      <c r="AL45" s="529"/>
    </row>
    <row r="46" ht="28.5" customHeight="1" spans="1:38">
      <c r="A46" s="529"/>
      <c r="B46" s="814"/>
      <c r="C46" s="815"/>
      <c r="D46" s="815"/>
      <c r="E46" s="817"/>
      <c r="F46" s="521"/>
      <c r="G46" s="815"/>
      <c r="H46" s="815"/>
      <c r="I46" s="818"/>
      <c r="J46" s="818"/>
      <c r="K46" s="529"/>
      <c r="L46" s="529"/>
      <c r="M46" s="529"/>
      <c r="N46" s="546"/>
      <c r="O46" s="533"/>
      <c r="P46" s="545"/>
      <c r="Q46" s="545"/>
      <c r="R46" s="822"/>
      <c r="S46" s="815"/>
      <c r="T46" s="815"/>
      <c r="U46" s="823"/>
      <c r="V46" s="529"/>
      <c r="W46" s="529"/>
      <c r="X46" s="815"/>
      <c r="Y46" s="529"/>
      <c r="Z46" s="826"/>
      <c r="AA46" s="529"/>
      <c r="AB46" s="529"/>
      <c r="AC46" s="529"/>
      <c r="AD46" s="529"/>
      <c r="AE46" s="529"/>
      <c r="AF46" s="529"/>
      <c r="AG46" s="529"/>
      <c r="AH46" s="529"/>
      <c r="AI46" s="529"/>
      <c r="AJ46" s="529"/>
      <c r="AK46" s="529"/>
      <c r="AL46" s="529"/>
    </row>
    <row r="47" ht="28.5" customHeight="1" spans="1:38">
      <c r="A47" s="529"/>
      <c r="B47" s="814"/>
      <c r="C47" s="815"/>
      <c r="D47" s="815"/>
      <c r="E47" s="817"/>
      <c r="F47" s="521"/>
      <c r="G47" s="815"/>
      <c r="H47" s="815"/>
      <c r="I47" s="818"/>
      <c r="J47" s="818"/>
      <c r="K47" s="529"/>
      <c r="L47" s="529"/>
      <c r="M47" s="529"/>
      <c r="N47" s="546"/>
      <c r="O47" s="533"/>
      <c r="P47" s="545"/>
      <c r="Q47" s="545"/>
      <c r="R47" s="822"/>
      <c r="S47" s="815"/>
      <c r="T47" s="815"/>
      <c r="U47" s="823"/>
      <c r="V47" s="529"/>
      <c r="W47" s="529"/>
      <c r="X47" s="815"/>
      <c r="Y47" s="529"/>
      <c r="Z47" s="826"/>
      <c r="AA47" s="529"/>
      <c r="AB47" s="529"/>
      <c r="AC47" s="529"/>
      <c r="AD47" s="529"/>
      <c r="AE47" s="829"/>
      <c r="AF47" s="529"/>
      <c r="AG47" s="529"/>
      <c r="AH47" s="529"/>
      <c r="AI47" s="529"/>
      <c r="AJ47" s="529"/>
      <c r="AK47" s="529"/>
      <c r="AL47" s="529"/>
    </row>
    <row r="48" ht="28.5" customHeight="1" spans="1:38">
      <c r="A48" s="529"/>
      <c r="B48" s="814"/>
      <c r="C48" s="815"/>
      <c r="D48" s="815"/>
      <c r="E48" s="817"/>
      <c r="F48" s="521"/>
      <c r="G48" s="815"/>
      <c r="H48" s="815"/>
      <c r="I48" s="818"/>
      <c r="J48" s="818"/>
      <c r="K48" s="529"/>
      <c r="L48" s="529"/>
      <c r="M48" s="529"/>
      <c r="N48" s="546"/>
      <c r="O48" s="533"/>
      <c r="P48" s="545"/>
      <c r="Q48" s="545"/>
      <c r="R48" s="822"/>
      <c r="S48" s="815"/>
      <c r="T48" s="815"/>
      <c r="U48" s="823"/>
      <c r="V48" s="529"/>
      <c r="W48" s="529"/>
      <c r="X48" s="815"/>
      <c r="Y48" s="529"/>
      <c r="Z48" s="826"/>
      <c r="AA48" s="529"/>
      <c r="AB48" s="529"/>
      <c r="AC48" s="529"/>
      <c r="AD48" s="529"/>
      <c r="AE48" s="829"/>
      <c r="AF48" s="529"/>
      <c r="AG48" s="529"/>
      <c r="AH48" s="529"/>
      <c r="AI48" s="529"/>
      <c r="AJ48" s="529"/>
      <c r="AK48" s="529"/>
      <c r="AL48" s="529"/>
    </row>
    <row r="49" ht="28.5" customHeight="1" spans="1:38">
      <c r="A49" s="529"/>
      <c r="B49" s="814"/>
      <c r="C49" s="815"/>
      <c r="D49" s="815"/>
      <c r="E49" s="817"/>
      <c r="F49" s="521"/>
      <c r="G49" s="815"/>
      <c r="H49" s="815"/>
      <c r="I49" s="818"/>
      <c r="J49" s="818"/>
      <c r="K49" s="529"/>
      <c r="L49" s="529"/>
      <c r="M49" s="529"/>
      <c r="N49" s="546"/>
      <c r="O49" s="533"/>
      <c r="P49" s="545"/>
      <c r="Q49" s="545"/>
      <c r="R49" s="822"/>
      <c r="S49" s="815"/>
      <c r="T49" s="815"/>
      <c r="U49" s="823"/>
      <c r="V49" s="529"/>
      <c r="W49" s="529"/>
      <c r="X49" s="815"/>
      <c r="Y49" s="529"/>
      <c r="Z49" s="826"/>
      <c r="AA49" s="529"/>
      <c r="AB49" s="529"/>
      <c r="AC49" s="529"/>
      <c r="AD49" s="529"/>
      <c r="AE49" s="829"/>
      <c r="AF49" s="529"/>
      <c r="AG49" s="529"/>
      <c r="AH49" s="529"/>
      <c r="AI49" s="529"/>
      <c r="AJ49" s="529"/>
      <c r="AK49" s="529"/>
      <c r="AL49" s="529"/>
    </row>
    <row r="50" ht="28.5" customHeight="1" spans="1:38">
      <c r="A50" s="529"/>
      <c r="B50" s="814"/>
      <c r="C50" s="815"/>
      <c r="D50" s="815"/>
      <c r="E50" s="817"/>
      <c r="F50" s="521"/>
      <c r="G50" s="815"/>
      <c r="H50" s="815"/>
      <c r="I50" s="818"/>
      <c r="J50" s="818"/>
      <c r="K50" s="529"/>
      <c r="L50" s="529"/>
      <c r="M50" s="529"/>
      <c r="N50" s="546"/>
      <c r="O50" s="533"/>
      <c r="P50" s="545"/>
      <c r="Q50" s="545"/>
      <c r="R50" s="822"/>
      <c r="S50" s="815"/>
      <c r="T50" s="815"/>
      <c r="U50" s="823"/>
      <c r="V50" s="529"/>
      <c r="W50" s="529"/>
      <c r="X50" s="815"/>
      <c r="Y50" s="529"/>
      <c r="Z50" s="826"/>
      <c r="AA50" s="529"/>
      <c r="AB50" s="529"/>
      <c r="AC50" s="529"/>
      <c r="AD50" s="529"/>
      <c r="AE50" s="829"/>
      <c r="AF50" s="529"/>
      <c r="AG50" s="529"/>
      <c r="AH50" s="529"/>
      <c r="AI50" s="529"/>
      <c r="AJ50" s="529"/>
      <c r="AK50" s="529"/>
      <c r="AL50" s="529"/>
    </row>
    <row r="51" ht="28.5" customHeight="1" spans="1:38">
      <c r="A51" s="529"/>
      <c r="B51" s="814"/>
      <c r="C51" s="815"/>
      <c r="D51" s="815"/>
      <c r="E51" s="817"/>
      <c r="F51" s="521"/>
      <c r="G51" s="815"/>
      <c r="H51" s="815"/>
      <c r="I51" s="818"/>
      <c r="J51" s="818"/>
      <c r="K51" s="529"/>
      <c r="L51" s="529"/>
      <c r="M51" s="529"/>
      <c r="N51" s="546"/>
      <c r="O51" s="533"/>
      <c r="P51" s="545"/>
      <c r="Q51" s="545"/>
      <c r="R51" s="822"/>
      <c r="S51" s="815"/>
      <c r="T51" s="815"/>
      <c r="U51" s="823"/>
      <c r="V51" s="529"/>
      <c r="W51" s="529"/>
      <c r="X51" s="815"/>
      <c r="Y51" s="529"/>
      <c r="Z51" s="826"/>
      <c r="AA51" s="529"/>
      <c r="AB51" s="529"/>
      <c r="AC51" s="529"/>
      <c r="AD51" s="529"/>
      <c r="AE51" s="829"/>
      <c r="AF51" s="529"/>
      <c r="AG51" s="529"/>
      <c r="AH51" s="529"/>
      <c r="AI51" s="529"/>
      <c r="AJ51" s="529"/>
      <c r="AK51" s="529"/>
      <c r="AL51" s="529"/>
    </row>
    <row r="52" ht="28.5" customHeight="1" spans="1:38">
      <c r="A52" s="529"/>
      <c r="B52" s="814"/>
      <c r="C52" s="815"/>
      <c r="D52" s="815"/>
      <c r="E52" s="817"/>
      <c r="F52" s="521"/>
      <c r="G52" s="815"/>
      <c r="H52" s="815"/>
      <c r="I52" s="818"/>
      <c r="J52" s="818"/>
      <c r="K52" s="529"/>
      <c r="L52" s="529"/>
      <c r="M52" s="529"/>
      <c r="N52" s="546"/>
      <c r="O52" s="533"/>
      <c r="P52" s="545"/>
      <c r="Q52" s="545"/>
      <c r="R52" s="822"/>
      <c r="S52" s="815"/>
      <c r="T52" s="815"/>
      <c r="U52" s="823"/>
      <c r="V52" s="529"/>
      <c r="W52" s="529"/>
      <c r="X52" s="815"/>
      <c r="Y52" s="529"/>
      <c r="Z52" s="826"/>
      <c r="AA52" s="529"/>
      <c r="AB52" s="529"/>
      <c r="AC52" s="529"/>
      <c r="AD52" s="529"/>
      <c r="AE52" s="829"/>
      <c r="AF52" s="529"/>
      <c r="AG52" s="529"/>
      <c r="AH52" s="529"/>
      <c r="AI52" s="529"/>
      <c r="AJ52" s="529"/>
      <c r="AK52" s="529"/>
      <c r="AL52" s="529"/>
    </row>
    <row r="53" ht="28.5" customHeight="1" spans="1:38">
      <c r="A53" s="529"/>
      <c r="B53" s="814"/>
      <c r="C53" s="815"/>
      <c r="D53" s="815"/>
      <c r="E53" s="817"/>
      <c r="F53" s="521"/>
      <c r="G53" s="815"/>
      <c r="H53" s="815"/>
      <c r="I53" s="818"/>
      <c r="J53" s="818"/>
      <c r="K53" s="529"/>
      <c r="L53" s="529"/>
      <c r="M53" s="529"/>
      <c r="N53" s="546"/>
      <c r="O53" s="533"/>
      <c r="P53" s="545"/>
      <c r="Q53" s="545"/>
      <c r="R53" s="822"/>
      <c r="S53" s="815"/>
      <c r="T53" s="815"/>
      <c r="U53" s="823"/>
      <c r="V53" s="529"/>
      <c r="W53" s="529"/>
      <c r="X53" s="815"/>
      <c r="Y53" s="529"/>
      <c r="Z53" s="826"/>
      <c r="AA53" s="529"/>
      <c r="AB53" s="529"/>
      <c r="AC53" s="529"/>
      <c r="AD53" s="529"/>
      <c r="AE53" s="829"/>
      <c r="AF53" s="529"/>
      <c r="AG53" s="529"/>
      <c r="AH53" s="529"/>
      <c r="AI53" s="529"/>
      <c r="AJ53" s="529"/>
      <c r="AK53" s="529"/>
      <c r="AL53" s="529"/>
    </row>
    <row r="54" ht="28.5" customHeight="1" spans="1:38">
      <c r="A54" s="529"/>
      <c r="B54" s="814"/>
      <c r="C54" s="815"/>
      <c r="D54" s="815"/>
      <c r="E54" s="817"/>
      <c r="F54" s="521"/>
      <c r="G54" s="815"/>
      <c r="H54" s="815"/>
      <c r="I54" s="818"/>
      <c r="J54" s="818"/>
      <c r="K54" s="529"/>
      <c r="L54" s="529"/>
      <c r="M54" s="529"/>
      <c r="N54" s="546"/>
      <c r="O54" s="533"/>
      <c r="P54" s="545"/>
      <c r="Q54" s="545"/>
      <c r="R54" s="822"/>
      <c r="S54" s="815"/>
      <c r="T54" s="815"/>
      <c r="U54" s="823"/>
      <c r="V54" s="529"/>
      <c r="W54" s="529"/>
      <c r="X54" s="815"/>
      <c r="Y54" s="529"/>
      <c r="Z54" s="826"/>
      <c r="AA54" s="529"/>
      <c r="AB54" s="529"/>
      <c r="AC54" s="529"/>
      <c r="AD54" s="529"/>
      <c r="AE54" s="829"/>
      <c r="AF54" s="529"/>
      <c r="AG54" s="529"/>
      <c r="AH54" s="529"/>
      <c r="AI54" s="529"/>
      <c r="AJ54" s="529"/>
      <c r="AK54" s="529"/>
      <c r="AL54" s="529"/>
    </row>
    <row r="55" ht="28.5" customHeight="1" spans="1:38">
      <c r="A55" s="529"/>
      <c r="B55" s="814"/>
      <c r="C55" s="815"/>
      <c r="D55" s="815"/>
      <c r="E55" s="817"/>
      <c r="F55" s="521"/>
      <c r="G55" s="815"/>
      <c r="H55" s="815"/>
      <c r="I55" s="818"/>
      <c r="J55" s="818"/>
      <c r="K55" s="529"/>
      <c r="L55" s="529"/>
      <c r="M55" s="529"/>
      <c r="N55" s="546"/>
      <c r="O55" s="533"/>
      <c r="P55" s="545"/>
      <c r="Q55" s="545"/>
      <c r="R55" s="822"/>
      <c r="S55" s="815"/>
      <c r="T55" s="815"/>
      <c r="U55" s="823"/>
      <c r="V55" s="529"/>
      <c r="W55" s="529"/>
      <c r="X55" s="815"/>
      <c r="Y55" s="529"/>
      <c r="Z55" s="826"/>
      <c r="AA55" s="529"/>
      <c r="AB55" s="529"/>
      <c r="AC55" s="529"/>
      <c r="AD55" s="830"/>
      <c r="AE55" s="829"/>
      <c r="AF55" s="529"/>
      <c r="AG55" s="529"/>
      <c r="AH55" s="529"/>
      <c r="AI55" s="529"/>
      <c r="AJ55" s="529"/>
      <c r="AK55" s="529"/>
      <c r="AL55" s="529"/>
    </row>
    <row r="56" ht="28.5" customHeight="1" spans="1:38">
      <c r="A56" s="529"/>
      <c r="B56" s="814"/>
      <c r="C56" s="815"/>
      <c r="D56" s="815"/>
      <c r="E56" s="817"/>
      <c r="F56" s="521"/>
      <c r="G56" s="815"/>
      <c r="H56" s="815"/>
      <c r="I56" s="818"/>
      <c r="J56" s="818"/>
      <c r="K56" s="529"/>
      <c r="L56" s="529"/>
      <c r="M56" s="529"/>
      <c r="N56" s="546"/>
      <c r="O56" s="533"/>
      <c r="P56" s="545"/>
      <c r="Q56" s="545"/>
      <c r="R56" s="821"/>
      <c r="S56" s="815"/>
      <c r="T56" s="815"/>
      <c r="U56" s="823"/>
      <c r="V56" s="529"/>
      <c r="W56" s="529"/>
      <c r="X56" s="815"/>
      <c r="Y56" s="529"/>
      <c r="Z56" s="826"/>
      <c r="AA56" s="529"/>
      <c r="AB56" s="529"/>
      <c r="AC56" s="529"/>
      <c r="AD56" s="529"/>
      <c r="AE56" s="829"/>
      <c r="AF56" s="529"/>
      <c r="AG56" s="529"/>
      <c r="AH56" s="529"/>
      <c r="AI56" s="529"/>
      <c r="AJ56" s="529"/>
      <c r="AK56" s="529"/>
      <c r="AL56" s="529"/>
    </row>
    <row r="57" ht="28.5" customHeight="1" spans="1:38">
      <c r="A57" s="529"/>
      <c r="B57" s="814"/>
      <c r="C57" s="815"/>
      <c r="D57" s="815"/>
      <c r="E57" s="817"/>
      <c r="F57" s="521"/>
      <c r="G57" s="815"/>
      <c r="H57" s="815"/>
      <c r="I57" s="818"/>
      <c r="J57" s="818"/>
      <c r="K57" s="529"/>
      <c r="L57" s="529"/>
      <c r="M57" s="529"/>
      <c r="N57" s="546"/>
      <c r="O57" s="533"/>
      <c r="P57" s="545"/>
      <c r="Q57" s="545"/>
      <c r="R57" s="821"/>
      <c r="S57" s="815"/>
      <c r="T57" s="815"/>
      <c r="U57" s="823"/>
      <c r="V57" s="529"/>
      <c r="W57" s="529"/>
      <c r="X57" s="815"/>
      <c r="Y57" s="529"/>
      <c r="Z57" s="826"/>
      <c r="AA57" s="529"/>
      <c r="AB57" s="529"/>
      <c r="AC57" s="529"/>
      <c r="AD57" s="529"/>
      <c r="AE57" s="529"/>
      <c r="AF57" s="529"/>
      <c r="AG57" s="529"/>
      <c r="AH57" s="529"/>
      <c r="AI57" s="529"/>
      <c r="AJ57" s="529"/>
      <c r="AK57" s="529"/>
      <c r="AL57" s="529"/>
    </row>
    <row r="58" ht="28.5" customHeight="1" spans="1:38">
      <c r="A58" s="529"/>
      <c r="B58" s="814"/>
      <c r="C58" s="815"/>
      <c r="D58" s="815"/>
      <c r="E58" s="817"/>
      <c r="F58" s="521"/>
      <c r="G58" s="815"/>
      <c r="H58" s="815"/>
      <c r="I58" s="818"/>
      <c r="J58" s="818"/>
      <c r="K58" s="529"/>
      <c r="L58" s="529"/>
      <c r="M58" s="529"/>
      <c r="N58" s="546"/>
      <c r="O58" s="533"/>
      <c r="P58" s="545"/>
      <c r="Q58" s="545"/>
      <c r="R58" s="821"/>
      <c r="S58" s="815"/>
      <c r="T58" s="815"/>
      <c r="U58" s="823"/>
      <c r="V58" s="529"/>
      <c r="W58" s="529"/>
      <c r="X58" s="815"/>
      <c r="Y58" s="529"/>
      <c r="Z58" s="826"/>
      <c r="AA58" s="529"/>
      <c r="AB58" s="529"/>
      <c r="AC58" s="529"/>
      <c r="AD58" s="529"/>
      <c r="AE58" s="829"/>
      <c r="AF58" s="529"/>
      <c r="AG58" s="529"/>
      <c r="AH58" s="529"/>
      <c r="AI58" s="529"/>
      <c r="AJ58" s="529"/>
      <c r="AK58" s="529"/>
      <c r="AL58" s="529"/>
    </row>
    <row r="59" ht="28.5" customHeight="1" spans="1:38">
      <c r="A59" s="529"/>
      <c r="B59" s="814"/>
      <c r="C59" s="815"/>
      <c r="D59" s="815"/>
      <c r="E59" s="817"/>
      <c r="F59" s="521"/>
      <c r="G59" s="815"/>
      <c r="H59" s="815"/>
      <c r="I59" s="818"/>
      <c r="J59" s="818"/>
      <c r="K59" s="529"/>
      <c r="L59" s="529"/>
      <c r="M59" s="529"/>
      <c r="N59" s="546"/>
      <c r="O59" s="533"/>
      <c r="P59" s="545"/>
      <c r="Q59" s="545"/>
      <c r="R59" s="821"/>
      <c r="S59" s="815"/>
      <c r="T59" s="815"/>
      <c r="U59" s="823"/>
      <c r="V59" s="529"/>
      <c r="W59" s="529"/>
      <c r="X59" s="815"/>
      <c r="Y59" s="529"/>
      <c r="Z59" s="826"/>
      <c r="AA59" s="529"/>
      <c r="AB59" s="529"/>
      <c r="AC59" s="529"/>
      <c r="AD59" s="529"/>
      <c r="AE59" s="829"/>
      <c r="AF59" s="529"/>
      <c r="AG59" s="529"/>
      <c r="AH59" s="529"/>
      <c r="AI59" s="529"/>
      <c r="AJ59" s="529"/>
      <c r="AK59" s="529"/>
      <c r="AL59" s="529"/>
    </row>
    <row r="60" ht="28.5" customHeight="1" spans="1:38">
      <c r="A60" s="529"/>
      <c r="B60" s="814"/>
      <c r="C60" s="815"/>
      <c r="D60" s="815"/>
      <c r="E60" s="817"/>
      <c r="F60" s="521"/>
      <c r="G60" s="815"/>
      <c r="H60" s="815"/>
      <c r="I60" s="818"/>
      <c r="J60" s="818"/>
      <c r="K60" s="529"/>
      <c r="L60" s="529"/>
      <c r="M60" s="529"/>
      <c r="N60" s="546"/>
      <c r="O60" s="533"/>
      <c r="P60" s="545"/>
      <c r="Q60" s="545"/>
      <c r="R60" s="821"/>
      <c r="S60" s="815"/>
      <c r="T60" s="815"/>
      <c r="U60" s="823"/>
      <c r="V60" s="529"/>
      <c r="W60" s="529"/>
      <c r="X60" s="815"/>
      <c r="Y60" s="529"/>
      <c r="Z60" s="826"/>
      <c r="AA60" s="529"/>
      <c r="AB60" s="529"/>
      <c r="AC60" s="529"/>
      <c r="AD60" s="529"/>
      <c r="AE60" s="529"/>
      <c r="AF60" s="529"/>
      <c r="AG60" s="529"/>
      <c r="AH60" s="529"/>
      <c r="AI60" s="529"/>
      <c r="AJ60" s="529"/>
      <c r="AK60" s="529"/>
      <c r="AL60" s="529"/>
    </row>
    <row r="61" ht="28.5" customHeight="1" spans="1:38">
      <c r="A61" s="529"/>
      <c r="B61" s="814"/>
      <c r="C61" s="815"/>
      <c r="D61" s="815"/>
      <c r="E61" s="817"/>
      <c r="F61" s="521"/>
      <c r="G61" s="815"/>
      <c r="H61" s="815"/>
      <c r="I61" s="818"/>
      <c r="J61" s="818"/>
      <c r="K61" s="529"/>
      <c r="L61" s="529"/>
      <c r="M61" s="529"/>
      <c r="N61" s="546"/>
      <c r="O61" s="533"/>
      <c r="P61" s="545"/>
      <c r="Q61" s="545"/>
      <c r="R61" s="821"/>
      <c r="S61" s="815"/>
      <c r="T61" s="815"/>
      <c r="U61" s="823"/>
      <c r="V61" s="529"/>
      <c r="W61" s="529"/>
      <c r="X61" s="815"/>
      <c r="Y61" s="529"/>
      <c r="Z61" s="826"/>
      <c r="AA61" s="529"/>
      <c r="AB61" s="529"/>
      <c r="AC61" s="529"/>
      <c r="AD61" s="529"/>
      <c r="AE61" s="829"/>
      <c r="AF61" s="529"/>
      <c r="AG61" s="529"/>
      <c r="AH61" s="529"/>
      <c r="AI61" s="529"/>
      <c r="AJ61" s="529"/>
      <c r="AK61" s="529"/>
      <c r="AL61" s="529"/>
    </row>
    <row r="62" ht="28.5" customHeight="1" spans="1:38">
      <c r="A62" s="529"/>
      <c r="B62" s="814"/>
      <c r="C62" s="815"/>
      <c r="D62" s="815"/>
      <c r="E62" s="817"/>
      <c r="F62" s="521"/>
      <c r="G62" s="815"/>
      <c r="H62" s="815"/>
      <c r="I62" s="818"/>
      <c r="J62" s="818"/>
      <c r="K62" s="529"/>
      <c r="L62" s="529"/>
      <c r="M62" s="529"/>
      <c r="N62" s="546"/>
      <c r="O62" s="533"/>
      <c r="P62" s="545"/>
      <c r="Q62" s="545"/>
      <c r="R62" s="821"/>
      <c r="S62" s="815"/>
      <c r="T62" s="815"/>
      <c r="U62" s="823"/>
      <c r="V62" s="529"/>
      <c r="W62" s="529"/>
      <c r="X62" s="815"/>
      <c r="Y62" s="529"/>
      <c r="Z62" s="826"/>
      <c r="AA62" s="529"/>
      <c r="AB62" s="529"/>
      <c r="AC62" s="529"/>
      <c r="AD62" s="529"/>
      <c r="AE62" s="829"/>
      <c r="AF62" s="529"/>
      <c r="AG62" s="529"/>
      <c r="AH62" s="529"/>
      <c r="AI62" s="529"/>
      <c r="AJ62" s="529"/>
      <c r="AK62" s="529"/>
      <c r="AL62" s="529"/>
    </row>
    <row r="63" ht="28.5" customHeight="1" spans="1:38">
      <c r="A63" s="529"/>
      <c r="B63" s="814"/>
      <c r="C63" s="815"/>
      <c r="D63" s="815"/>
      <c r="E63" s="817"/>
      <c r="F63" s="521"/>
      <c r="G63" s="815"/>
      <c r="H63" s="815"/>
      <c r="I63" s="818"/>
      <c r="J63" s="818"/>
      <c r="K63" s="529"/>
      <c r="L63" s="529"/>
      <c r="M63" s="529"/>
      <c r="N63" s="546"/>
      <c r="O63" s="533"/>
      <c r="P63" s="545"/>
      <c r="Q63" s="545"/>
      <c r="R63" s="821"/>
      <c r="S63" s="815"/>
      <c r="T63" s="815"/>
      <c r="U63" s="823"/>
      <c r="V63" s="529"/>
      <c r="W63" s="529"/>
      <c r="X63" s="815"/>
      <c r="Y63" s="529"/>
      <c r="Z63" s="826"/>
      <c r="AA63" s="529"/>
      <c r="AB63" s="529"/>
      <c r="AC63" s="529"/>
      <c r="AD63" s="529"/>
      <c r="AE63" s="529"/>
      <c r="AF63" s="529"/>
      <c r="AG63" s="529"/>
      <c r="AH63" s="529"/>
      <c r="AI63" s="529"/>
      <c r="AJ63" s="529"/>
      <c r="AK63" s="529"/>
      <c r="AL63" s="529"/>
    </row>
    <row r="64" ht="28.5" customHeight="1" spans="1:38">
      <c r="A64" s="529"/>
      <c r="B64" s="814"/>
      <c r="C64" s="815"/>
      <c r="D64" s="815"/>
      <c r="E64" s="817"/>
      <c r="F64" s="521"/>
      <c r="G64" s="815"/>
      <c r="H64" s="815"/>
      <c r="I64" s="818"/>
      <c r="J64" s="818"/>
      <c r="K64" s="529"/>
      <c r="L64" s="529"/>
      <c r="M64" s="529"/>
      <c r="N64" s="546"/>
      <c r="O64" s="533"/>
      <c r="P64" s="545"/>
      <c r="Q64" s="545"/>
      <c r="R64" s="821"/>
      <c r="S64" s="815"/>
      <c r="T64" s="815"/>
      <c r="U64" s="823"/>
      <c r="V64" s="529"/>
      <c r="W64" s="529"/>
      <c r="X64" s="815"/>
      <c r="Y64" s="529"/>
      <c r="Z64" s="826"/>
      <c r="AA64" s="529"/>
      <c r="AB64" s="529"/>
      <c r="AC64" s="529"/>
      <c r="AD64" s="529"/>
      <c r="AE64" s="829"/>
      <c r="AF64" s="529"/>
      <c r="AG64" s="529"/>
      <c r="AH64" s="529"/>
      <c r="AI64" s="529"/>
      <c r="AJ64" s="529"/>
      <c r="AK64" s="529"/>
      <c r="AL64" s="529"/>
    </row>
    <row r="65" customHeight="1" spans="1:38">
      <c r="A65" s="529"/>
      <c r="B65" s="529"/>
      <c r="C65" s="529"/>
      <c r="D65" s="529"/>
      <c r="E65" s="521"/>
      <c r="F65" s="521"/>
      <c r="G65" s="529"/>
      <c r="H65" s="529"/>
      <c r="I65" s="529"/>
      <c r="J65" s="529"/>
      <c r="K65" s="529"/>
      <c r="L65" s="529"/>
      <c r="M65" s="529"/>
      <c r="N65" s="529"/>
      <c r="O65" s="529"/>
      <c r="P65" s="529"/>
      <c r="Q65" s="529"/>
      <c r="R65" s="814"/>
      <c r="S65" s="529"/>
      <c r="T65" s="529"/>
      <c r="U65" s="529"/>
      <c r="V65" s="529"/>
      <c r="W65" s="529"/>
      <c r="X65" s="529"/>
      <c r="Y65" s="529"/>
      <c r="Z65" s="826"/>
      <c r="AA65" s="529"/>
      <c r="AB65" s="529"/>
      <c r="AC65" s="529"/>
      <c r="AD65" s="529"/>
      <c r="AE65" s="529"/>
      <c r="AF65" s="529"/>
      <c r="AG65" s="529"/>
      <c r="AH65" s="529"/>
      <c r="AI65" s="529"/>
      <c r="AJ65" s="529"/>
      <c r="AK65" s="529"/>
      <c r="AL65" s="529"/>
    </row>
    <row r="66" customHeight="1" spans="1:38">
      <c r="A66" s="529"/>
      <c r="B66" s="529"/>
      <c r="C66" s="529"/>
      <c r="D66" s="529"/>
      <c r="E66" s="521"/>
      <c r="F66" s="521"/>
      <c r="G66" s="529"/>
      <c r="H66" s="529"/>
      <c r="I66" s="529"/>
      <c r="J66" s="529"/>
      <c r="K66" s="529"/>
      <c r="L66" s="529"/>
      <c r="M66" s="529"/>
      <c r="N66" s="529"/>
      <c r="O66" s="529"/>
      <c r="P66" s="529"/>
      <c r="Q66" s="529"/>
      <c r="R66" s="814"/>
      <c r="S66" s="529"/>
      <c r="T66" s="529"/>
      <c r="U66" s="529"/>
      <c r="V66" s="529"/>
      <c r="W66" s="529"/>
      <c r="X66" s="529"/>
      <c r="Y66" s="529"/>
      <c r="Z66" s="826"/>
      <c r="AA66" s="529"/>
      <c r="AB66" s="529"/>
      <c r="AC66" s="529"/>
      <c r="AD66" s="529"/>
      <c r="AE66" s="529"/>
      <c r="AF66" s="529"/>
      <c r="AG66" s="529"/>
      <c r="AH66" s="529"/>
      <c r="AI66" s="529"/>
      <c r="AJ66" s="529"/>
      <c r="AK66" s="529"/>
      <c r="AL66" s="529"/>
    </row>
    <row r="67" customHeight="1" spans="1:38">
      <c r="A67" s="529"/>
      <c r="B67" s="529"/>
      <c r="C67" s="529"/>
      <c r="D67" s="529"/>
      <c r="E67" s="521"/>
      <c r="F67" s="521"/>
      <c r="G67" s="529"/>
      <c r="H67" s="529"/>
      <c r="I67" s="529"/>
      <c r="J67" s="529"/>
      <c r="K67" s="529"/>
      <c r="L67" s="529"/>
      <c r="M67" s="529"/>
      <c r="N67" s="529"/>
      <c r="O67" s="529"/>
      <c r="P67" s="529"/>
      <c r="Q67" s="529"/>
      <c r="R67" s="814"/>
      <c r="S67" s="529"/>
      <c r="T67" s="529"/>
      <c r="U67" s="529"/>
      <c r="V67" s="529"/>
      <c r="W67" s="529"/>
      <c r="X67" s="529"/>
      <c r="Y67" s="529"/>
      <c r="Z67" s="826"/>
      <c r="AA67" s="529"/>
      <c r="AB67" s="529"/>
      <c r="AC67" s="529"/>
      <c r="AD67" s="529"/>
      <c r="AE67" s="529"/>
      <c r="AF67" s="529"/>
      <c r="AG67" s="529"/>
      <c r="AH67" s="529"/>
      <c r="AI67" s="529"/>
      <c r="AJ67" s="529"/>
      <c r="AK67" s="529"/>
      <c r="AL67" s="529"/>
    </row>
  </sheetData>
  <mergeCells count="31">
    <mergeCell ref="A1:K1"/>
    <mergeCell ref="A2:K2"/>
    <mergeCell ref="I4:J4"/>
    <mergeCell ref="L4:M4"/>
    <mergeCell ref="A4:A5"/>
    <mergeCell ref="B4:B5"/>
    <mergeCell ref="C4:C5"/>
    <mergeCell ref="D4:D5"/>
    <mergeCell ref="E4:E5"/>
    <mergeCell ref="F4:F5"/>
    <mergeCell ref="G4:G5"/>
    <mergeCell ref="H4:H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s>
  <conditionalFormatting sqref="O6;N8:O64">
    <cfRule type="expression" dxfId="1017" priority="1" stopIfTrue="1">
      <formula>IF($O6="warning",TRUE,FALSE)</formula>
    </cfRule>
  </conditionalFormatting>
  <conditionalFormatting sqref="N6">
    <cfRule type="expression" dxfId="1018" priority="2" stopIfTrue="1">
      <formula>IF($P6="warning",TRUE,FALSE)</formula>
    </cfRule>
  </conditionalFormatting>
  <hyperlinks>
    <hyperlink ref="AE6" location="" display="mirfan200187@gmail.com"/>
  </hyperlinks>
  <pageMargins left="0.699305555555556" right="0.699305555555556"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AL67"/>
  <sheetViews>
    <sheetView workbookViewId="0">
      <pane xSplit="3" ySplit="5" topLeftCell="D6" activePane="bottomRight" state="frozen"/>
      <selection/>
      <selection pane="topRight"/>
      <selection pane="bottomLeft"/>
      <selection pane="bottomRight" activeCell="C7" sqref="C7"/>
    </sheetView>
  </sheetViews>
  <sheetFormatPr defaultColWidth="9" defaultRowHeight="12.95" customHeight="1"/>
  <cols>
    <col min="1" max="1" width="3.70833333333333" style="93" customWidth="1"/>
    <col min="2" max="2" width="10.425" style="93" customWidth="1"/>
    <col min="3" max="3" width="17.5666666666667" style="93" customWidth="1"/>
    <col min="4" max="4" width="20.1416666666667" style="93" customWidth="1"/>
    <col min="5" max="5" width="5" style="91" customWidth="1"/>
    <col min="6" max="6" width="8.14166666666667" style="91" customWidth="1"/>
    <col min="7" max="8" width="12" style="93" customWidth="1"/>
    <col min="9" max="9" width="10.7083333333333" style="93" customWidth="1"/>
    <col min="10" max="10" width="9.28333333333333" style="93" customWidth="1"/>
    <col min="11" max="11" width="8.70833333333333" style="93" customWidth="1"/>
    <col min="12" max="13" width="8.56666666666667" style="93" customWidth="1"/>
    <col min="14" max="14" width="9" style="93" customWidth="1"/>
    <col min="15" max="15" width="9.85833333333333" style="93" customWidth="1"/>
    <col min="16" max="16" width="12.425" style="93" customWidth="1"/>
    <col min="17" max="17" width="10.425" style="93" customWidth="1"/>
    <col min="18" max="18" width="10.1416666666667" style="811" customWidth="1"/>
    <col min="19" max="19" width="6.56666666666667" style="93" customWidth="1"/>
    <col min="20" max="20" width="6.85833333333333" style="93" customWidth="1"/>
    <col min="21" max="21" width="9.70833333333333" style="93" customWidth="1"/>
    <col min="22" max="22" width="12.2833333333333" style="93" customWidth="1"/>
    <col min="23" max="23" width="23.425" style="93" customWidth="1"/>
    <col min="24" max="24" width="25.425" style="93" customWidth="1"/>
    <col min="25" max="25" width="12.5666666666667" style="93" customWidth="1"/>
    <col min="26" max="26" width="15" style="93" customWidth="1"/>
    <col min="27" max="27" width="16.8583333333333" style="93" customWidth="1"/>
    <col min="28" max="29" width="13" style="93" customWidth="1"/>
    <col min="30" max="30" width="20.425" style="93" customWidth="1"/>
    <col min="31" max="31" width="22.1416666666667" style="93" customWidth="1"/>
    <col min="32" max="32" width="19.2833333333333" style="93" customWidth="1"/>
    <col min="33" max="16384" width="9.14166666666667" style="93"/>
  </cols>
  <sheetData>
    <row r="1" s="91" customFormat="1" customHeight="1" spans="1:29">
      <c r="A1" s="97" t="s">
        <v>7926</v>
      </c>
      <c r="B1" s="812"/>
      <c r="C1" s="812"/>
      <c r="D1" s="812"/>
      <c r="E1" s="812"/>
      <c r="F1" s="812"/>
      <c r="G1" s="812"/>
      <c r="H1" s="812"/>
      <c r="I1" s="812"/>
      <c r="J1" s="812"/>
      <c r="K1" s="812"/>
      <c r="L1" s="97"/>
      <c r="M1" s="97"/>
      <c r="N1" s="97"/>
      <c r="O1" s="97"/>
      <c r="P1" s="97"/>
      <c r="Q1" s="97"/>
      <c r="R1" s="97"/>
      <c r="S1" s="97"/>
      <c r="T1" s="97"/>
      <c r="U1" s="97"/>
      <c r="V1" s="97"/>
      <c r="W1" s="97"/>
      <c r="X1" s="97"/>
      <c r="Y1" s="97"/>
      <c r="Z1" s="97"/>
      <c r="AA1" s="97"/>
      <c r="AB1" s="97"/>
      <c r="AC1" s="97"/>
    </row>
    <row r="2" s="91" customFormat="1" customHeight="1" spans="1:29">
      <c r="A2" s="97" t="s">
        <v>8227</v>
      </c>
      <c r="B2" s="812"/>
      <c r="C2" s="812"/>
      <c r="D2" s="812"/>
      <c r="E2" s="812"/>
      <c r="F2" s="812"/>
      <c r="G2" s="812"/>
      <c r="H2" s="812"/>
      <c r="I2" s="812"/>
      <c r="J2" s="812"/>
      <c r="K2" s="812"/>
      <c r="L2" s="97"/>
      <c r="M2" s="97"/>
      <c r="N2" s="97"/>
      <c r="O2" s="97"/>
      <c r="P2" s="97"/>
      <c r="Q2" s="97"/>
      <c r="R2" s="97"/>
      <c r="S2" s="97"/>
      <c r="T2" s="97"/>
      <c r="U2" s="97"/>
      <c r="V2" s="97"/>
      <c r="W2" s="97"/>
      <c r="X2" s="97"/>
      <c r="Y2" s="97"/>
      <c r="Z2" s="97"/>
      <c r="AA2" s="97"/>
      <c r="AB2" s="97"/>
      <c r="AC2" s="97"/>
    </row>
    <row r="3" s="91" customFormat="1" customHeight="1" spans="1:23">
      <c r="A3" s="97"/>
      <c r="B3" s="97"/>
      <c r="C3" s="97"/>
      <c r="D3" s="97"/>
      <c r="E3" s="97"/>
      <c r="F3" s="97"/>
      <c r="G3" s="97"/>
      <c r="H3" s="97"/>
      <c r="I3" s="97"/>
      <c r="J3" s="97"/>
      <c r="K3" s="97"/>
      <c r="L3" s="97"/>
      <c r="M3" s="97"/>
      <c r="N3" s="97"/>
      <c r="O3" s="97"/>
      <c r="P3" s="97"/>
      <c r="Q3" s="97"/>
      <c r="R3" s="97"/>
      <c r="S3" s="97"/>
      <c r="T3" s="97"/>
      <c r="U3" s="97"/>
      <c r="V3" s="97"/>
      <c r="W3" s="97"/>
    </row>
    <row r="4" s="91" customFormat="1" ht="19.5" customHeight="1" spans="1:32">
      <c r="A4" s="98" t="s">
        <v>0</v>
      </c>
      <c r="B4" s="98" t="s">
        <v>1</v>
      </c>
      <c r="C4" s="98" t="s">
        <v>2</v>
      </c>
      <c r="D4" s="98" t="s">
        <v>3</v>
      </c>
      <c r="E4" s="124" t="s">
        <v>7928</v>
      </c>
      <c r="F4" s="98" t="s">
        <v>7929</v>
      </c>
      <c r="G4" s="98" t="s">
        <v>8</v>
      </c>
      <c r="H4" s="124" t="s">
        <v>7930</v>
      </c>
      <c r="I4" s="174" t="s">
        <v>9</v>
      </c>
      <c r="J4" s="186"/>
      <c r="K4" s="186"/>
      <c r="L4" s="174" t="s">
        <v>11</v>
      </c>
      <c r="M4" s="186"/>
      <c r="N4" s="98" t="s">
        <v>14</v>
      </c>
      <c r="O4" s="103" t="s">
        <v>15</v>
      </c>
      <c r="P4" s="103" t="s">
        <v>7931</v>
      </c>
      <c r="Q4" s="537" t="s">
        <v>8228</v>
      </c>
      <c r="R4" s="537" t="s">
        <v>7933</v>
      </c>
      <c r="S4" s="98" t="s">
        <v>25</v>
      </c>
      <c r="T4" s="98" t="s">
        <v>26</v>
      </c>
      <c r="U4" s="98" t="s">
        <v>7953</v>
      </c>
      <c r="V4" s="98" t="s">
        <v>3509</v>
      </c>
      <c r="W4" s="103" t="s">
        <v>15</v>
      </c>
      <c r="X4" s="117" t="s">
        <v>28</v>
      </c>
      <c r="Y4" s="118" t="s">
        <v>29</v>
      </c>
      <c r="Z4" s="104" t="s">
        <v>31</v>
      </c>
      <c r="AA4" s="104" t="s">
        <v>32</v>
      </c>
      <c r="AB4" s="104" t="s">
        <v>7934</v>
      </c>
      <c r="AC4" s="124" t="s">
        <v>7935</v>
      </c>
      <c r="AD4" s="104" t="s">
        <v>30</v>
      </c>
      <c r="AE4" s="548" t="s">
        <v>7936</v>
      </c>
      <c r="AF4" s="124" t="s">
        <v>36</v>
      </c>
    </row>
    <row r="5" s="91" customFormat="1" ht="21" customHeight="1" spans="1:32">
      <c r="A5" s="672"/>
      <c r="B5" s="672"/>
      <c r="C5" s="672"/>
      <c r="D5" s="672"/>
      <c r="E5" s="816"/>
      <c r="F5" s="672"/>
      <c r="G5" s="672"/>
      <c r="H5" s="816"/>
      <c r="I5" s="98" t="s">
        <v>37</v>
      </c>
      <c r="J5" s="98" t="s">
        <v>38</v>
      </c>
      <c r="K5" s="98" t="s">
        <v>38</v>
      </c>
      <c r="L5" s="98" t="s">
        <v>37</v>
      </c>
      <c r="M5" s="98" t="s">
        <v>38</v>
      </c>
      <c r="N5" s="672"/>
      <c r="O5" s="706"/>
      <c r="P5" s="706"/>
      <c r="Q5" s="819"/>
      <c r="R5" s="819"/>
      <c r="S5" s="710"/>
      <c r="T5" s="820"/>
      <c r="U5" s="820"/>
      <c r="V5" s="710"/>
      <c r="W5" s="706"/>
      <c r="X5" s="717"/>
      <c r="Y5" s="824"/>
      <c r="Z5" s="825"/>
      <c r="AA5" s="825"/>
      <c r="AB5" s="825"/>
      <c r="AC5" s="828"/>
      <c r="AD5" s="825"/>
      <c r="AE5" s="560"/>
      <c r="AF5" s="730"/>
    </row>
    <row r="6" s="204" customFormat="1" ht="28.5" customHeight="1" spans="1:33">
      <c r="A6" s="432">
        <v>1</v>
      </c>
      <c r="B6" s="466" t="s">
        <v>8229</v>
      </c>
      <c r="C6" s="793" t="s">
        <v>8230</v>
      </c>
      <c r="D6" s="793" t="s">
        <v>8231</v>
      </c>
      <c r="E6" s="700" t="s">
        <v>125</v>
      </c>
      <c r="F6" s="432" t="s">
        <v>254</v>
      </c>
      <c r="G6" s="793" t="s">
        <v>8232</v>
      </c>
      <c r="H6" s="700" t="s">
        <v>3528</v>
      </c>
      <c r="I6" s="704">
        <v>42767</v>
      </c>
      <c r="J6" s="704">
        <v>43131</v>
      </c>
      <c r="K6" s="704">
        <v>43496</v>
      </c>
      <c r="L6" s="432"/>
      <c r="M6" s="432"/>
      <c r="N6" s="640">
        <f ca="1">SUM(K6-NOW())</f>
        <v>223.61546296296</v>
      </c>
      <c r="O6" s="121" t="str">
        <f ca="1">IF(N6&lt;=40,"WARNING","ACTIVE")</f>
        <v>ACTIVE</v>
      </c>
      <c r="P6" s="800">
        <v>2812285</v>
      </c>
      <c r="Q6" s="116">
        <v>835750</v>
      </c>
      <c r="R6" s="700"/>
      <c r="S6" s="802">
        <v>325120</v>
      </c>
      <c r="T6" s="700" t="s">
        <v>48</v>
      </c>
      <c r="U6" s="700" t="s">
        <v>8220</v>
      </c>
      <c r="V6" s="432"/>
      <c r="W6" s="432" t="s">
        <v>8233</v>
      </c>
      <c r="X6" s="793" t="s">
        <v>8234</v>
      </c>
      <c r="Y6" s="1577" t="s">
        <v>8235</v>
      </c>
      <c r="Z6" s="1582" t="s">
        <v>8236</v>
      </c>
      <c r="AA6" s="432" t="s">
        <v>8237</v>
      </c>
      <c r="AB6" s="1577" t="s">
        <v>8238</v>
      </c>
      <c r="AC6" s="432"/>
      <c r="AD6" s="432" t="s">
        <v>8239</v>
      </c>
      <c r="AE6" s="432" t="s">
        <v>8240</v>
      </c>
      <c r="AF6" s="432"/>
      <c r="AG6" s="831"/>
    </row>
    <row r="7" ht="28.5" customHeight="1" spans="1:32">
      <c r="A7" s="529"/>
      <c r="B7" s="529"/>
      <c r="C7" s="529"/>
      <c r="D7" s="529"/>
      <c r="E7" s="529"/>
      <c r="F7" s="529"/>
      <c r="G7" s="529"/>
      <c r="H7" s="529"/>
      <c r="I7" s="529"/>
      <c r="J7" s="529"/>
      <c r="K7" s="529"/>
      <c r="L7" s="529"/>
      <c r="M7" s="529"/>
      <c r="N7" s="529"/>
      <c r="O7" s="529"/>
      <c r="P7" s="529"/>
      <c r="Q7" s="529"/>
      <c r="R7" s="529"/>
      <c r="S7" s="529"/>
      <c r="T7" s="529"/>
      <c r="U7" s="529"/>
      <c r="V7" s="529"/>
      <c r="W7" s="529"/>
      <c r="X7" s="529"/>
      <c r="Y7" s="529"/>
      <c r="Z7" s="529"/>
      <c r="AA7" s="529"/>
      <c r="AB7" s="529"/>
      <c r="AC7" s="529"/>
      <c r="AD7" s="529"/>
      <c r="AE7" s="529"/>
      <c r="AF7" s="529"/>
    </row>
    <row r="8" ht="28.5" customHeight="1" spans="1:38">
      <c r="A8" s="529"/>
      <c r="B8" s="813"/>
      <c r="C8" s="813"/>
      <c r="D8" s="813"/>
      <c r="E8" s="813"/>
      <c r="F8" s="813"/>
      <c r="G8" s="813"/>
      <c r="H8" s="813"/>
      <c r="I8" s="813"/>
      <c r="J8" s="813"/>
      <c r="K8" s="813"/>
      <c r="L8" s="813"/>
      <c r="M8" s="529"/>
      <c r="N8" s="546"/>
      <c r="O8" s="533"/>
      <c r="P8" s="545"/>
      <c r="Q8" s="545"/>
      <c r="R8" s="821"/>
      <c r="S8" s="815"/>
      <c r="T8" s="815"/>
      <c r="U8" s="823"/>
      <c r="V8" s="529"/>
      <c r="W8" s="529"/>
      <c r="X8" s="815"/>
      <c r="Y8" s="529"/>
      <c r="Z8" s="826"/>
      <c r="AA8" s="529"/>
      <c r="AB8" s="529"/>
      <c r="AC8" s="529"/>
      <c r="AD8" s="529"/>
      <c r="AE8" s="829"/>
      <c r="AF8" s="529"/>
      <c r="AG8" s="529"/>
      <c r="AH8" s="529"/>
      <c r="AI8" s="529"/>
      <c r="AJ8" s="529"/>
      <c r="AK8" s="529"/>
      <c r="AL8" s="529"/>
    </row>
    <row r="9" ht="28.5" customHeight="1" spans="1:38">
      <c r="A9" s="529"/>
      <c r="B9" s="814"/>
      <c r="C9" s="815"/>
      <c r="D9" s="815"/>
      <c r="E9" s="817"/>
      <c r="F9" s="521"/>
      <c r="G9" s="815"/>
      <c r="H9" s="815"/>
      <c r="I9" s="818"/>
      <c r="J9" s="818"/>
      <c r="K9" s="529"/>
      <c r="L9" s="529"/>
      <c r="M9" s="529"/>
      <c r="N9" s="546"/>
      <c r="O9" s="533"/>
      <c r="P9" s="545"/>
      <c r="Q9" s="545"/>
      <c r="R9" s="821"/>
      <c r="S9" s="815"/>
      <c r="T9" s="815"/>
      <c r="U9" s="823"/>
      <c r="V9" s="529"/>
      <c r="W9" s="529"/>
      <c r="X9" s="815"/>
      <c r="Y9" s="529"/>
      <c r="Z9" s="826"/>
      <c r="AA9" s="529"/>
      <c r="AB9" s="529"/>
      <c r="AC9" s="529"/>
      <c r="AD9" s="830"/>
      <c r="AE9" s="829"/>
      <c r="AF9" s="529"/>
      <c r="AG9" s="529"/>
      <c r="AH9" s="529"/>
      <c r="AI9" s="529"/>
      <c r="AJ9" s="529"/>
      <c r="AK9" s="529"/>
      <c r="AL9" s="529"/>
    </row>
    <row r="10" ht="28.5" customHeight="1" spans="1:38">
      <c r="A10" s="529"/>
      <c r="B10" s="814"/>
      <c r="C10" s="815"/>
      <c r="D10" s="815"/>
      <c r="E10" s="817"/>
      <c r="F10" s="521"/>
      <c r="G10" s="815"/>
      <c r="H10" s="815"/>
      <c r="I10" s="818"/>
      <c r="J10" s="818"/>
      <c r="K10" s="529"/>
      <c r="L10" s="529"/>
      <c r="M10" s="529"/>
      <c r="N10" s="546"/>
      <c r="O10" s="533"/>
      <c r="P10" s="545"/>
      <c r="Q10" s="545"/>
      <c r="R10" s="821"/>
      <c r="S10" s="815"/>
      <c r="T10" s="815"/>
      <c r="U10" s="823"/>
      <c r="V10" s="529"/>
      <c r="W10" s="529"/>
      <c r="X10" s="815"/>
      <c r="Y10" s="529"/>
      <c r="Z10" s="826"/>
      <c r="AA10" s="529"/>
      <c r="AB10" s="529"/>
      <c r="AC10" s="529"/>
      <c r="AD10" s="529"/>
      <c r="AE10" s="829"/>
      <c r="AF10" s="529"/>
      <c r="AG10" s="529"/>
      <c r="AH10" s="529"/>
      <c r="AI10" s="529"/>
      <c r="AJ10" s="529"/>
      <c r="AK10" s="529"/>
      <c r="AL10" s="529"/>
    </row>
    <row r="11" ht="28.5" customHeight="1" spans="1:38">
      <c r="A11" s="529"/>
      <c r="B11" s="814"/>
      <c r="C11" s="815"/>
      <c r="D11" s="815"/>
      <c r="E11" s="817"/>
      <c r="F11" s="521"/>
      <c r="G11" s="815"/>
      <c r="H11" s="815"/>
      <c r="I11" s="818"/>
      <c r="J11" s="818"/>
      <c r="K11" s="529"/>
      <c r="L11" s="529"/>
      <c r="M11" s="529"/>
      <c r="N11" s="546"/>
      <c r="O11" s="533"/>
      <c r="P11" s="545"/>
      <c r="Q11" s="545"/>
      <c r="R11" s="821"/>
      <c r="S11" s="815"/>
      <c r="T11" s="815"/>
      <c r="U11" s="823"/>
      <c r="V11" s="529"/>
      <c r="W11" s="529"/>
      <c r="X11" s="815"/>
      <c r="Y11" s="529"/>
      <c r="Z11" s="826"/>
      <c r="AA11" s="529"/>
      <c r="AB11" s="529"/>
      <c r="AC11" s="529"/>
      <c r="AD11" s="830"/>
      <c r="AE11" s="829"/>
      <c r="AF11" s="529"/>
      <c r="AG11" s="529"/>
      <c r="AH11" s="529"/>
      <c r="AI11" s="529"/>
      <c r="AJ11" s="529"/>
      <c r="AK11" s="529"/>
      <c r="AL11" s="529"/>
    </row>
    <row r="12" ht="28.5" customHeight="1" spans="1:38">
      <c r="A12" s="529"/>
      <c r="B12" s="814"/>
      <c r="C12" s="815"/>
      <c r="D12" s="815"/>
      <c r="E12" s="817"/>
      <c r="F12" s="521"/>
      <c r="G12" s="815"/>
      <c r="H12" s="815"/>
      <c r="I12" s="818"/>
      <c r="J12" s="818"/>
      <c r="K12" s="529"/>
      <c r="L12" s="529"/>
      <c r="M12" s="529"/>
      <c r="N12" s="546"/>
      <c r="O12" s="533"/>
      <c r="P12" s="545"/>
      <c r="Q12" s="545"/>
      <c r="R12" s="821"/>
      <c r="S12" s="815"/>
      <c r="T12" s="815"/>
      <c r="U12" s="823"/>
      <c r="V12" s="529"/>
      <c r="W12" s="529"/>
      <c r="X12" s="815"/>
      <c r="Y12" s="529"/>
      <c r="Z12" s="826"/>
      <c r="AA12" s="529"/>
      <c r="AB12" s="529"/>
      <c r="AC12" s="529"/>
      <c r="AD12" s="529"/>
      <c r="AE12" s="829"/>
      <c r="AF12" s="529"/>
      <c r="AG12" s="529"/>
      <c r="AH12" s="529"/>
      <c r="AI12" s="529"/>
      <c r="AJ12" s="529"/>
      <c r="AK12" s="529"/>
      <c r="AL12" s="529"/>
    </row>
    <row r="13" ht="28.5" customHeight="1" spans="1:38">
      <c r="A13" s="529"/>
      <c r="B13" s="814"/>
      <c r="C13" s="815"/>
      <c r="D13" s="815"/>
      <c r="E13" s="817"/>
      <c r="F13" s="521"/>
      <c r="G13" s="815"/>
      <c r="H13" s="815"/>
      <c r="I13" s="818"/>
      <c r="J13" s="818"/>
      <c r="K13" s="529"/>
      <c r="L13" s="529"/>
      <c r="M13" s="529"/>
      <c r="N13" s="546"/>
      <c r="O13" s="533"/>
      <c r="P13" s="545"/>
      <c r="Q13" s="545"/>
      <c r="R13" s="821"/>
      <c r="S13" s="815"/>
      <c r="T13" s="815"/>
      <c r="U13" s="823"/>
      <c r="V13" s="529"/>
      <c r="W13" s="529"/>
      <c r="X13" s="815"/>
      <c r="Y13" s="529"/>
      <c r="Z13" s="826"/>
      <c r="AA13" s="529"/>
      <c r="AB13" s="529"/>
      <c r="AC13" s="529"/>
      <c r="AD13" s="529"/>
      <c r="AE13" s="829"/>
      <c r="AF13" s="529"/>
      <c r="AG13" s="529"/>
      <c r="AH13" s="529"/>
      <c r="AI13" s="529"/>
      <c r="AJ13" s="529"/>
      <c r="AK13" s="529"/>
      <c r="AL13" s="529"/>
    </row>
    <row r="14" ht="28.5" customHeight="1" spans="1:38">
      <c r="A14" s="529"/>
      <c r="B14" s="814"/>
      <c r="C14" s="815"/>
      <c r="D14" s="815"/>
      <c r="E14" s="817"/>
      <c r="F14" s="521"/>
      <c r="G14" s="815"/>
      <c r="H14" s="815"/>
      <c r="I14" s="818"/>
      <c r="J14" s="818"/>
      <c r="K14" s="529"/>
      <c r="L14" s="529"/>
      <c r="M14" s="529"/>
      <c r="N14" s="546"/>
      <c r="O14" s="533"/>
      <c r="P14" s="545"/>
      <c r="Q14" s="545"/>
      <c r="R14" s="821"/>
      <c r="S14" s="815"/>
      <c r="T14" s="815"/>
      <c r="U14" s="823"/>
      <c r="V14" s="529"/>
      <c r="W14" s="529"/>
      <c r="X14" s="815"/>
      <c r="Y14" s="529"/>
      <c r="Z14" s="826"/>
      <c r="AA14" s="529"/>
      <c r="AB14" s="529"/>
      <c r="AC14" s="529"/>
      <c r="AD14" s="529"/>
      <c r="AE14" s="829"/>
      <c r="AF14" s="529"/>
      <c r="AG14" s="529"/>
      <c r="AH14" s="529"/>
      <c r="AI14" s="529"/>
      <c r="AJ14" s="529"/>
      <c r="AK14" s="529"/>
      <c r="AL14" s="529"/>
    </row>
    <row r="15" ht="28.5" customHeight="1" spans="1:38">
      <c r="A15" s="529"/>
      <c r="B15" s="814"/>
      <c r="C15" s="815"/>
      <c r="D15" s="815"/>
      <c r="E15" s="817"/>
      <c r="F15" s="521"/>
      <c r="G15" s="815"/>
      <c r="H15" s="815"/>
      <c r="I15" s="818"/>
      <c r="J15" s="818"/>
      <c r="K15" s="529"/>
      <c r="L15" s="529"/>
      <c r="M15" s="529"/>
      <c r="N15" s="546"/>
      <c r="O15" s="533"/>
      <c r="P15" s="545"/>
      <c r="Q15" s="545"/>
      <c r="R15" s="821"/>
      <c r="S15" s="815"/>
      <c r="T15" s="815"/>
      <c r="U15" s="823"/>
      <c r="V15" s="529"/>
      <c r="W15" s="529"/>
      <c r="X15" s="815"/>
      <c r="Y15" s="529"/>
      <c r="Z15" s="826"/>
      <c r="AA15" s="529"/>
      <c r="AB15" s="529"/>
      <c r="AC15" s="529"/>
      <c r="AD15" s="529"/>
      <c r="AE15" s="829"/>
      <c r="AF15" s="529"/>
      <c r="AG15" s="529"/>
      <c r="AH15" s="529"/>
      <c r="AI15" s="529"/>
      <c r="AJ15" s="529"/>
      <c r="AK15" s="529"/>
      <c r="AL15" s="529"/>
    </row>
    <row r="16" ht="28.5" customHeight="1" spans="1:38">
      <c r="A16" s="529"/>
      <c r="B16" s="814"/>
      <c r="C16" s="815"/>
      <c r="D16" s="815"/>
      <c r="E16" s="817"/>
      <c r="F16" s="521"/>
      <c r="G16" s="815"/>
      <c r="H16" s="815"/>
      <c r="I16" s="818"/>
      <c r="J16" s="818"/>
      <c r="K16" s="529"/>
      <c r="L16" s="529"/>
      <c r="M16" s="529"/>
      <c r="N16" s="546"/>
      <c r="O16" s="533"/>
      <c r="P16" s="545"/>
      <c r="Q16" s="545"/>
      <c r="R16" s="821"/>
      <c r="S16" s="815"/>
      <c r="T16" s="815"/>
      <c r="U16" s="823"/>
      <c r="V16" s="529"/>
      <c r="W16" s="529"/>
      <c r="X16" s="815"/>
      <c r="Y16" s="529"/>
      <c r="Z16" s="826"/>
      <c r="AA16" s="529"/>
      <c r="AB16" s="529"/>
      <c r="AC16" s="529"/>
      <c r="AD16" s="529"/>
      <c r="AE16" s="829"/>
      <c r="AF16" s="529"/>
      <c r="AG16" s="529"/>
      <c r="AH16" s="529"/>
      <c r="AI16" s="529"/>
      <c r="AJ16" s="529"/>
      <c r="AK16" s="529"/>
      <c r="AL16" s="529"/>
    </row>
    <row r="17" ht="28.5" customHeight="1" spans="1:38">
      <c r="A17" s="529"/>
      <c r="B17" s="814"/>
      <c r="C17" s="815"/>
      <c r="D17" s="815"/>
      <c r="E17" s="817"/>
      <c r="F17" s="521"/>
      <c r="G17" s="815"/>
      <c r="H17" s="815"/>
      <c r="I17" s="818"/>
      <c r="J17" s="818"/>
      <c r="K17" s="529"/>
      <c r="L17" s="529"/>
      <c r="M17" s="529"/>
      <c r="N17" s="546"/>
      <c r="O17" s="533"/>
      <c r="P17" s="545"/>
      <c r="Q17" s="545"/>
      <c r="R17" s="821"/>
      <c r="S17" s="815"/>
      <c r="T17" s="815"/>
      <c r="U17" s="823"/>
      <c r="V17" s="529"/>
      <c r="W17" s="529"/>
      <c r="X17" s="815"/>
      <c r="Y17" s="529"/>
      <c r="Z17" s="826"/>
      <c r="AA17" s="529"/>
      <c r="AB17" s="529"/>
      <c r="AC17" s="529"/>
      <c r="AD17" s="529"/>
      <c r="AE17" s="829"/>
      <c r="AF17" s="529"/>
      <c r="AG17" s="529"/>
      <c r="AH17" s="529"/>
      <c r="AI17" s="529"/>
      <c r="AJ17" s="529"/>
      <c r="AK17" s="529"/>
      <c r="AL17" s="529"/>
    </row>
    <row r="18" ht="28.5" customHeight="1" spans="1:38">
      <c r="A18" s="529"/>
      <c r="B18" s="814"/>
      <c r="C18" s="815"/>
      <c r="D18" s="815"/>
      <c r="E18" s="817"/>
      <c r="F18" s="521"/>
      <c r="G18" s="815"/>
      <c r="H18" s="815"/>
      <c r="I18" s="818"/>
      <c r="J18" s="818"/>
      <c r="K18" s="529"/>
      <c r="L18" s="529"/>
      <c r="M18" s="529"/>
      <c r="N18" s="546"/>
      <c r="O18" s="533"/>
      <c r="P18" s="545"/>
      <c r="Q18" s="545"/>
      <c r="R18" s="821"/>
      <c r="S18" s="815"/>
      <c r="T18" s="815"/>
      <c r="U18" s="823"/>
      <c r="V18" s="529"/>
      <c r="W18" s="529"/>
      <c r="X18" s="815"/>
      <c r="Y18" s="529"/>
      <c r="Z18" s="826"/>
      <c r="AA18" s="529"/>
      <c r="AB18" s="529"/>
      <c r="AC18" s="529"/>
      <c r="AD18" s="529"/>
      <c r="AE18" s="829"/>
      <c r="AF18" s="529"/>
      <c r="AG18" s="529"/>
      <c r="AH18" s="529"/>
      <c r="AI18" s="529"/>
      <c r="AJ18" s="529"/>
      <c r="AK18" s="529"/>
      <c r="AL18" s="529"/>
    </row>
    <row r="19" ht="28.5" customHeight="1" spans="1:38">
      <c r="A19" s="529"/>
      <c r="B19" s="814"/>
      <c r="C19" s="815"/>
      <c r="D19" s="815"/>
      <c r="E19" s="817"/>
      <c r="F19" s="521"/>
      <c r="G19" s="815"/>
      <c r="H19" s="815"/>
      <c r="I19" s="818"/>
      <c r="J19" s="818"/>
      <c r="K19" s="529"/>
      <c r="L19" s="529"/>
      <c r="M19" s="529"/>
      <c r="N19" s="546"/>
      <c r="O19" s="533"/>
      <c r="P19" s="545"/>
      <c r="Q19" s="545"/>
      <c r="R19" s="821"/>
      <c r="S19" s="815"/>
      <c r="T19" s="815"/>
      <c r="U19" s="823"/>
      <c r="V19" s="529"/>
      <c r="W19" s="529"/>
      <c r="X19" s="815"/>
      <c r="Y19" s="529"/>
      <c r="Z19" s="826"/>
      <c r="AA19" s="529"/>
      <c r="AB19" s="529"/>
      <c r="AC19" s="529"/>
      <c r="AD19" s="529"/>
      <c r="AE19" s="829"/>
      <c r="AF19" s="529"/>
      <c r="AG19" s="529"/>
      <c r="AH19" s="529"/>
      <c r="AI19" s="529"/>
      <c r="AJ19" s="529"/>
      <c r="AK19" s="529"/>
      <c r="AL19" s="529"/>
    </row>
    <row r="20" ht="28.5" customHeight="1" spans="1:38">
      <c r="A20" s="529"/>
      <c r="B20" s="814"/>
      <c r="C20" s="815"/>
      <c r="D20" s="815"/>
      <c r="E20" s="817"/>
      <c r="F20" s="521"/>
      <c r="G20" s="815"/>
      <c r="H20" s="815"/>
      <c r="I20" s="818"/>
      <c r="J20" s="818"/>
      <c r="K20" s="529"/>
      <c r="L20" s="529"/>
      <c r="M20" s="529"/>
      <c r="N20" s="546"/>
      <c r="O20" s="533"/>
      <c r="P20" s="545"/>
      <c r="Q20" s="545"/>
      <c r="R20" s="821"/>
      <c r="S20" s="815"/>
      <c r="T20" s="815"/>
      <c r="U20" s="823"/>
      <c r="V20" s="529"/>
      <c r="W20" s="529"/>
      <c r="X20" s="815"/>
      <c r="Y20" s="529"/>
      <c r="Z20" s="826"/>
      <c r="AA20" s="529"/>
      <c r="AB20" s="529"/>
      <c r="AC20" s="529"/>
      <c r="AD20" s="529"/>
      <c r="AE20" s="829"/>
      <c r="AF20" s="529"/>
      <c r="AG20" s="529"/>
      <c r="AH20" s="529"/>
      <c r="AI20" s="529"/>
      <c r="AJ20" s="529"/>
      <c r="AK20" s="529"/>
      <c r="AL20" s="529"/>
    </row>
    <row r="21" ht="28.5" customHeight="1" spans="1:38">
      <c r="A21" s="529"/>
      <c r="B21" s="814"/>
      <c r="C21" s="815"/>
      <c r="D21" s="815"/>
      <c r="E21" s="817"/>
      <c r="F21" s="521"/>
      <c r="G21" s="815"/>
      <c r="H21" s="815"/>
      <c r="I21" s="818"/>
      <c r="J21" s="818"/>
      <c r="K21" s="529"/>
      <c r="L21" s="529"/>
      <c r="M21" s="529"/>
      <c r="N21" s="546"/>
      <c r="O21" s="533"/>
      <c r="P21" s="545"/>
      <c r="Q21" s="545"/>
      <c r="R21" s="821"/>
      <c r="S21" s="815"/>
      <c r="T21" s="815"/>
      <c r="U21" s="823"/>
      <c r="V21" s="529"/>
      <c r="W21" s="529"/>
      <c r="X21" s="815"/>
      <c r="Y21" s="529"/>
      <c r="Z21" s="826"/>
      <c r="AA21" s="529"/>
      <c r="AB21" s="529"/>
      <c r="AC21" s="529"/>
      <c r="AD21" s="529"/>
      <c r="AE21" s="829"/>
      <c r="AF21" s="529"/>
      <c r="AG21" s="529"/>
      <c r="AH21" s="529"/>
      <c r="AI21" s="529"/>
      <c r="AJ21" s="529"/>
      <c r="AK21" s="529"/>
      <c r="AL21" s="529"/>
    </row>
    <row r="22" ht="28.5" customHeight="1" spans="1:38">
      <c r="A22" s="529"/>
      <c r="B22" s="814"/>
      <c r="C22" s="815"/>
      <c r="D22" s="815"/>
      <c r="E22" s="817"/>
      <c r="F22" s="521"/>
      <c r="G22" s="815"/>
      <c r="H22" s="815"/>
      <c r="I22" s="818"/>
      <c r="J22" s="818"/>
      <c r="K22" s="529"/>
      <c r="L22" s="529"/>
      <c r="M22" s="529"/>
      <c r="N22" s="546"/>
      <c r="O22" s="533"/>
      <c r="P22" s="545"/>
      <c r="Q22" s="545"/>
      <c r="R22" s="821"/>
      <c r="S22" s="815"/>
      <c r="T22" s="815"/>
      <c r="U22" s="823"/>
      <c r="V22" s="529"/>
      <c r="W22" s="529"/>
      <c r="X22" s="815"/>
      <c r="Y22" s="529"/>
      <c r="Z22" s="826"/>
      <c r="AA22" s="529"/>
      <c r="AB22" s="529"/>
      <c r="AC22" s="529"/>
      <c r="AD22" s="529"/>
      <c r="AE22" s="829"/>
      <c r="AF22" s="529"/>
      <c r="AG22" s="529"/>
      <c r="AH22" s="529"/>
      <c r="AI22" s="529"/>
      <c r="AJ22" s="529"/>
      <c r="AK22" s="529"/>
      <c r="AL22" s="529"/>
    </row>
    <row r="23" ht="28.5" customHeight="1" spans="1:38">
      <c r="A23" s="529"/>
      <c r="B23" s="814"/>
      <c r="C23" s="815"/>
      <c r="D23" s="815"/>
      <c r="E23" s="817"/>
      <c r="F23" s="521"/>
      <c r="G23" s="815"/>
      <c r="H23" s="815"/>
      <c r="I23" s="818"/>
      <c r="J23" s="818"/>
      <c r="K23" s="529"/>
      <c r="L23" s="529"/>
      <c r="M23" s="529"/>
      <c r="N23" s="546"/>
      <c r="O23" s="533"/>
      <c r="P23" s="545"/>
      <c r="Q23" s="545"/>
      <c r="R23" s="821"/>
      <c r="S23" s="815"/>
      <c r="T23" s="815"/>
      <c r="U23" s="823"/>
      <c r="V23" s="529"/>
      <c r="W23" s="529"/>
      <c r="X23" s="815"/>
      <c r="Y23" s="529"/>
      <c r="Z23" s="826"/>
      <c r="AA23" s="529"/>
      <c r="AB23" s="529"/>
      <c r="AC23" s="529"/>
      <c r="AD23" s="529"/>
      <c r="AE23" s="829"/>
      <c r="AF23" s="529"/>
      <c r="AG23" s="529"/>
      <c r="AH23" s="529"/>
      <c r="AI23" s="529"/>
      <c r="AJ23" s="529"/>
      <c r="AK23" s="529"/>
      <c r="AL23" s="529"/>
    </row>
    <row r="24" ht="28.5" customHeight="1" spans="1:38">
      <c r="A24" s="529"/>
      <c r="B24" s="814"/>
      <c r="C24" s="815"/>
      <c r="D24" s="815"/>
      <c r="E24" s="817"/>
      <c r="F24" s="521"/>
      <c r="G24" s="815"/>
      <c r="H24" s="815"/>
      <c r="I24" s="818"/>
      <c r="J24" s="818"/>
      <c r="K24" s="529"/>
      <c r="L24" s="529"/>
      <c r="M24" s="529"/>
      <c r="N24" s="546"/>
      <c r="O24" s="533"/>
      <c r="P24" s="545"/>
      <c r="Q24" s="545"/>
      <c r="R24" s="821"/>
      <c r="S24" s="815"/>
      <c r="T24" s="815"/>
      <c r="U24" s="823"/>
      <c r="V24" s="529"/>
      <c r="W24" s="529"/>
      <c r="X24" s="815"/>
      <c r="Y24" s="529"/>
      <c r="Z24" s="826"/>
      <c r="AA24" s="529"/>
      <c r="AB24" s="529"/>
      <c r="AC24" s="529"/>
      <c r="AD24" s="529"/>
      <c r="AE24" s="829"/>
      <c r="AF24" s="529"/>
      <c r="AG24" s="529"/>
      <c r="AH24" s="529"/>
      <c r="AI24" s="529"/>
      <c r="AJ24" s="529"/>
      <c r="AK24" s="529"/>
      <c r="AL24" s="529"/>
    </row>
    <row r="25" ht="28.5" customHeight="1" spans="1:38">
      <c r="A25" s="529"/>
      <c r="B25" s="814"/>
      <c r="C25" s="815"/>
      <c r="D25" s="815"/>
      <c r="E25" s="817"/>
      <c r="F25" s="521"/>
      <c r="G25" s="815"/>
      <c r="H25" s="815"/>
      <c r="I25" s="818"/>
      <c r="J25" s="818"/>
      <c r="K25" s="529"/>
      <c r="L25" s="529"/>
      <c r="M25" s="529"/>
      <c r="N25" s="546"/>
      <c r="O25" s="533"/>
      <c r="P25" s="545"/>
      <c r="Q25" s="545"/>
      <c r="R25" s="821"/>
      <c r="S25" s="815"/>
      <c r="T25" s="815"/>
      <c r="U25" s="823"/>
      <c r="V25" s="529"/>
      <c r="W25" s="529"/>
      <c r="X25" s="815"/>
      <c r="Y25" s="529"/>
      <c r="Z25" s="826"/>
      <c r="AA25" s="529"/>
      <c r="AB25" s="529"/>
      <c r="AC25" s="529"/>
      <c r="AD25" s="529"/>
      <c r="AE25" s="829"/>
      <c r="AF25" s="529"/>
      <c r="AG25" s="529"/>
      <c r="AH25" s="529"/>
      <c r="AI25" s="529"/>
      <c r="AJ25" s="529"/>
      <c r="AK25" s="529"/>
      <c r="AL25" s="529"/>
    </row>
    <row r="26" ht="28.5" customHeight="1" spans="1:38">
      <c r="A26" s="529"/>
      <c r="B26" s="814"/>
      <c r="C26" s="815"/>
      <c r="D26" s="815"/>
      <c r="E26" s="817"/>
      <c r="F26" s="521"/>
      <c r="G26" s="815"/>
      <c r="H26" s="815"/>
      <c r="I26" s="818"/>
      <c r="J26" s="818"/>
      <c r="K26" s="529"/>
      <c r="L26" s="529"/>
      <c r="M26" s="529"/>
      <c r="N26" s="546"/>
      <c r="O26" s="533"/>
      <c r="P26" s="545"/>
      <c r="Q26" s="545"/>
      <c r="R26" s="821"/>
      <c r="S26" s="815"/>
      <c r="T26" s="815"/>
      <c r="U26" s="823"/>
      <c r="V26" s="529"/>
      <c r="W26" s="529"/>
      <c r="X26" s="815"/>
      <c r="Y26" s="529"/>
      <c r="Z26" s="826"/>
      <c r="AA26" s="529"/>
      <c r="AB26" s="529"/>
      <c r="AC26" s="529"/>
      <c r="AD26" s="529"/>
      <c r="AE26" s="829"/>
      <c r="AF26" s="529"/>
      <c r="AG26" s="529"/>
      <c r="AH26" s="529"/>
      <c r="AI26" s="529"/>
      <c r="AJ26" s="529"/>
      <c r="AK26" s="529"/>
      <c r="AL26" s="529"/>
    </row>
    <row r="27" ht="28.5" customHeight="1" spans="1:38">
      <c r="A27" s="529"/>
      <c r="B27" s="814"/>
      <c r="C27" s="815"/>
      <c r="D27" s="815"/>
      <c r="E27" s="817"/>
      <c r="F27" s="521"/>
      <c r="G27" s="815"/>
      <c r="H27" s="815"/>
      <c r="I27" s="818"/>
      <c r="J27" s="818"/>
      <c r="K27" s="529"/>
      <c r="L27" s="529"/>
      <c r="M27" s="529"/>
      <c r="N27" s="546"/>
      <c r="O27" s="533"/>
      <c r="P27" s="545"/>
      <c r="Q27" s="545"/>
      <c r="R27" s="821"/>
      <c r="S27" s="815"/>
      <c r="T27" s="815"/>
      <c r="U27" s="823"/>
      <c r="V27" s="529"/>
      <c r="W27" s="529"/>
      <c r="X27" s="815"/>
      <c r="Y27" s="529"/>
      <c r="Z27" s="826"/>
      <c r="AA27" s="529"/>
      <c r="AB27" s="529"/>
      <c r="AC27" s="529"/>
      <c r="AD27" s="830"/>
      <c r="AE27" s="829"/>
      <c r="AF27" s="529"/>
      <c r="AG27" s="529"/>
      <c r="AH27" s="529"/>
      <c r="AI27" s="529"/>
      <c r="AJ27" s="529"/>
      <c r="AK27" s="529"/>
      <c r="AL27" s="529"/>
    </row>
    <row r="28" ht="28.5" customHeight="1" spans="1:38">
      <c r="A28" s="529"/>
      <c r="B28" s="814"/>
      <c r="C28" s="815"/>
      <c r="D28" s="815"/>
      <c r="E28" s="817"/>
      <c r="F28" s="521"/>
      <c r="G28" s="815"/>
      <c r="H28" s="815"/>
      <c r="I28" s="818"/>
      <c r="J28" s="818"/>
      <c r="K28" s="529"/>
      <c r="L28" s="529"/>
      <c r="M28" s="529"/>
      <c r="N28" s="546"/>
      <c r="O28" s="533"/>
      <c r="P28" s="545"/>
      <c r="Q28" s="545"/>
      <c r="R28" s="821"/>
      <c r="S28" s="815"/>
      <c r="T28" s="815"/>
      <c r="U28" s="823"/>
      <c r="V28" s="529"/>
      <c r="W28" s="529"/>
      <c r="X28" s="815"/>
      <c r="Y28" s="529"/>
      <c r="Z28" s="826"/>
      <c r="AA28" s="529"/>
      <c r="AB28" s="529"/>
      <c r="AC28" s="529"/>
      <c r="AD28" s="529"/>
      <c r="AE28" s="829"/>
      <c r="AF28" s="529"/>
      <c r="AG28" s="529"/>
      <c r="AH28" s="529"/>
      <c r="AI28" s="529"/>
      <c r="AJ28" s="529"/>
      <c r="AK28" s="529"/>
      <c r="AL28" s="529"/>
    </row>
    <row r="29" ht="28.5" customHeight="1" spans="1:38">
      <c r="A29" s="529"/>
      <c r="B29" s="814"/>
      <c r="C29" s="815"/>
      <c r="D29" s="815"/>
      <c r="E29" s="817"/>
      <c r="F29" s="521"/>
      <c r="G29" s="815"/>
      <c r="H29" s="815"/>
      <c r="I29" s="818"/>
      <c r="J29" s="818"/>
      <c r="K29" s="529"/>
      <c r="L29" s="529"/>
      <c r="M29" s="529"/>
      <c r="N29" s="546"/>
      <c r="O29" s="533"/>
      <c r="P29" s="545"/>
      <c r="Q29" s="545"/>
      <c r="R29" s="822"/>
      <c r="S29" s="815"/>
      <c r="T29" s="815"/>
      <c r="U29" s="823"/>
      <c r="V29" s="529"/>
      <c r="W29" s="529"/>
      <c r="X29" s="815"/>
      <c r="Y29" s="529"/>
      <c r="Z29" s="826"/>
      <c r="AA29" s="529"/>
      <c r="AB29" s="529"/>
      <c r="AC29" s="529"/>
      <c r="AD29" s="529"/>
      <c r="AE29" s="829"/>
      <c r="AF29" s="529"/>
      <c r="AG29" s="529"/>
      <c r="AH29" s="529"/>
      <c r="AI29" s="529"/>
      <c r="AJ29" s="529"/>
      <c r="AK29" s="529"/>
      <c r="AL29" s="529"/>
    </row>
    <row r="30" ht="28.5" customHeight="1" spans="1:38">
      <c r="A30" s="529"/>
      <c r="B30" s="814"/>
      <c r="C30" s="815"/>
      <c r="D30" s="815"/>
      <c r="E30" s="817"/>
      <c r="F30" s="521"/>
      <c r="G30" s="815"/>
      <c r="H30" s="815"/>
      <c r="I30" s="818"/>
      <c r="J30" s="818"/>
      <c r="K30" s="529"/>
      <c r="L30" s="529"/>
      <c r="M30" s="529"/>
      <c r="N30" s="546"/>
      <c r="O30" s="533"/>
      <c r="P30" s="545"/>
      <c r="Q30" s="545"/>
      <c r="R30" s="822"/>
      <c r="S30" s="815"/>
      <c r="T30" s="815"/>
      <c r="U30" s="823"/>
      <c r="V30" s="529"/>
      <c r="W30" s="529"/>
      <c r="X30" s="815"/>
      <c r="Y30" s="529"/>
      <c r="Z30" s="826"/>
      <c r="AA30" s="529"/>
      <c r="AB30" s="827"/>
      <c r="AC30" s="827"/>
      <c r="AD30" s="529"/>
      <c r="AE30" s="829"/>
      <c r="AF30" s="529"/>
      <c r="AG30" s="529"/>
      <c r="AH30" s="529"/>
      <c r="AI30" s="529"/>
      <c r="AJ30" s="529"/>
      <c r="AK30" s="529"/>
      <c r="AL30" s="529"/>
    </row>
    <row r="31" ht="28.5" customHeight="1" spans="1:38">
      <c r="A31" s="529"/>
      <c r="B31" s="814"/>
      <c r="C31" s="815"/>
      <c r="D31" s="815"/>
      <c r="E31" s="817"/>
      <c r="F31" s="521"/>
      <c r="G31" s="815"/>
      <c r="H31" s="815"/>
      <c r="I31" s="818"/>
      <c r="J31" s="818"/>
      <c r="K31" s="529"/>
      <c r="L31" s="529"/>
      <c r="M31" s="529"/>
      <c r="N31" s="546"/>
      <c r="O31" s="533"/>
      <c r="P31" s="545"/>
      <c r="Q31" s="545"/>
      <c r="R31" s="822"/>
      <c r="S31" s="815"/>
      <c r="T31" s="815"/>
      <c r="U31" s="823"/>
      <c r="V31" s="529"/>
      <c r="W31" s="529"/>
      <c r="X31" s="815"/>
      <c r="Y31" s="529"/>
      <c r="Z31" s="826"/>
      <c r="AA31" s="529"/>
      <c r="AB31" s="529"/>
      <c r="AC31" s="529"/>
      <c r="AD31" s="529"/>
      <c r="AE31" s="829"/>
      <c r="AF31" s="529"/>
      <c r="AG31" s="529"/>
      <c r="AH31" s="529"/>
      <c r="AI31" s="529"/>
      <c r="AJ31" s="529"/>
      <c r="AK31" s="529"/>
      <c r="AL31" s="529"/>
    </row>
    <row r="32" ht="28.5" customHeight="1" spans="1:38">
      <c r="A32" s="529"/>
      <c r="B32" s="814"/>
      <c r="C32" s="815"/>
      <c r="D32" s="815"/>
      <c r="E32" s="817"/>
      <c r="F32" s="521"/>
      <c r="G32" s="815"/>
      <c r="H32" s="815"/>
      <c r="I32" s="818"/>
      <c r="J32" s="818"/>
      <c r="K32" s="529"/>
      <c r="L32" s="529"/>
      <c r="M32" s="529"/>
      <c r="N32" s="546"/>
      <c r="O32" s="533"/>
      <c r="P32" s="545"/>
      <c r="Q32" s="545"/>
      <c r="R32" s="822"/>
      <c r="S32" s="815"/>
      <c r="T32" s="815"/>
      <c r="U32" s="823"/>
      <c r="V32" s="529"/>
      <c r="W32" s="529"/>
      <c r="X32" s="815"/>
      <c r="Y32" s="529"/>
      <c r="Z32" s="826"/>
      <c r="AA32" s="529"/>
      <c r="AB32" s="529"/>
      <c r="AC32" s="529"/>
      <c r="AD32" s="529"/>
      <c r="AE32" s="529"/>
      <c r="AF32" s="529"/>
      <c r="AG32" s="529"/>
      <c r="AH32" s="529"/>
      <c r="AI32" s="529"/>
      <c r="AJ32" s="529"/>
      <c r="AK32" s="529"/>
      <c r="AL32" s="529"/>
    </row>
    <row r="33" ht="28.5" customHeight="1" spans="1:38">
      <c r="A33" s="529"/>
      <c r="B33" s="814"/>
      <c r="C33" s="815"/>
      <c r="D33" s="815"/>
      <c r="E33" s="817"/>
      <c r="F33" s="521"/>
      <c r="G33" s="815"/>
      <c r="H33" s="815"/>
      <c r="I33" s="818"/>
      <c r="J33" s="818"/>
      <c r="K33" s="529"/>
      <c r="L33" s="529"/>
      <c r="M33" s="529"/>
      <c r="N33" s="546"/>
      <c r="O33" s="533"/>
      <c r="P33" s="545"/>
      <c r="Q33" s="545"/>
      <c r="R33" s="822"/>
      <c r="S33" s="815"/>
      <c r="T33" s="815"/>
      <c r="U33" s="823"/>
      <c r="V33" s="529"/>
      <c r="W33" s="529"/>
      <c r="X33" s="815"/>
      <c r="Y33" s="529"/>
      <c r="Z33" s="826"/>
      <c r="AA33" s="529"/>
      <c r="AB33" s="529"/>
      <c r="AC33" s="529"/>
      <c r="AD33" s="529"/>
      <c r="AE33" s="829"/>
      <c r="AF33" s="529"/>
      <c r="AG33" s="529"/>
      <c r="AH33" s="529"/>
      <c r="AI33" s="529"/>
      <c r="AJ33" s="529"/>
      <c r="AK33" s="529"/>
      <c r="AL33" s="529"/>
    </row>
    <row r="34" ht="28.5" customHeight="1" spans="1:38">
      <c r="A34" s="529"/>
      <c r="B34" s="814"/>
      <c r="C34" s="815"/>
      <c r="D34" s="815"/>
      <c r="E34" s="817"/>
      <c r="F34" s="521"/>
      <c r="G34" s="815"/>
      <c r="H34" s="815"/>
      <c r="I34" s="818"/>
      <c r="J34" s="818"/>
      <c r="K34" s="529"/>
      <c r="L34" s="529"/>
      <c r="M34" s="529"/>
      <c r="N34" s="546"/>
      <c r="O34" s="533"/>
      <c r="P34" s="545"/>
      <c r="Q34" s="545"/>
      <c r="R34" s="822"/>
      <c r="S34" s="815"/>
      <c r="T34" s="815"/>
      <c r="U34" s="823"/>
      <c r="V34" s="529"/>
      <c r="W34" s="529"/>
      <c r="X34" s="815"/>
      <c r="Y34" s="529"/>
      <c r="Z34" s="826"/>
      <c r="AA34" s="529"/>
      <c r="AB34" s="529"/>
      <c r="AC34" s="529"/>
      <c r="AD34" s="830"/>
      <c r="AE34" s="829"/>
      <c r="AF34" s="529"/>
      <c r="AG34" s="529"/>
      <c r="AH34" s="529"/>
      <c r="AI34" s="529"/>
      <c r="AJ34" s="529"/>
      <c r="AK34" s="529"/>
      <c r="AL34" s="529"/>
    </row>
    <row r="35" ht="28.5" customHeight="1" spans="1:38">
      <c r="A35" s="529"/>
      <c r="B35" s="814"/>
      <c r="C35" s="815"/>
      <c r="D35" s="815"/>
      <c r="E35" s="817"/>
      <c r="F35" s="521"/>
      <c r="G35" s="815"/>
      <c r="H35" s="815"/>
      <c r="I35" s="818"/>
      <c r="J35" s="818"/>
      <c r="K35" s="529"/>
      <c r="L35" s="529"/>
      <c r="M35" s="529"/>
      <c r="N35" s="546"/>
      <c r="O35" s="533"/>
      <c r="P35" s="545"/>
      <c r="Q35" s="545"/>
      <c r="R35" s="822"/>
      <c r="S35" s="815"/>
      <c r="T35" s="815"/>
      <c r="U35" s="823"/>
      <c r="V35" s="529"/>
      <c r="W35" s="529"/>
      <c r="X35" s="815"/>
      <c r="Y35" s="529"/>
      <c r="Z35" s="826"/>
      <c r="AA35" s="529"/>
      <c r="AB35" s="529"/>
      <c r="AC35" s="529"/>
      <c r="AD35" s="529"/>
      <c r="AE35" s="829"/>
      <c r="AF35" s="529"/>
      <c r="AG35" s="529"/>
      <c r="AH35" s="529"/>
      <c r="AI35" s="529"/>
      <c r="AJ35" s="529"/>
      <c r="AK35" s="529"/>
      <c r="AL35" s="529"/>
    </row>
    <row r="36" ht="28.5" customHeight="1" spans="1:38">
      <c r="A36" s="529"/>
      <c r="B36" s="814"/>
      <c r="C36" s="815"/>
      <c r="D36" s="815"/>
      <c r="E36" s="817"/>
      <c r="F36" s="521"/>
      <c r="G36" s="815"/>
      <c r="H36" s="815"/>
      <c r="I36" s="818"/>
      <c r="J36" s="818"/>
      <c r="K36" s="529"/>
      <c r="L36" s="529"/>
      <c r="M36" s="529"/>
      <c r="N36" s="546"/>
      <c r="O36" s="533"/>
      <c r="P36" s="545"/>
      <c r="Q36" s="545"/>
      <c r="R36" s="822"/>
      <c r="S36" s="815"/>
      <c r="T36" s="815"/>
      <c r="U36" s="823"/>
      <c r="V36" s="529"/>
      <c r="W36" s="529"/>
      <c r="X36" s="815"/>
      <c r="Y36" s="529"/>
      <c r="Z36" s="826"/>
      <c r="AA36" s="529"/>
      <c r="AB36" s="529"/>
      <c r="AC36" s="529"/>
      <c r="AD36" s="529"/>
      <c r="AE36" s="829"/>
      <c r="AF36" s="529"/>
      <c r="AG36" s="529"/>
      <c r="AH36" s="529"/>
      <c r="AI36" s="529"/>
      <c r="AJ36" s="529"/>
      <c r="AK36" s="529"/>
      <c r="AL36" s="529"/>
    </row>
    <row r="37" ht="28.5" customHeight="1" spans="1:38">
      <c r="A37" s="529"/>
      <c r="B37" s="814"/>
      <c r="C37" s="815"/>
      <c r="D37" s="815"/>
      <c r="E37" s="817"/>
      <c r="F37" s="521"/>
      <c r="G37" s="815"/>
      <c r="H37" s="815"/>
      <c r="I37" s="818"/>
      <c r="J37" s="818"/>
      <c r="K37" s="529"/>
      <c r="L37" s="529"/>
      <c r="M37" s="529"/>
      <c r="N37" s="546"/>
      <c r="O37" s="533"/>
      <c r="P37" s="545"/>
      <c r="Q37" s="545"/>
      <c r="R37" s="822"/>
      <c r="S37" s="815"/>
      <c r="T37" s="815"/>
      <c r="U37" s="823"/>
      <c r="V37" s="529"/>
      <c r="W37" s="529"/>
      <c r="X37" s="815"/>
      <c r="Y37" s="529"/>
      <c r="Z37" s="826"/>
      <c r="AA37" s="529"/>
      <c r="AB37" s="529"/>
      <c r="AC37" s="529"/>
      <c r="AD37" s="529"/>
      <c r="AE37" s="829"/>
      <c r="AF37" s="529"/>
      <c r="AG37" s="529"/>
      <c r="AH37" s="529"/>
      <c r="AI37" s="529"/>
      <c r="AJ37" s="529"/>
      <c r="AK37" s="529"/>
      <c r="AL37" s="529"/>
    </row>
    <row r="38" ht="28.5" customHeight="1" spans="1:38">
      <c r="A38" s="529"/>
      <c r="B38" s="814"/>
      <c r="C38" s="815"/>
      <c r="D38" s="815"/>
      <c r="E38" s="817"/>
      <c r="F38" s="521"/>
      <c r="G38" s="815"/>
      <c r="H38" s="815"/>
      <c r="I38" s="818"/>
      <c r="J38" s="818"/>
      <c r="K38" s="529"/>
      <c r="L38" s="529"/>
      <c r="M38" s="529"/>
      <c r="N38" s="546"/>
      <c r="O38" s="533"/>
      <c r="P38" s="545"/>
      <c r="Q38" s="545"/>
      <c r="R38" s="822"/>
      <c r="S38" s="815"/>
      <c r="T38" s="815"/>
      <c r="U38" s="823"/>
      <c r="V38" s="529"/>
      <c r="W38" s="529"/>
      <c r="X38" s="815"/>
      <c r="Y38" s="529"/>
      <c r="Z38" s="826"/>
      <c r="AA38" s="529"/>
      <c r="AB38" s="529"/>
      <c r="AC38" s="529"/>
      <c r="AD38" s="529"/>
      <c r="AE38" s="829"/>
      <c r="AF38" s="529"/>
      <c r="AG38" s="529"/>
      <c r="AH38" s="529"/>
      <c r="AI38" s="529"/>
      <c r="AJ38" s="529"/>
      <c r="AK38" s="529"/>
      <c r="AL38" s="529"/>
    </row>
    <row r="39" ht="28.5" customHeight="1" spans="1:38">
      <c r="A39" s="529"/>
      <c r="B39" s="814"/>
      <c r="C39" s="815"/>
      <c r="D39" s="815"/>
      <c r="E39" s="817"/>
      <c r="F39" s="521"/>
      <c r="G39" s="815"/>
      <c r="H39" s="815"/>
      <c r="I39" s="818"/>
      <c r="J39" s="818"/>
      <c r="K39" s="529"/>
      <c r="L39" s="529"/>
      <c r="M39" s="529"/>
      <c r="N39" s="546"/>
      <c r="O39" s="533"/>
      <c r="P39" s="545"/>
      <c r="Q39" s="545"/>
      <c r="R39" s="822"/>
      <c r="S39" s="815"/>
      <c r="T39" s="815"/>
      <c r="U39" s="823"/>
      <c r="V39" s="529"/>
      <c r="W39" s="529"/>
      <c r="X39" s="815"/>
      <c r="Y39" s="529"/>
      <c r="Z39" s="826"/>
      <c r="AA39" s="529"/>
      <c r="AB39" s="529"/>
      <c r="AC39" s="529"/>
      <c r="AD39" s="529"/>
      <c r="AE39" s="829"/>
      <c r="AF39" s="829"/>
      <c r="AG39" s="529"/>
      <c r="AH39" s="529"/>
      <c r="AI39" s="529"/>
      <c r="AJ39" s="529"/>
      <c r="AK39" s="529"/>
      <c r="AL39" s="529"/>
    </row>
    <row r="40" ht="28.5" customHeight="1" spans="1:38">
      <c r="A40" s="529"/>
      <c r="B40" s="814"/>
      <c r="C40" s="815"/>
      <c r="D40" s="815"/>
      <c r="E40" s="817"/>
      <c r="F40" s="521"/>
      <c r="G40" s="815"/>
      <c r="H40" s="815"/>
      <c r="I40" s="818"/>
      <c r="J40" s="818"/>
      <c r="K40" s="529"/>
      <c r="L40" s="529"/>
      <c r="M40" s="529"/>
      <c r="N40" s="546"/>
      <c r="O40" s="533"/>
      <c r="P40" s="545"/>
      <c r="Q40" s="545"/>
      <c r="R40" s="822"/>
      <c r="S40" s="815"/>
      <c r="T40" s="815"/>
      <c r="U40" s="823"/>
      <c r="V40" s="529"/>
      <c r="W40" s="529"/>
      <c r="X40" s="815"/>
      <c r="Y40" s="529"/>
      <c r="Z40" s="826"/>
      <c r="AA40" s="529"/>
      <c r="AB40" s="529"/>
      <c r="AC40" s="529"/>
      <c r="AD40" s="529"/>
      <c r="AE40" s="829"/>
      <c r="AF40" s="529"/>
      <c r="AG40" s="529"/>
      <c r="AH40" s="529"/>
      <c r="AI40" s="529"/>
      <c r="AJ40" s="529"/>
      <c r="AK40" s="529"/>
      <c r="AL40" s="529"/>
    </row>
    <row r="41" ht="28.5" customHeight="1" spans="1:38">
      <c r="A41" s="529"/>
      <c r="B41" s="814"/>
      <c r="C41" s="815"/>
      <c r="D41" s="815"/>
      <c r="E41" s="817"/>
      <c r="F41" s="521"/>
      <c r="G41" s="815"/>
      <c r="H41" s="815"/>
      <c r="I41" s="818"/>
      <c r="J41" s="818"/>
      <c r="K41" s="529"/>
      <c r="L41" s="529"/>
      <c r="M41" s="529"/>
      <c r="N41" s="546"/>
      <c r="O41" s="533"/>
      <c r="P41" s="545"/>
      <c r="Q41" s="545"/>
      <c r="R41" s="822"/>
      <c r="S41" s="815"/>
      <c r="T41" s="815"/>
      <c r="U41" s="823"/>
      <c r="V41" s="529"/>
      <c r="W41" s="529"/>
      <c r="X41" s="815"/>
      <c r="Y41" s="529"/>
      <c r="Z41" s="826"/>
      <c r="AA41" s="529"/>
      <c r="AB41" s="529"/>
      <c r="AC41" s="529"/>
      <c r="AD41" s="529"/>
      <c r="AE41" s="829"/>
      <c r="AF41" s="529"/>
      <c r="AG41" s="529"/>
      <c r="AH41" s="529"/>
      <c r="AI41" s="529"/>
      <c r="AJ41" s="529"/>
      <c r="AK41" s="529"/>
      <c r="AL41" s="529"/>
    </row>
    <row r="42" ht="28.5" customHeight="1" spans="1:38">
      <c r="A42" s="529"/>
      <c r="B42" s="814"/>
      <c r="C42" s="815"/>
      <c r="D42" s="815"/>
      <c r="E42" s="817"/>
      <c r="F42" s="521"/>
      <c r="G42" s="815"/>
      <c r="H42" s="815"/>
      <c r="I42" s="818"/>
      <c r="J42" s="818"/>
      <c r="K42" s="529"/>
      <c r="L42" s="529"/>
      <c r="M42" s="529"/>
      <c r="N42" s="546"/>
      <c r="O42" s="533"/>
      <c r="P42" s="545"/>
      <c r="Q42" s="545"/>
      <c r="R42" s="822"/>
      <c r="S42" s="815"/>
      <c r="T42" s="815"/>
      <c r="U42" s="823"/>
      <c r="V42" s="529"/>
      <c r="W42" s="529"/>
      <c r="X42" s="815"/>
      <c r="Y42" s="516"/>
      <c r="Z42" s="826"/>
      <c r="AA42" s="516"/>
      <c r="AB42" s="565"/>
      <c r="AC42" s="565"/>
      <c r="AD42" s="830"/>
      <c r="AE42" s="829"/>
      <c r="AF42" s="529"/>
      <c r="AG42" s="529"/>
      <c r="AH42" s="529"/>
      <c r="AI42" s="529"/>
      <c r="AJ42" s="529"/>
      <c r="AK42" s="529"/>
      <c r="AL42" s="529"/>
    </row>
    <row r="43" ht="28.5" customHeight="1" spans="1:38">
      <c r="A43" s="529"/>
      <c r="B43" s="814"/>
      <c r="C43" s="815"/>
      <c r="D43" s="815"/>
      <c r="E43" s="817"/>
      <c r="F43" s="521"/>
      <c r="G43" s="815"/>
      <c r="H43" s="815"/>
      <c r="I43" s="818"/>
      <c r="J43" s="818"/>
      <c r="K43" s="529"/>
      <c r="L43" s="529"/>
      <c r="M43" s="529"/>
      <c r="N43" s="546"/>
      <c r="O43" s="533"/>
      <c r="P43" s="545"/>
      <c r="Q43" s="545"/>
      <c r="R43" s="822"/>
      <c r="S43" s="815"/>
      <c r="T43" s="815"/>
      <c r="U43" s="823"/>
      <c r="V43" s="529"/>
      <c r="W43" s="529"/>
      <c r="X43" s="815"/>
      <c r="Y43" s="529"/>
      <c r="Z43" s="826"/>
      <c r="AA43" s="529"/>
      <c r="AB43" s="529"/>
      <c r="AC43" s="529"/>
      <c r="AD43" s="529"/>
      <c r="AE43" s="829"/>
      <c r="AF43" s="529"/>
      <c r="AG43" s="529"/>
      <c r="AH43" s="529"/>
      <c r="AI43" s="529"/>
      <c r="AJ43" s="529"/>
      <c r="AK43" s="529"/>
      <c r="AL43" s="529"/>
    </row>
    <row r="44" ht="28.5" customHeight="1" spans="1:38">
      <c r="A44" s="529"/>
      <c r="B44" s="814"/>
      <c r="C44" s="815"/>
      <c r="D44" s="815"/>
      <c r="E44" s="817"/>
      <c r="F44" s="521"/>
      <c r="G44" s="815"/>
      <c r="H44" s="815"/>
      <c r="I44" s="818"/>
      <c r="J44" s="818"/>
      <c r="K44" s="529"/>
      <c r="L44" s="529"/>
      <c r="M44" s="529"/>
      <c r="N44" s="546"/>
      <c r="O44" s="533"/>
      <c r="P44" s="545"/>
      <c r="Q44" s="545"/>
      <c r="R44" s="822"/>
      <c r="S44" s="815"/>
      <c r="T44" s="815"/>
      <c r="U44" s="823"/>
      <c r="V44" s="529"/>
      <c r="W44" s="529"/>
      <c r="X44" s="815"/>
      <c r="Y44" s="529"/>
      <c r="Z44" s="826"/>
      <c r="AA44" s="529"/>
      <c r="AB44" s="529"/>
      <c r="AC44" s="529"/>
      <c r="AD44" s="529"/>
      <c r="AE44" s="829"/>
      <c r="AF44" s="529"/>
      <c r="AG44" s="529"/>
      <c r="AH44" s="529"/>
      <c r="AI44" s="529"/>
      <c r="AJ44" s="529"/>
      <c r="AK44" s="529"/>
      <c r="AL44" s="529"/>
    </row>
    <row r="45" ht="28.5" customHeight="1" spans="1:38">
      <c r="A45" s="529"/>
      <c r="B45" s="814"/>
      <c r="C45" s="815"/>
      <c r="D45" s="815"/>
      <c r="E45" s="817"/>
      <c r="F45" s="521"/>
      <c r="G45" s="815"/>
      <c r="H45" s="815"/>
      <c r="I45" s="818"/>
      <c r="J45" s="818"/>
      <c r="K45" s="529"/>
      <c r="L45" s="529"/>
      <c r="M45" s="529"/>
      <c r="N45" s="546"/>
      <c r="O45" s="533"/>
      <c r="P45" s="545"/>
      <c r="Q45" s="545"/>
      <c r="R45" s="822"/>
      <c r="S45" s="815"/>
      <c r="T45" s="815"/>
      <c r="U45" s="823"/>
      <c r="V45" s="529"/>
      <c r="W45" s="529"/>
      <c r="X45" s="815"/>
      <c r="Y45" s="529"/>
      <c r="Z45" s="826"/>
      <c r="AA45" s="529"/>
      <c r="AB45" s="529"/>
      <c r="AC45" s="529"/>
      <c r="AD45" s="529"/>
      <c r="AE45" s="829"/>
      <c r="AF45" s="529"/>
      <c r="AG45" s="529"/>
      <c r="AH45" s="529"/>
      <c r="AI45" s="529"/>
      <c r="AJ45" s="529"/>
      <c r="AK45" s="529"/>
      <c r="AL45" s="529"/>
    </row>
    <row r="46" ht="28.5" customHeight="1" spans="1:38">
      <c r="A46" s="529"/>
      <c r="B46" s="814"/>
      <c r="C46" s="815"/>
      <c r="D46" s="815"/>
      <c r="E46" s="817"/>
      <c r="F46" s="521"/>
      <c r="G46" s="815"/>
      <c r="H46" s="815"/>
      <c r="I46" s="818"/>
      <c r="J46" s="818"/>
      <c r="K46" s="529"/>
      <c r="L46" s="529"/>
      <c r="M46" s="529"/>
      <c r="N46" s="546"/>
      <c r="O46" s="533"/>
      <c r="P46" s="545"/>
      <c r="Q46" s="545"/>
      <c r="R46" s="822"/>
      <c r="S46" s="815"/>
      <c r="T46" s="815"/>
      <c r="U46" s="823"/>
      <c r="V46" s="529"/>
      <c r="W46" s="529"/>
      <c r="X46" s="815"/>
      <c r="Y46" s="529"/>
      <c r="Z46" s="826"/>
      <c r="AA46" s="529"/>
      <c r="AB46" s="529"/>
      <c r="AC46" s="529"/>
      <c r="AD46" s="529"/>
      <c r="AE46" s="529"/>
      <c r="AF46" s="529"/>
      <c r="AG46" s="529"/>
      <c r="AH46" s="529"/>
      <c r="AI46" s="529"/>
      <c r="AJ46" s="529"/>
      <c r="AK46" s="529"/>
      <c r="AL46" s="529"/>
    </row>
    <row r="47" ht="28.5" customHeight="1" spans="1:38">
      <c r="A47" s="529"/>
      <c r="B47" s="814"/>
      <c r="C47" s="815"/>
      <c r="D47" s="815"/>
      <c r="E47" s="817"/>
      <c r="F47" s="521"/>
      <c r="G47" s="815"/>
      <c r="H47" s="815"/>
      <c r="I47" s="818"/>
      <c r="J47" s="818"/>
      <c r="K47" s="529"/>
      <c r="L47" s="529"/>
      <c r="M47" s="529"/>
      <c r="N47" s="546"/>
      <c r="O47" s="533"/>
      <c r="P47" s="545"/>
      <c r="Q47" s="545"/>
      <c r="R47" s="822"/>
      <c r="S47" s="815"/>
      <c r="T47" s="815"/>
      <c r="U47" s="823"/>
      <c r="V47" s="529"/>
      <c r="W47" s="529"/>
      <c r="X47" s="815"/>
      <c r="Y47" s="529"/>
      <c r="Z47" s="826"/>
      <c r="AA47" s="529"/>
      <c r="AB47" s="529"/>
      <c r="AC47" s="529"/>
      <c r="AD47" s="529"/>
      <c r="AE47" s="829"/>
      <c r="AF47" s="529"/>
      <c r="AG47" s="529"/>
      <c r="AH47" s="529"/>
      <c r="AI47" s="529"/>
      <c r="AJ47" s="529"/>
      <c r="AK47" s="529"/>
      <c r="AL47" s="529"/>
    </row>
    <row r="48" ht="28.5" customHeight="1" spans="1:38">
      <c r="A48" s="529"/>
      <c r="B48" s="814"/>
      <c r="C48" s="815"/>
      <c r="D48" s="815"/>
      <c r="E48" s="817"/>
      <c r="F48" s="521"/>
      <c r="G48" s="815"/>
      <c r="H48" s="815"/>
      <c r="I48" s="818"/>
      <c r="J48" s="818"/>
      <c r="K48" s="529"/>
      <c r="L48" s="529"/>
      <c r="M48" s="529"/>
      <c r="N48" s="546"/>
      <c r="O48" s="533"/>
      <c r="P48" s="545"/>
      <c r="Q48" s="545"/>
      <c r="R48" s="822"/>
      <c r="S48" s="815"/>
      <c r="T48" s="815"/>
      <c r="U48" s="823"/>
      <c r="V48" s="529"/>
      <c r="W48" s="529"/>
      <c r="X48" s="815"/>
      <c r="Y48" s="529"/>
      <c r="Z48" s="826"/>
      <c r="AA48" s="529"/>
      <c r="AB48" s="529"/>
      <c r="AC48" s="529"/>
      <c r="AD48" s="529"/>
      <c r="AE48" s="829"/>
      <c r="AF48" s="529"/>
      <c r="AG48" s="529"/>
      <c r="AH48" s="529"/>
      <c r="AI48" s="529"/>
      <c r="AJ48" s="529"/>
      <c r="AK48" s="529"/>
      <c r="AL48" s="529"/>
    </row>
    <row r="49" ht="28.5" customHeight="1" spans="1:38">
      <c r="A49" s="529"/>
      <c r="B49" s="814"/>
      <c r="C49" s="815"/>
      <c r="D49" s="815"/>
      <c r="E49" s="817"/>
      <c r="F49" s="521"/>
      <c r="G49" s="815"/>
      <c r="H49" s="815"/>
      <c r="I49" s="818"/>
      <c r="J49" s="818"/>
      <c r="K49" s="529"/>
      <c r="L49" s="529"/>
      <c r="M49" s="529"/>
      <c r="N49" s="546"/>
      <c r="O49" s="533"/>
      <c r="P49" s="545"/>
      <c r="Q49" s="545"/>
      <c r="R49" s="822"/>
      <c r="S49" s="815"/>
      <c r="T49" s="815"/>
      <c r="U49" s="823"/>
      <c r="V49" s="529"/>
      <c r="W49" s="529"/>
      <c r="X49" s="815"/>
      <c r="Y49" s="529"/>
      <c r="Z49" s="826"/>
      <c r="AA49" s="529"/>
      <c r="AB49" s="529"/>
      <c r="AC49" s="529"/>
      <c r="AD49" s="529"/>
      <c r="AE49" s="829"/>
      <c r="AF49" s="529"/>
      <c r="AG49" s="529"/>
      <c r="AH49" s="529"/>
      <c r="AI49" s="529"/>
      <c r="AJ49" s="529"/>
      <c r="AK49" s="529"/>
      <c r="AL49" s="529"/>
    </row>
    <row r="50" ht="28.5" customHeight="1" spans="1:38">
      <c r="A50" s="529"/>
      <c r="B50" s="814"/>
      <c r="C50" s="815"/>
      <c r="D50" s="815"/>
      <c r="E50" s="817"/>
      <c r="F50" s="521"/>
      <c r="G50" s="815"/>
      <c r="H50" s="815"/>
      <c r="I50" s="818"/>
      <c r="J50" s="818"/>
      <c r="K50" s="529"/>
      <c r="L50" s="529"/>
      <c r="M50" s="529"/>
      <c r="N50" s="546"/>
      <c r="O50" s="533"/>
      <c r="P50" s="545"/>
      <c r="Q50" s="545"/>
      <c r="R50" s="822"/>
      <c r="S50" s="815"/>
      <c r="T50" s="815"/>
      <c r="U50" s="823"/>
      <c r="V50" s="529"/>
      <c r="W50" s="529"/>
      <c r="X50" s="815"/>
      <c r="Y50" s="529"/>
      <c r="Z50" s="826"/>
      <c r="AA50" s="529"/>
      <c r="AB50" s="529"/>
      <c r="AC50" s="529"/>
      <c r="AD50" s="529"/>
      <c r="AE50" s="829"/>
      <c r="AF50" s="529"/>
      <c r="AG50" s="529"/>
      <c r="AH50" s="529"/>
      <c r="AI50" s="529"/>
      <c r="AJ50" s="529"/>
      <c r="AK50" s="529"/>
      <c r="AL50" s="529"/>
    </row>
    <row r="51" ht="28.5" customHeight="1" spans="1:38">
      <c r="A51" s="529"/>
      <c r="B51" s="814"/>
      <c r="C51" s="815"/>
      <c r="D51" s="815"/>
      <c r="E51" s="817"/>
      <c r="F51" s="521"/>
      <c r="G51" s="815"/>
      <c r="H51" s="815"/>
      <c r="I51" s="818"/>
      <c r="J51" s="818"/>
      <c r="K51" s="529"/>
      <c r="L51" s="529"/>
      <c r="M51" s="529"/>
      <c r="N51" s="546"/>
      <c r="O51" s="533"/>
      <c r="P51" s="545"/>
      <c r="Q51" s="545"/>
      <c r="R51" s="822"/>
      <c r="S51" s="815"/>
      <c r="T51" s="815"/>
      <c r="U51" s="823"/>
      <c r="V51" s="529"/>
      <c r="W51" s="529"/>
      <c r="X51" s="815"/>
      <c r="Y51" s="529"/>
      <c r="Z51" s="826"/>
      <c r="AA51" s="529"/>
      <c r="AB51" s="529"/>
      <c r="AC51" s="529"/>
      <c r="AD51" s="529"/>
      <c r="AE51" s="829"/>
      <c r="AF51" s="529"/>
      <c r="AG51" s="529"/>
      <c r="AH51" s="529"/>
      <c r="AI51" s="529"/>
      <c r="AJ51" s="529"/>
      <c r="AK51" s="529"/>
      <c r="AL51" s="529"/>
    </row>
    <row r="52" ht="28.5" customHeight="1" spans="1:38">
      <c r="A52" s="529"/>
      <c r="B52" s="814"/>
      <c r="C52" s="815"/>
      <c r="D52" s="815"/>
      <c r="E52" s="817"/>
      <c r="F52" s="521"/>
      <c r="G52" s="815"/>
      <c r="H52" s="815"/>
      <c r="I52" s="818"/>
      <c r="J52" s="818"/>
      <c r="K52" s="529"/>
      <c r="L52" s="529"/>
      <c r="M52" s="529"/>
      <c r="N52" s="546"/>
      <c r="O52" s="533"/>
      <c r="P52" s="545"/>
      <c r="Q52" s="545"/>
      <c r="R52" s="822"/>
      <c r="S52" s="815"/>
      <c r="T52" s="815"/>
      <c r="U52" s="823"/>
      <c r="V52" s="529"/>
      <c r="W52" s="529"/>
      <c r="X52" s="815"/>
      <c r="Y52" s="529"/>
      <c r="Z52" s="826"/>
      <c r="AA52" s="529"/>
      <c r="AB52" s="529"/>
      <c r="AC52" s="529"/>
      <c r="AD52" s="529"/>
      <c r="AE52" s="829"/>
      <c r="AF52" s="529"/>
      <c r="AG52" s="529"/>
      <c r="AH52" s="529"/>
      <c r="AI52" s="529"/>
      <c r="AJ52" s="529"/>
      <c r="AK52" s="529"/>
      <c r="AL52" s="529"/>
    </row>
    <row r="53" ht="28.5" customHeight="1" spans="1:38">
      <c r="A53" s="529"/>
      <c r="B53" s="814"/>
      <c r="C53" s="815"/>
      <c r="D53" s="815"/>
      <c r="E53" s="817"/>
      <c r="F53" s="521"/>
      <c r="G53" s="815"/>
      <c r="H53" s="815"/>
      <c r="I53" s="818"/>
      <c r="J53" s="818"/>
      <c r="K53" s="529"/>
      <c r="L53" s="529"/>
      <c r="M53" s="529"/>
      <c r="N53" s="546"/>
      <c r="O53" s="533"/>
      <c r="P53" s="545"/>
      <c r="Q53" s="545"/>
      <c r="R53" s="822"/>
      <c r="S53" s="815"/>
      <c r="T53" s="815"/>
      <c r="U53" s="823"/>
      <c r="V53" s="529"/>
      <c r="W53" s="529"/>
      <c r="X53" s="815"/>
      <c r="Y53" s="529"/>
      <c r="Z53" s="826"/>
      <c r="AA53" s="529"/>
      <c r="AB53" s="529"/>
      <c r="AC53" s="529"/>
      <c r="AD53" s="529"/>
      <c r="AE53" s="829"/>
      <c r="AF53" s="529"/>
      <c r="AG53" s="529"/>
      <c r="AH53" s="529"/>
      <c r="AI53" s="529"/>
      <c r="AJ53" s="529"/>
      <c r="AK53" s="529"/>
      <c r="AL53" s="529"/>
    </row>
    <row r="54" ht="28.5" customHeight="1" spans="1:38">
      <c r="A54" s="529"/>
      <c r="B54" s="814"/>
      <c r="C54" s="815"/>
      <c r="D54" s="815"/>
      <c r="E54" s="817"/>
      <c r="F54" s="521"/>
      <c r="G54" s="815"/>
      <c r="H54" s="815"/>
      <c r="I54" s="818"/>
      <c r="J54" s="818"/>
      <c r="K54" s="529"/>
      <c r="L54" s="529"/>
      <c r="M54" s="529"/>
      <c r="N54" s="546"/>
      <c r="O54" s="533"/>
      <c r="P54" s="545"/>
      <c r="Q54" s="545"/>
      <c r="R54" s="822"/>
      <c r="S54" s="815"/>
      <c r="T54" s="815"/>
      <c r="U54" s="823"/>
      <c r="V54" s="529"/>
      <c r="W54" s="529"/>
      <c r="X54" s="815"/>
      <c r="Y54" s="529"/>
      <c r="Z54" s="826"/>
      <c r="AA54" s="529"/>
      <c r="AB54" s="529"/>
      <c r="AC54" s="529"/>
      <c r="AD54" s="529"/>
      <c r="AE54" s="829"/>
      <c r="AF54" s="529"/>
      <c r="AG54" s="529"/>
      <c r="AH54" s="529"/>
      <c r="AI54" s="529"/>
      <c r="AJ54" s="529"/>
      <c r="AK54" s="529"/>
      <c r="AL54" s="529"/>
    </row>
    <row r="55" ht="28.5" customHeight="1" spans="1:38">
      <c r="A55" s="529"/>
      <c r="B55" s="814"/>
      <c r="C55" s="815"/>
      <c r="D55" s="815"/>
      <c r="E55" s="817"/>
      <c r="F55" s="521"/>
      <c r="G55" s="815"/>
      <c r="H55" s="815"/>
      <c r="I55" s="818"/>
      <c r="J55" s="818"/>
      <c r="K55" s="529"/>
      <c r="L55" s="529"/>
      <c r="M55" s="529"/>
      <c r="N55" s="546"/>
      <c r="O55" s="533"/>
      <c r="P55" s="545"/>
      <c r="Q55" s="545"/>
      <c r="R55" s="822"/>
      <c r="S55" s="815"/>
      <c r="T55" s="815"/>
      <c r="U55" s="823"/>
      <c r="V55" s="529"/>
      <c r="W55" s="529"/>
      <c r="X55" s="815"/>
      <c r="Y55" s="529"/>
      <c r="Z55" s="826"/>
      <c r="AA55" s="529"/>
      <c r="AB55" s="529"/>
      <c r="AC55" s="529"/>
      <c r="AD55" s="830"/>
      <c r="AE55" s="829"/>
      <c r="AF55" s="529"/>
      <c r="AG55" s="529"/>
      <c r="AH55" s="529"/>
      <c r="AI55" s="529"/>
      <c r="AJ55" s="529"/>
      <c r="AK55" s="529"/>
      <c r="AL55" s="529"/>
    </row>
    <row r="56" ht="28.5" customHeight="1" spans="1:38">
      <c r="A56" s="529"/>
      <c r="B56" s="814"/>
      <c r="C56" s="815"/>
      <c r="D56" s="815"/>
      <c r="E56" s="817"/>
      <c r="F56" s="521"/>
      <c r="G56" s="815"/>
      <c r="H56" s="815"/>
      <c r="I56" s="818"/>
      <c r="J56" s="818"/>
      <c r="K56" s="529"/>
      <c r="L56" s="529"/>
      <c r="M56" s="529"/>
      <c r="N56" s="546"/>
      <c r="O56" s="533"/>
      <c r="P56" s="545"/>
      <c r="Q56" s="545"/>
      <c r="R56" s="821"/>
      <c r="S56" s="815"/>
      <c r="T56" s="815"/>
      <c r="U56" s="823"/>
      <c r="V56" s="529"/>
      <c r="W56" s="529"/>
      <c r="X56" s="815"/>
      <c r="Y56" s="529"/>
      <c r="Z56" s="826"/>
      <c r="AA56" s="529"/>
      <c r="AB56" s="529"/>
      <c r="AC56" s="529"/>
      <c r="AD56" s="529"/>
      <c r="AE56" s="829"/>
      <c r="AF56" s="529"/>
      <c r="AG56" s="529"/>
      <c r="AH56" s="529"/>
      <c r="AI56" s="529"/>
      <c r="AJ56" s="529"/>
      <c r="AK56" s="529"/>
      <c r="AL56" s="529"/>
    </row>
    <row r="57" ht="28.5" customHeight="1" spans="1:38">
      <c r="A57" s="529"/>
      <c r="B57" s="814"/>
      <c r="C57" s="815"/>
      <c r="D57" s="815"/>
      <c r="E57" s="817"/>
      <c r="F57" s="521"/>
      <c r="G57" s="815"/>
      <c r="H57" s="815"/>
      <c r="I57" s="818"/>
      <c r="J57" s="818"/>
      <c r="K57" s="529"/>
      <c r="L57" s="529"/>
      <c r="M57" s="529"/>
      <c r="N57" s="546"/>
      <c r="O57" s="533"/>
      <c r="P57" s="545"/>
      <c r="Q57" s="545"/>
      <c r="R57" s="821"/>
      <c r="S57" s="815"/>
      <c r="T57" s="815"/>
      <c r="U57" s="823"/>
      <c r="V57" s="529"/>
      <c r="W57" s="529"/>
      <c r="X57" s="815"/>
      <c r="Y57" s="529"/>
      <c r="Z57" s="826"/>
      <c r="AA57" s="529"/>
      <c r="AB57" s="529"/>
      <c r="AC57" s="529"/>
      <c r="AD57" s="529"/>
      <c r="AE57" s="529"/>
      <c r="AF57" s="529"/>
      <c r="AG57" s="529"/>
      <c r="AH57" s="529"/>
      <c r="AI57" s="529"/>
      <c r="AJ57" s="529"/>
      <c r="AK57" s="529"/>
      <c r="AL57" s="529"/>
    </row>
    <row r="58" ht="28.5" customHeight="1" spans="1:38">
      <c r="A58" s="529"/>
      <c r="B58" s="814"/>
      <c r="C58" s="815"/>
      <c r="D58" s="815"/>
      <c r="E58" s="817"/>
      <c r="F58" s="521"/>
      <c r="G58" s="815"/>
      <c r="H58" s="815"/>
      <c r="I58" s="818"/>
      <c r="J58" s="818"/>
      <c r="K58" s="529"/>
      <c r="L58" s="529"/>
      <c r="M58" s="529"/>
      <c r="N58" s="546"/>
      <c r="O58" s="533"/>
      <c r="P58" s="545"/>
      <c r="Q58" s="545"/>
      <c r="R58" s="821"/>
      <c r="S58" s="815"/>
      <c r="T58" s="815"/>
      <c r="U58" s="823"/>
      <c r="V58" s="529"/>
      <c r="W58" s="529"/>
      <c r="X58" s="815"/>
      <c r="Y58" s="529"/>
      <c r="Z58" s="826"/>
      <c r="AA58" s="529"/>
      <c r="AB58" s="529"/>
      <c r="AC58" s="529"/>
      <c r="AD58" s="529"/>
      <c r="AE58" s="829"/>
      <c r="AF58" s="529"/>
      <c r="AG58" s="529"/>
      <c r="AH58" s="529"/>
      <c r="AI58" s="529"/>
      <c r="AJ58" s="529"/>
      <c r="AK58" s="529"/>
      <c r="AL58" s="529"/>
    </row>
    <row r="59" ht="28.5" customHeight="1" spans="1:38">
      <c r="A59" s="529"/>
      <c r="B59" s="814"/>
      <c r="C59" s="815"/>
      <c r="D59" s="815"/>
      <c r="E59" s="817"/>
      <c r="F59" s="521"/>
      <c r="G59" s="815"/>
      <c r="H59" s="815"/>
      <c r="I59" s="818"/>
      <c r="J59" s="818"/>
      <c r="K59" s="529"/>
      <c r="L59" s="529"/>
      <c r="M59" s="529"/>
      <c r="N59" s="546"/>
      <c r="O59" s="533"/>
      <c r="P59" s="545"/>
      <c r="Q59" s="545"/>
      <c r="R59" s="821"/>
      <c r="S59" s="815"/>
      <c r="T59" s="815"/>
      <c r="U59" s="823"/>
      <c r="V59" s="529"/>
      <c r="W59" s="529"/>
      <c r="X59" s="815"/>
      <c r="Y59" s="529"/>
      <c r="Z59" s="826"/>
      <c r="AA59" s="529"/>
      <c r="AB59" s="529"/>
      <c r="AC59" s="529"/>
      <c r="AD59" s="529"/>
      <c r="AE59" s="829"/>
      <c r="AF59" s="529"/>
      <c r="AG59" s="529"/>
      <c r="AH59" s="529"/>
      <c r="AI59" s="529"/>
      <c r="AJ59" s="529"/>
      <c r="AK59" s="529"/>
      <c r="AL59" s="529"/>
    </row>
    <row r="60" ht="28.5" customHeight="1" spans="1:38">
      <c r="A60" s="529"/>
      <c r="B60" s="814"/>
      <c r="C60" s="815"/>
      <c r="D60" s="815"/>
      <c r="E60" s="817"/>
      <c r="F60" s="521"/>
      <c r="G60" s="815"/>
      <c r="H60" s="815"/>
      <c r="I60" s="818"/>
      <c r="J60" s="818"/>
      <c r="K60" s="529"/>
      <c r="L60" s="529"/>
      <c r="M60" s="529"/>
      <c r="N60" s="546"/>
      <c r="O60" s="533"/>
      <c r="P60" s="545"/>
      <c r="Q60" s="545"/>
      <c r="R60" s="821"/>
      <c r="S60" s="815"/>
      <c r="T60" s="815"/>
      <c r="U60" s="823"/>
      <c r="V60" s="529"/>
      <c r="W60" s="529"/>
      <c r="X60" s="815"/>
      <c r="Y60" s="529"/>
      <c r="Z60" s="826"/>
      <c r="AA60" s="529"/>
      <c r="AB60" s="529"/>
      <c r="AC60" s="529"/>
      <c r="AD60" s="529"/>
      <c r="AE60" s="529"/>
      <c r="AF60" s="529"/>
      <c r="AG60" s="529"/>
      <c r="AH60" s="529"/>
      <c r="AI60" s="529"/>
      <c r="AJ60" s="529"/>
      <c r="AK60" s="529"/>
      <c r="AL60" s="529"/>
    </row>
    <row r="61" ht="28.5" customHeight="1" spans="1:38">
      <c r="A61" s="529"/>
      <c r="B61" s="814"/>
      <c r="C61" s="815"/>
      <c r="D61" s="815"/>
      <c r="E61" s="817"/>
      <c r="F61" s="521"/>
      <c r="G61" s="815"/>
      <c r="H61" s="815"/>
      <c r="I61" s="818"/>
      <c r="J61" s="818"/>
      <c r="K61" s="529"/>
      <c r="L61" s="529"/>
      <c r="M61" s="529"/>
      <c r="N61" s="546"/>
      <c r="O61" s="533"/>
      <c r="P61" s="545"/>
      <c r="Q61" s="545"/>
      <c r="R61" s="821"/>
      <c r="S61" s="815"/>
      <c r="T61" s="815"/>
      <c r="U61" s="823"/>
      <c r="V61" s="529"/>
      <c r="W61" s="529"/>
      <c r="X61" s="815"/>
      <c r="Y61" s="529"/>
      <c r="Z61" s="826"/>
      <c r="AA61" s="529"/>
      <c r="AB61" s="529"/>
      <c r="AC61" s="529"/>
      <c r="AD61" s="529"/>
      <c r="AE61" s="829"/>
      <c r="AF61" s="529"/>
      <c r="AG61" s="529"/>
      <c r="AH61" s="529"/>
      <c r="AI61" s="529"/>
      <c r="AJ61" s="529"/>
      <c r="AK61" s="529"/>
      <c r="AL61" s="529"/>
    </row>
    <row r="62" ht="28.5" customHeight="1" spans="1:38">
      <c r="A62" s="529"/>
      <c r="B62" s="814"/>
      <c r="C62" s="815"/>
      <c r="D62" s="815"/>
      <c r="E62" s="817"/>
      <c r="F62" s="521"/>
      <c r="G62" s="815"/>
      <c r="H62" s="815"/>
      <c r="I62" s="818"/>
      <c r="J62" s="818"/>
      <c r="K62" s="529"/>
      <c r="L62" s="529"/>
      <c r="M62" s="529"/>
      <c r="N62" s="546"/>
      <c r="O62" s="533"/>
      <c r="P62" s="545"/>
      <c r="Q62" s="545"/>
      <c r="R62" s="821"/>
      <c r="S62" s="815"/>
      <c r="T62" s="815"/>
      <c r="U62" s="823"/>
      <c r="V62" s="529"/>
      <c r="W62" s="529"/>
      <c r="X62" s="815"/>
      <c r="Y62" s="529"/>
      <c r="Z62" s="826"/>
      <c r="AA62" s="529"/>
      <c r="AB62" s="529"/>
      <c r="AC62" s="529"/>
      <c r="AD62" s="529"/>
      <c r="AE62" s="829"/>
      <c r="AF62" s="529"/>
      <c r="AG62" s="529"/>
      <c r="AH62" s="529"/>
      <c r="AI62" s="529"/>
      <c r="AJ62" s="529"/>
      <c r="AK62" s="529"/>
      <c r="AL62" s="529"/>
    </row>
    <row r="63" ht="28.5" customHeight="1" spans="1:38">
      <c r="A63" s="529"/>
      <c r="B63" s="814"/>
      <c r="C63" s="815"/>
      <c r="D63" s="815"/>
      <c r="E63" s="817"/>
      <c r="F63" s="521"/>
      <c r="G63" s="815"/>
      <c r="H63" s="815"/>
      <c r="I63" s="818"/>
      <c r="J63" s="818"/>
      <c r="K63" s="529"/>
      <c r="L63" s="529"/>
      <c r="M63" s="529"/>
      <c r="N63" s="546"/>
      <c r="O63" s="533"/>
      <c r="P63" s="545"/>
      <c r="Q63" s="545"/>
      <c r="R63" s="821"/>
      <c r="S63" s="815"/>
      <c r="T63" s="815"/>
      <c r="U63" s="823"/>
      <c r="V63" s="529"/>
      <c r="W63" s="529"/>
      <c r="X63" s="815"/>
      <c r="Y63" s="529"/>
      <c r="Z63" s="826"/>
      <c r="AA63" s="529"/>
      <c r="AB63" s="529"/>
      <c r="AC63" s="529"/>
      <c r="AD63" s="529"/>
      <c r="AE63" s="529"/>
      <c r="AF63" s="529"/>
      <c r="AG63" s="529"/>
      <c r="AH63" s="529"/>
      <c r="AI63" s="529"/>
      <c r="AJ63" s="529"/>
      <c r="AK63" s="529"/>
      <c r="AL63" s="529"/>
    </row>
    <row r="64" ht="28.5" customHeight="1" spans="1:38">
      <c r="A64" s="529"/>
      <c r="B64" s="814"/>
      <c r="C64" s="815"/>
      <c r="D64" s="815"/>
      <c r="E64" s="817"/>
      <c r="F64" s="521"/>
      <c r="G64" s="815"/>
      <c r="H64" s="815"/>
      <c r="I64" s="818"/>
      <c r="J64" s="818"/>
      <c r="K64" s="529"/>
      <c r="L64" s="529"/>
      <c r="M64" s="529"/>
      <c r="N64" s="546"/>
      <c r="O64" s="533"/>
      <c r="P64" s="545"/>
      <c r="Q64" s="545"/>
      <c r="R64" s="821"/>
      <c r="S64" s="815"/>
      <c r="T64" s="815"/>
      <c r="U64" s="823"/>
      <c r="V64" s="529"/>
      <c r="W64" s="529"/>
      <c r="X64" s="815"/>
      <c r="Y64" s="529"/>
      <c r="Z64" s="826"/>
      <c r="AA64" s="529"/>
      <c r="AB64" s="529"/>
      <c r="AC64" s="529"/>
      <c r="AD64" s="529"/>
      <c r="AE64" s="829"/>
      <c r="AF64" s="529"/>
      <c r="AG64" s="529"/>
      <c r="AH64" s="529"/>
      <c r="AI64" s="529"/>
      <c r="AJ64" s="529"/>
      <c r="AK64" s="529"/>
      <c r="AL64" s="529"/>
    </row>
    <row r="65" customHeight="1" spans="1:38">
      <c r="A65" s="529"/>
      <c r="B65" s="529"/>
      <c r="C65" s="529"/>
      <c r="D65" s="529"/>
      <c r="E65" s="521"/>
      <c r="F65" s="521"/>
      <c r="G65" s="529"/>
      <c r="H65" s="529"/>
      <c r="I65" s="529"/>
      <c r="J65" s="529"/>
      <c r="K65" s="529"/>
      <c r="L65" s="529"/>
      <c r="M65" s="529"/>
      <c r="N65" s="529"/>
      <c r="O65" s="529"/>
      <c r="P65" s="529"/>
      <c r="Q65" s="529"/>
      <c r="R65" s="814"/>
      <c r="S65" s="529"/>
      <c r="T65" s="529"/>
      <c r="U65" s="529"/>
      <c r="V65" s="529"/>
      <c r="W65" s="529"/>
      <c r="X65" s="529"/>
      <c r="Y65" s="529"/>
      <c r="Z65" s="826"/>
      <c r="AA65" s="529"/>
      <c r="AB65" s="529"/>
      <c r="AC65" s="529"/>
      <c r="AD65" s="529"/>
      <c r="AE65" s="529"/>
      <c r="AF65" s="529"/>
      <c r="AG65" s="529"/>
      <c r="AH65" s="529"/>
      <c r="AI65" s="529"/>
      <c r="AJ65" s="529"/>
      <c r="AK65" s="529"/>
      <c r="AL65" s="529"/>
    </row>
    <row r="66" customHeight="1" spans="1:38">
      <c r="A66" s="529"/>
      <c r="B66" s="529"/>
      <c r="C66" s="529"/>
      <c r="D66" s="529"/>
      <c r="E66" s="521"/>
      <c r="F66" s="521"/>
      <c r="G66" s="529"/>
      <c r="H66" s="529"/>
      <c r="I66" s="529"/>
      <c r="J66" s="529"/>
      <c r="K66" s="529"/>
      <c r="L66" s="529"/>
      <c r="M66" s="529"/>
      <c r="N66" s="529"/>
      <c r="O66" s="529"/>
      <c r="P66" s="529"/>
      <c r="Q66" s="529"/>
      <c r="R66" s="814"/>
      <c r="S66" s="529"/>
      <c r="T66" s="529"/>
      <c r="U66" s="529"/>
      <c r="V66" s="529"/>
      <c r="W66" s="529"/>
      <c r="X66" s="529"/>
      <c r="Y66" s="529"/>
      <c r="Z66" s="826"/>
      <c r="AA66" s="529"/>
      <c r="AB66" s="529"/>
      <c r="AC66" s="529"/>
      <c r="AD66" s="529"/>
      <c r="AE66" s="529"/>
      <c r="AF66" s="529"/>
      <c r="AG66" s="529"/>
      <c r="AH66" s="529"/>
      <c r="AI66" s="529"/>
      <c r="AJ66" s="529"/>
      <c r="AK66" s="529"/>
      <c r="AL66" s="529"/>
    </row>
    <row r="67" customHeight="1" spans="1:38">
      <c r="A67" s="529"/>
      <c r="B67" s="529"/>
      <c r="C67" s="529"/>
      <c r="D67" s="529"/>
      <c r="E67" s="521"/>
      <c r="F67" s="521"/>
      <c r="G67" s="529"/>
      <c r="H67" s="529"/>
      <c r="I67" s="529"/>
      <c r="J67" s="529"/>
      <c r="K67" s="529"/>
      <c r="L67" s="529"/>
      <c r="M67" s="529"/>
      <c r="N67" s="529"/>
      <c r="O67" s="529"/>
      <c r="P67" s="529"/>
      <c r="Q67" s="529"/>
      <c r="R67" s="814"/>
      <c r="S67" s="529"/>
      <c r="T67" s="529"/>
      <c r="U67" s="529"/>
      <c r="V67" s="529"/>
      <c r="W67" s="529"/>
      <c r="X67" s="529"/>
      <c r="Y67" s="529"/>
      <c r="Z67" s="826"/>
      <c r="AA67" s="529"/>
      <c r="AB67" s="529"/>
      <c r="AC67" s="529"/>
      <c r="AD67" s="529"/>
      <c r="AE67" s="529"/>
      <c r="AF67" s="529"/>
      <c r="AG67" s="529"/>
      <c r="AH67" s="529"/>
      <c r="AI67" s="529"/>
      <c r="AJ67" s="529"/>
      <c r="AK67" s="529"/>
      <c r="AL67" s="529"/>
    </row>
  </sheetData>
  <mergeCells count="31">
    <mergeCell ref="A1:K1"/>
    <mergeCell ref="A2:K2"/>
    <mergeCell ref="I4:J4"/>
    <mergeCell ref="L4:M4"/>
    <mergeCell ref="A4:A5"/>
    <mergeCell ref="B4:B5"/>
    <mergeCell ref="C4:C5"/>
    <mergeCell ref="D4:D5"/>
    <mergeCell ref="E4:E5"/>
    <mergeCell ref="F4:F5"/>
    <mergeCell ref="G4:G5"/>
    <mergeCell ref="H4:H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s>
  <conditionalFormatting sqref="O6;N8:O64">
    <cfRule type="expression" dxfId="1019" priority="1" stopIfTrue="1">
      <formula>IF($O6="warning",TRUE,FALSE)</formula>
    </cfRule>
  </conditionalFormatting>
  <conditionalFormatting sqref="N6">
    <cfRule type="expression" dxfId="1020" priority="2" stopIfTrue="1">
      <formula>IF($P6="warning",TRUE,FALSE)</formula>
    </cfRule>
  </conditionalFormatting>
  <pageMargins left="0.699305555555556" right="0.699305555555556" top="0.75" bottom="0.75" header="0.3" footer="0.3"/>
  <pageSetup paperSize="9" orientation="portrait"/>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AD52"/>
  <sheetViews>
    <sheetView workbookViewId="0">
      <pane xSplit="3" ySplit="5" topLeftCell="Q12" activePane="bottomRight" state="frozen"/>
      <selection/>
      <selection pane="topRight"/>
      <selection pane="bottomLeft"/>
      <selection pane="bottomRight" activeCell="U17" sqref="U17"/>
    </sheetView>
  </sheetViews>
  <sheetFormatPr defaultColWidth="9" defaultRowHeight="10.5"/>
  <cols>
    <col min="1" max="1" width="5" style="91" customWidth="1"/>
    <col min="2" max="2" width="10" style="156" customWidth="1"/>
    <col min="3" max="3" width="21.8583333333333" style="156" customWidth="1"/>
    <col min="4" max="4" width="20.1416666666667" style="156" customWidth="1"/>
    <col min="5" max="5" width="3.70833333333333" style="91" customWidth="1"/>
    <col min="6" max="6" width="6.70833333333333" style="91" customWidth="1"/>
    <col min="7" max="7" width="18.2833333333333" style="156" customWidth="1"/>
    <col min="8" max="8" width="9.85833333333333" style="156" customWidth="1"/>
    <col min="9" max="9" width="10.425" style="156" customWidth="1"/>
    <col min="10" max="10" width="8.70833333333333" style="156" customWidth="1"/>
    <col min="11" max="11" width="9.70833333333333" style="156" customWidth="1"/>
    <col min="12" max="13" width="10.425" style="91" customWidth="1"/>
    <col min="14" max="14" width="8.14166666666667" style="156" customWidth="1"/>
    <col min="15" max="15" width="8.425" style="156" customWidth="1"/>
    <col min="16" max="16" width="16.5666666666667" style="156" customWidth="1"/>
    <col min="17" max="17" width="15.8583333333333" style="156" customWidth="1"/>
    <col min="18" max="18" width="10.8583333333333" style="91" customWidth="1"/>
    <col min="19" max="19" width="9.56666666666667" style="694" customWidth="1"/>
    <col min="20" max="20" width="11.5666666666667" style="156" customWidth="1"/>
    <col min="21" max="21" width="25.1416666666667" style="156" customWidth="1"/>
    <col min="22" max="22" width="27.8583333333333" style="156" customWidth="1"/>
    <col min="23" max="23" width="12.2833333333333" style="158" customWidth="1"/>
    <col min="24" max="24" width="14.8583333333333" style="158" customWidth="1"/>
    <col min="25" max="25" width="16.7083333333333" style="158" customWidth="1"/>
    <col min="26" max="26" width="12.1416666666667" style="158" customWidth="1"/>
    <col min="27" max="27" width="21.1416666666667" style="213" customWidth="1"/>
    <col min="28" max="28" width="26" style="696" customWidth="1"/>
    <col min="29" max="29" width="22.425" style="724" customWidth="1"/>
    <col min="30" max="30" width="18.1416666666667" style="156" customWidth="1"/>
    <col min="31" max="16384" width="9.14166666666667" style="156"/>
  </cols>
  <sheetData>
    <row r="1" s="91" customFormat="1" ht="14.25" customHeight="1" spans="1:29">
      <c r="A1" s="97" t="s">
        <v>7926</v>
      </c>
      <c r="B1" s="97"/>
      <c r="C1" s="97"/>
      <c r="D1" s="97"/>
      <c r="E1" s="97"/>
      <c r="F1" s="97"/>
      <c r="G1" s="97"/>
      <c r="H1" s="97"/>
      <c r="I1" s="97"/>
      <c r="J1" s="97"/>
      <c r="K1" s="97"/>
      <c r="L1" s="97"/>
      <c r="M1" s="97"/>
      <c r="N1" s="97"/>
      <c r="O1" s="97"/>
      <c r="P1" s="97"/>
      <c r="Q1" s="97"/>
      <c r="R1" s="97"/>
      <c r="S1" s="97"/>
      <c r="T1" s="97"/>
      <c r="U1" s="97"/>
      <c r="V1" s="97"/>
      <c r="W1" s="97"/>
      <c r="X1" s="720"/>
      <c r="Y1" s="720"/>
      <c r="Z1" s="720"/>
      <c r="AA1" s="720"/>
      <c r="AB1" s="724"/>
      <c r="AC1" s="724"/>
    </row>
    <row r="2" s="91" customFormat="1" ht="14.25" customHeight="1" spans="1:29">
      <c r="A2" s="97" t="s">
        <v>8241</v>
      </c>
      <c r="B2" s="97"/>
      <c r="C2" s="97"/>
      <c r="D2" s="97"/>
      <c r="E2" s="97"/>
      <c r="F2" s="97"/>
      <c r="G2" s="97"/>
      <c r="H2" s="97"/>
      <c r="I2" s="97"/>
      <c r="J2" s="97"/>
      <c r="K2" s="97"/>
      <c r="L2" s="97"/>
      <c r="M2" s="97"/>
      <c r="N2" s="97"/>
      <c r="O2" s="97"/>
      <c r="P2" s="97"/>
      <c r="Q2" s="97"/>
      <c r="R2" s="97"/>
      <c r="S2" s="97"/>
      <c r="T2" s="97"/>
      <c r="U2" s="97"/>
      <c r="V2" s="97"/>
      <c r="W2" s="97"/>
      <c r="X2" s="720"/>
      <c r="Y2" s="720"/>
      <c r="Z2" s="720"/>
      <c r="AA2" s="720"/>
      <c r="AB2" s="724"/>
      <c r="AC2" s="724"/>
    </row>
    <row r="3" s="91" customFormat="1" ht="14.25" customHeight="1" spans="1:29">
      <c r="A3" s="97"/>
      <c r="B3" s="97"/>
      <c r="C3" s="523"/>
      <c r="D3" s="97"/>
      <c r="E3" s="97"/>
      <c r="F3" s="97"/>
      <c r="G3" s="97"/>
      <c r="H3" s="97"/>
      <c r="I3" s="97"/>
      <c r="J3" s="97"/>
      <c r="K3" s="97"/>
      <c r="L3" s="97"/>
      <c r="M3" s="97"/>
      <c r="N3" s="97"/>
      <c r="O3" s="97"/>
      <c r="P3" s="97"/>
      <c r="Q3" s="97"/>
      <c r="R3" s="97"/>
      <c r="S3" s="708"/>
      <c r="T3" s="97"/>
      <c r="U3" s="97"/>
      <c r="W3" s="213"/>
      <c r="X3" s="213"/>
      <c r="Y3" s="213"/>
      <c r="Z3" s="213"/>
      <c r="AA3" s="213"/>
      <c r="AB3" s="724"/>
      <c r="AC3" s="724"/>
    </row>
    <row r="4" s="91" customFormat="1" ht="14.25" customHeight="1" spans="1:30">
      <c r="A4" s="98" t="s">
        <v>0</v>
      </c>
      <c r="B4" s="98" t="s">
        <v>1</v>
      </c>
      <c r="C4" s="98" t="s">
        <v>2</v>
      </c>
      <c r="D4" s="98" t="s">
        <v>3</v>
      </c>
      <c r="E4" s="124" t="s">
        <v>7928</v>
      </c>
      <c r="F4" s="98" t="s">
        <v>7929</v>
      </c>
      <c r="G4" s="98" t="s">
        <v>8</v>
      </c>
      <c r="H4" s="98" t="s">
        <v>8242</v>
      </c>
      <c r="I4" s="124" t="s">
        <v>7930</v>
      </c>
      <c r="J4" s="174" t="s">
        <v>9</v>
      </c>
      <c r="K4" s="186"/>
      <c r="L4" s="174" t="s">
        <v>8243</v>
      </c>
      <c r="M4" s="186"/>
      <c r="N4" s="98" t="s">
        <v>14</v>
      </c>
      <c r="O4" s="103" t="s">
        <v>15</v>
      </c>
      <c r="P4" s="103" t="s">
        <v>7931</v>
      </c>
      <c r="Q4" s="103" t="s">
        <v>8244</v>
      </c>
      <c r="R4" s="98" t="s">
        <v>25</v>
      </c>
      <c r="S4" s="709" t="s">
        <v>26</v>
      </c>
      <c r="T4" s="98" t="s">
        <v>3509</v>
      </c>
      <c r="U4" s="103" t="s">
        <v>15</v>
      </c>
      <c r="V4" s="117" t="s">
        <v>28</v>
      </c>
      <c r="W4" s="597" t="s">
        <v>29</v>
      </c>
      <c r="X4" s="216" t="s">
        <v>31</v>
      </c>
      <c r="Y4" s="216" t="s">
        <v>32</v>
      </c>
      <c r="Z4" s="216" t="s">
        <v>7934</v>
      </c>
      <c r="AA4" s="226" t="s">
        <v>7935</v>
      </c>
      <c r="AB4" s="725" t="s">
        <v>30</v>
      </c>
      <c r="AC4" s="808" t="s">
        <v>7936</v>
      </c>
      <c r="AD4" s="124" t="s">
        <v>36</v>
      </c>
    </row>
    <row r="5" s="91" customFormat="1" ht="11.25" spans="1:30">
      <c r="A5" s="672"/>
      <c r="B5" s="672"/>
      <c r="C5" s="791"/>
      <c r="D5" s="672"/>
      <c r="E5" s="699"/>
      <c r="F5" s="672"/>
      <c r="G5" s="672"/>
      <c r="H5" s="672"/>
      <c r="I5" s="699"/>
      <c r="J5" s="98" t="s">
        <v>37</v>
      </c>
      <c r="K5" s="98" t="s">
        <v>38</v>
      </c>
      <c r="L5" s="98">
        <v>1</v>
      </c>
      <c r="M5" s="98">
        <v>2</v>
      </c>
      <c r="N5" s="672"/>
      <c r="O5" s="706"/>
      <c r="P5" s="706"/>
      <c r="Q5" s="706"/>
      <c r="R5" s="710"/>
      <c r="S5" s="711"/>
      <c r="T5" s="716"/>
      <c r="U5" s="706"/>
      <c r="V5" s="717"/>
      <c r="W5" s="721"/>
      <c r="X5" s="722"/>
      <c r="Y5" s="722"/>
      <c r="Z5" s="722"/>
      <c r="AA5" s="727"/>
      <c r="AB5" s="728"/>
      <c r="AC5" s="809"/>
      <c r="AD5" s="730"/>
    </row>
    <row r="6" ht="31.5" spans="1:30">
      <c r="A6" s="432" t="s">
        <v>39</v>
      </c>
      <c r="B6" s="466" t="s">
        <v>8245</v>
      </c>
      <c r="C6" s="792" t="s">
        <v>8246</v>
      </c>
      <c r="D6" s="793" t="s">
        <v>8247</v>
      </c>
      <c r="E6" s="700" t="s">
        <v>125</v>
      </c>
      <c r="F6" s="432" t="s">
        <v>44</v>
      </c>
      <c r="G6" s="793" t="s">
        <v>8248</v>
      </c>
      <c r="H6" s="700"/>
      <c r="I6" s="704" t="s">
        <v>3528</v>
      </c>
      <c r="J6" s="704">
        <v>42795</v>
      </c>
      <c r="K6" s="704">
        <v>43159</v>
      </c>
      <c r="L6" s="704">
        <v>43524</v>
      </c>
      <c r="M6" s="432"/>
      <c r="N6" s="640">
        <f ca="1">SUM(L6-NOW())</f>
        <v>251.61546296296</v>
      </c>
      <c r="O6" s="121" t="str">
        <f ca="1">IF(N6&lt;=40,"WARNING","ACTIVE")</f>
        <v>ACTIVE</v>
      </c>
      <c r="P6" s="800">
        <v>4600000</v>
      </c>
      <c r="Q6" s="116">
        <v>0</v>
      </c>
      <c r="R6" s="700" t="s">
        <v>112</v>
      </c>
      <c r="S6" s="802" t="s">
        <v>113</v>
      </c>
      <c r="T6" s="700" t="s">
        <v>8249</v>
      </c>
      <c r="U6" s="432" t="s">
        <v>8250</v>
      </c>
      <c r="V6" s="432" t="s">
        <v>8251</v>
      </c>
      <c r="W6" s="806" t="s">
        <v>8252</v>
      </c>
      <c r="X6" s="122" t="s">
        <v>8253</v>
      </c>
      <c r="Y6" s="122" t="s">
        <v>8254</v>
      </c>
      <c r="Z6" s="122"/>
      <c r="AA6" s="122"/>
      <c r="AB6" s="122" t="s">
        <v>8255</v>
      </c>
      <c r="AC6" s="128" t="s">
        <v>8256</v>
      </c>
      <c r="AD6" s="432" t="s">
        <v>8257</v>
      </c>
    </row>
    <row r="7" ht="24" spans="1:30">
      <c r="A7" s="432" t="s">
        <v>56</v>
      </c>
      <c r="B7" s="466" t="s">
        <v>8258</v>
      </c>
      <c r="C7" s="792" t="s">
        <v>8259</v>
      </c>
      <c r="D7" s="793" t="s">
        <v>8260</v>
      </c>
      <c r="E7" s="700" t="s">
        <v>43</v>
      </c>
      <c r="F7" s="432" t="s">
        <v>44</v>
      </c>
      <c r="G7" s="793" t="s">
        <v>8248</v>
      </c>
      <c r="H7" s="700"/>
      <c r="I7" s="704" t="s">
        <v>3528</v>
      </c>
      <c r="J7" s="704">
        <v>42795</v>
      </c>
      <c r="K7" s="704">
        <v>43159</v>
      </c>
      <c r="L7" s="704">
        <v>43524</v>
      </c>
      <c r="M7" s="432"/>
      <c r="N7" s="640">
        <f ca="1" t="shared" ref="N7:N12" si="0">SUM(L7-NOW())</f>
        <v>251.61546296296</v>
      </c>
      <c r="O7" s="121" t="str">
        <f ca="1" t="shared" ref="O7:O15" si="1">IF(N7&lt;=40,"WARNING","ACTIVE")</f>
        <v>ACTIVE</v>
      </c>
      <c r="P7" s="800">
        <v>4600000</v>
      </c>
      <c r="Q7" s="116">
        <v>0</v>
      </c>
      <c r="R7" s="700" t="s">
        <v>112</v>
      </c>
      <c r="S7" s="802" t="s">
        <v>113</v>
      </c>
      <c r="T7" s="700" t="s">
        <v>8249</v>
      </c>
      <c r="U7" s="432" t="s">
        <v>8261</v>
      </c>
      <c r="V7" s="432" t="s">
        <v>8262</v>
      </c>
      <c r="W7" s="806" t="s">
        <v>8263</v>
      </c>
      <c r="X7" s="122" t="s">
        <v>8264</v>
      </c>
      <c r="Y7" s="122" t="s">
        <v>8265</v>
      </c>
      <c r="Z7" s="122"/>
      <c r="AA7" s="122"/>
      <c r="AB7" s="122" t="s">
        <v>8266</v>
      </c>
      <c r="AC7" s="128" t="s">
        <v>8267</v>
      </c>
      <c r="AD7" s="432"/>
    </row>
    <row r="8" ht="24" spans="1:30">
      <c r="A8" s="432" t="s">
        <v>68</v>
      </c>
      <c r="B8" s="466" t="s">
        <v>8268</v>
      </c>
      <c r="C8" s="792" t="s">
        <v>8269</v>
      </c>
      <c r="D8" s="793" t="s">
        <v>8270</v>
      </c>
      <c r="E8" s="700" t="s">
        <v>43</v>
      </c>
      <c r="F8" s="432" t="s">
        <v>404</v>
      </c>
      <c r="G8" s="793" t="s">
        <v>8271</v>
      </c>
      <c r="H8" s="700"/>
      <c r="I8" s="704" t="s">
        <v>3528</v>
      </c>
      <c r="J8" s="704">
        <v>42795</v>
      </c>
      <c r="K8" s="704">
        <v>43159</v>
      </c>
      <c r="L8" s="704">
        <v>43524</v>
      </c>
      <c r="M8" s="432"/>
      <c r="N8" s="640">
        <f ca="1" t="shared" si="0"/>
        <v>251.61546296296</v>
      </c>
      <c r="O8" s="121" t="str">
        <f ca="1" t="shared" si="1"/>
        <v>ACTIVE</v>
      </c>
      <c r="P8" s="800">
        <v>3900000</v>
      </c>
      <c r="Q8" s="116">
        <v>0</v>
      </c>
      <c r="R8" s="700" t="s">
        <v>112</v>
      </c>
      <c r="S8" s="802" t="s">
        <v>113</v>
      </c>
      <c r="T8" s="700" t="s">
        <v>8249</v>
      </c>
      <c r="U8" s="432" t="s">
        <v>8272</v>
      </c>
      <c r="V8" s="432" t="s">
        <v>8273</v>
      </c>
      <c r="W8" s="806" t="s">
        <v>8274</v>
      </c>
      <c r="X8" s="122" t="s">
        <v>8275</v>
      </c>
      <c r="Y8" s="122" t="s">
        <v>8276</v>
      </c>
      <c r="Z8" s="122"/>
      <c r="AA8" s="122"/>
      <c r="AB8" s="122" t="s">
        <v>8277</v>
      </c>
      <c r="AC8" s="128" t="s">
        <v>8278</v>
      </c>
      <c r="AD8" s="432"/>
    </row>
    <row r="9" ht="24" spans="1:30">
      <c r="A9" s="432" t="s">
        <v>78</v>
      </c>
      <c r="B9" s="466" t="s">
        <v>8279</v>
      </c>
      <c r="C9" s="792" t="s">
        <v>8280</v>
      </c>
      <c r="D9" s="793" t="s">
        <v>8281</v>
      </c>
      <c r="E9" s="700" t="s">
        <v>43</v>
      </c>
      <c r="F9" s="432" t="s">
        <v>404</v>
      </c>
      <c r="G9" s="793" t="s">
        <v>8271</v>
      </c>
      <c r="H9" s="700"/>
      <c r="I9" s="704" t="s">
        <v>3528</v>
      </c>
      <c r="J9" s="704">
        <v>42795</v>
      </c>
      <c r="K9" s="704">
        <v>43159</v>
      </c>
      <c r="L9" s="704">
        <v>43524</v>
      </c>
      <c r="M9" s="432"/>
      <c r="N9" s="640">
        <f ca="1" t="shared" si="0"/>
        <v>251.61546296296</v>
      </c>
      <c r="O9" s="121" t="str">
        <f ca="1" t="shared" si="1"/>
        <v>ACTIVE</v>
      </c>
      <c r="P9" s="800">
        <v>3900000</v>
      </c>
      <c r="Q9" s="116">
        <v>0</v>
      </c>
      <c r="R9" s="700" t="s">
        <v>112</v>
      </c>
      <c r="S9" s="802" t="s">
        <v>113</v>
      </c>
      <c r="T9" s="700" t="s">
        <v>8249</v>
      </c>
      <c r="U9" s="432" t="s">
        <v>8282</v>
      </c>
      <c r="V9" s="432" t="s">
        <v>8283</v>
      </c>
      <c r="W9" s="806" t="s">
        <v>8284</v>
      </c>
      <c r="X9" s="122" t="s">
        <v>8285</v>
      </c>
      <c r="Y9" s="122" t="s">
        <v>8286</v>
      </c>
      <c r="Z9" s="122"/>
      <c r="AA9" s="122"/>
      <c r="AB9" s="122" t="s">
        <v>8287</v>
      </c>
      <c r="AC9" s="128" t="s">
        <v>8288</v>
      </c>
      <c r="AD9" s="432"/>
    </row>
    <row r="10" ht="24" spans="1:30">
      <c r="A10" s="432" t="s">
        <v>92</v>
      </c>
      <c r="B10" s="466" t="s">
        <v>8289</v>
      </c>
      <c r="C10" s="792" t="s">
        <v>8290</v>
      </c>
      <c r="D10" s="793" t="s">
        <v>8291</v>
      </c>
      <c r="E10" s="700" t="s">
        <v>43</v>
      </c>
      <c r="F10" s="432" t="s">
        <v>44</v>
      </c>
      <c r="G10" s="793" t="s">
        <v>8248</v>
      </c>
      <c r="H10" s="700"/>
      <c r="I10" s="704" t="s">
        <v>3528</v>
      </c>
      <c r="J10" s="704">
        <v>42795</v>
      </c>
      <c r="K10" s="704">
        <v>43159</v>
      </c>
      <c r="L10" s="704">
        <v>43524</v>
      </c>
      <c r="M10" s="432"/>
      <c r="N10" s="640">
        <f ca="1" t="shared" si="0"/>
        <v>251.61546296296</v>
      </c>
      <c r="O10" s="121" t="str">
        <f ca="1" t="shared" si="1"/>
        <v>ACTIVE</v>
      </c>
      <c r="P10" s="800">
        <v>4025000</v>
      </c>
      <c r="Q10" s="116">
        <v>0</v>
      </c>
      <c r="R10" s="700" t="s">
        <v>112</v>
      </c>
      <c r="S10" s="802" t="s">
        <v>113</v>
      </c>
      <c r="T10" s="700" t="s">
        <v>8249</v>
      </c>
      <c r="U10" s="432" t="s">
        <v>8272</v>
      </c>
      <c r="V10" s="432" t="s">
        <v>8292</v>
      </c>
      <c r="W10" s="806" t="s">
        <v>8293</v>
      </c>
      <c r="X10" s="122" t="s">
        <v>8294</v>
      </c>
      <c r="Y10" s="122"/>
      <c r="Z10" s="122" t="s">
        <v>8295</v>
      </c>
      <c r="AA10" s="122"/>
      <c r="AB10" s="122" t="s">
        <v>8296</v>
      </c>
      <c r="AC10" s="128" t="s">
        <v>8297</v>
      </c>
      <c r="AD10" s="432"/>
    </row>
    <row r="11" ht="21" spans="1:30">
      <c r="A11" s="432" t="s">
        <v>107</v>
      </c>
      <c r="B11" s="466" t="s">
        <v>8298</v>
      </c>
      <c r="C11" s="792" t="s">
        <v>8299</v>
      </c>
      <c r="D11" s="793" t="s">
        <v>8300</v>
      </c>
      <c r="E11" s="700"/>
      <c r="F11" s="432"/>
      <c r="G11" s="793" t="s">
        <v>8301</v>
      </c>
      <c r="H11" s="700"/>
      <c r="I11" s="704" t="s">
        <v>3528</v>
      </c>
      <c r="J11" s="704">
        <v>42795</v>
      </c>
      <c r="K11" s="704">
        <v>43159</v>
      </c>
      <c r="L11" s="704">
        <v>43524</v>
      </c>
      <c r="M11" s="432"/>
      <c r="N11" s="640">
        <f ca="1" t="shared" si="0"/>
        <v>251.61546296296</v>
      </c>
      <c r="O11" s="121" t="str">
        <f ca="1" t="shared" si="1"/>
        <v>ACTIVE</v>
      </c>
      <c r="P11" s="800">
        <v>3900000</v>
      </c>
      <c r="Q11" s="116">
        <v>0</v>
      </c>
      <c r="R11" s="700" t="s">
        <v>112</v>
      </c>
      <c r="S11" s="802" t="s">
        <v>113</v>
      </c>
      <c r="T11" s="700" t="s">
        <v>8249</v>
      </c>
      <c r="U11" s="432" t="s">
        <v>8302</v>
      </c>
      <c r="V11" s="432" t="s">
        <v>8303</v>
      </c>
      <c r="W11" s="806"/>
      <c r="X11" s="122" t="s">
        <v>8304</v>
      </c>
      <c r="Y11" s="122"/>
      <c r="Z11" s="122" t="s">
        <v>8305</v>
      </c>
      <c r="AA11" s="122"/>
      <c r="AB11" s="122" t="s">
        <v>8306</v>
      </c>
      <c r="AC11" s="122"/>
      <c r="AD11" s="432"/>
    </row>
    <row r="12" ht="21" spans="1:30">
      <c r="A12" s="432" t="s">
        <v>121</v>
      </c>
      <c r="B12" s="466" t="s">
        <v>8307</v>
      </c>
      <c r="C12" s="792" t="s">
        <v>8308</v>
      </c>
      <c r="D12" s="793" t="s">
        <v>8309</v>
      </c>
      <c r="E12" s="700" t="s">
        <v>43</v>
      </c>
      <c r="F12" s="432" t="s">
        <v>44</v>
      </c>
      <c r="G12" s="793" t="s">
        <v>8301</v>
      </c>
      <c r="H12" s="700"/>
      <c r="I12" s="704" t="s">
        <v>3528</v>
      </c>
      <c r="J12" s="704">
        <v>42795</v>
      </c>
      <c r="K12" s="704">
        <v>43159</v>
      </c>
      <c r="L12" s="704">
        <v>43524</v>
      </c>
      <c r="M12" s="432"/>
      <c r="N12" s="640">
        <f ca="1" t="shared" si="0"/>
        <v>251.61546296296</v>
      </c>
      <c r="O12" s="121" t="str">
        <f ca="1" t="shared" si="1"/>
        <v>ACTIVE</v>
      </c>
      <c r="P12" s="800">
        <v>3800000</v>
      </c>
      <c r="Q12" s="116">
        <v>0</v>
      </c>
      <c r="R12" s="700" t="s">
        <v>112</v>
      </c>
      <c r="S12" s="802" t="s">
        <v>113</v>
      </c>
      <c r="T12" s="700" t="s">
        <v>8249</v>
      </c>
      <c r="U12" s="432" t="s">
        <v>8302</v>
      </c>
      <c r="V12" s="432" t="s">
        <v>8310</v>
      </c>
      <c r="W12" s="806"/>
      <c r="X12" s="122" t="s">
        <v>8311</v>
      </c>
      <c r="Y12" s="122"/>
      <c r="Z12" s="122" t="s">
        <v>8312</v>
      </c>
      <c r="AA12" s="122"/>
      <c r="AB12" s="122" t="s">
        <v>8313</v>
      </c>
      <c r="AC12" s="122"/>
      <c r="AD12" s="432"/>
    </row>
    <row r="13" ht="21" spans="1:30">
      <c r="A13" s="432" t="s">
        <v>135</v>
      </c>
      <c r="B13" s="466" t="s">
        <v>8314</v>
      </c>
      <c r="C13" s="792" t="s">
        <v>8315</v>
      </c>
      <c r="D13" s="793" t="s">
        <v>8316</v>
      </c>
      <c r="E13" s="700" t="s">
        <v>43</v>
      </c>
      <c r="F13" s="432" t="s">
        <v>96</v>
      </c>
      <c r="G13" s="793" t="s">
        <v>8301</v>
      </c>
      <c r="H13" s="700"/>
      <c r="I13" s="704" t="s">
        <v>3528</v>
      </c>
      <c r="J13" s="704">
        <v>42795</v>
      </c>
      <c r="K13" s="704">
        <v>43159</v>
      </c>
      <c r="L13" s="704">
        <v>43524</v>
      </c>
      <c r="M13" s="432"/>
      <c r="N13" s="640">
        <f ca="1" t="shared" ref="N13:N15" si="2">SUM(L13-NOW())</f>
        <v>251.61546296296</v>
      </c>
      <c r="O13" s="121" t="str">
        <f ca="1" t="shared" si="1"/>
        <v>ACTIVE</v>
      </c>
      <c r="P13" s="800">
        <v>3800000</v>
      </c>
      <c r="Q13" s="116">
        <v>0</v>
      </c>
      <c r="R13" s="700" t="s">
        <v>112</v>
      </c>
      <c r="S13" s="802" t="s">
        <v>113</v>
      </c>
      <c r="T13" s="700" t="s">
        <v>8249</v>
      </c>
      <c r="U13" s="432" t="s">
        <v>8302</v>
      </c>
      <c r="V13" s="432" t="s">
        <v>8317</v>
      </c>
      <c r="W13" s="806"/>
      <c r="X13" s="122" t="s">
        <v>8318</v>
      </c>
      <c r="Y13" s="122"/>
      <c r="Z13" s="122"/>
      <c r="AA13" s="122" t="s">
        <v>8319</v>
      </c>
      <c r="AB13" s="122" t="s">
        <v>8320</v>
      </c>
      <c r="AC13" s="122"/>
      <c r="AD13" s="432"/>
    </row>
    <row r="14" ht="31.5" spans="1:30">
      <c r="A14" s="432" t="s">
        <v>146</v>
      </c>
      <c r="B14" s="466" t="s">
        <v>8321</v>
      </c>
      <c r="C14" s="792" t="s">
        <v>8322</v>
      </c>
      <c r="D14" s="793" t="s">
        <v>8323</v>
      </c>
      <c r="E14" s="700" t="s">
        <v>43</v>
      </c>
      <c r="F14" s="432" t="s">
        <v>254</v>
      </c>
      <c r="G14" s="793" t="s">
        <v>1533</v>
      </c>
      <c r="H14" s="700"/>
      <c r="I14" s="704" t="s">
        <v>3528</v>
      </c>
      <c r="J14" s="704">
        <v>42795</v>
      </c>
      <c r="K14" s="704">
        <v>43159</v>
      </c>
      <c r="L14" s="704">
        <v>43524</v>
      </c>
      <c r="M14" s="432"/>
      <c r="N14" s="640">
        <f ca="1" t="shared" si="2"/>
        <v>251.61546296296</v>
      </c>
      <c r="O14" s="121" t="str">
        <f ca="1" t="shared" si="1"/>
        <v>ACTIVE</v>
      </c>
      <c r="P14" s="800">
        <v>4100000</v>
      </c>
      <c r="Q14" s="116">
        <v>0</v>
      </c>
      <c r="R14" s="700" t="s">
        <v>112</v>
      </c>
      <c r="S14" s="802" t="s">
        <v>113</v>
      </c>
      <c r="T14" s="700" t="s">
        <v>8249</v>
      </c>
      <c r="U14" s="432" t="s">
        <v>8324</v>
      </c>
      <c r="V14" s="432" t="s">
        <v>8325</v>
      </c>
      <c r="W14" s="806"/>
      <c r="X14" s="122" t="s">
        <v>8326</v>
      </c>
      <c r="Y14" s="122" t="s">
        <v>8327</v>
      </c>
      <c r="Z14" s="122" t="s">
        <v>8328</v>
      </c>
      <c r="AA14" s="122" t="s">
        <v>8329</v>
      </c>
      <c r="AB14" s="122" t="s">
        <v>8330</v>
      </c>
      <c r="AC14" s="122"/>
      <c r="AD14" s="432"/>
    </row>
    <row r="15" ht="31.5" spans="1:30">
      <c r="A15" s="432" t="s">
        <v>157</v>
      </c>
      <c r="B15" s="466" t="s">
        <v>8331</v>
      </c>
      <c r="C15" s="792" t="s">
        <v>8332</v>
      </c>
      <c r="D15" s="793" t="s">
        <v>8333</v>
      </c>
      <c r="E15" s="700" t="s">
        <v>125</v>
      </c>
      <c r="F15" s="432" t="s">
        <v>44</v>
      </c>
      <c r="G15" s="700" t="s">
        <v>8248</v>
      </c>
      <c r="H15" s="700"/>
      <c r="I15" s="704" t="s">
        <v>3528</v>
      </c>
      <c r="J15" s="704">
        <v>42814</v>
      </c>
      <c r="K15" s="704">
        <v>43159</v>
      </c>
      <c r="L15" s="704">
        <v>43524</v>
      </c>
      <c r="M15" s="432"/>
      <c r="N15" s="640">
        <f ca="1" t="shared" si="2"/>
        <v>251.61546296296</v>
      </c>
      <c r="O15" s="121" t="str">
        <f ca="1" t="shared" si="1"/>
        <v>ACTIVE</v>
      </c>
      <c r="P15" s="800">
        <v>4025000</v>
      </c>
      <c r="Q15" s="116">
        <v>0</v>
      </c>
      <c r="R15" s="700" t="s">
        <v>112</v>
      </c>
      <c r="S15" s="802" t="s">
        <v>113</v>
      </c>
      <c r="T15" s="700" t="s">
        <v>8249</v>
      </c>
      <c r="U15" s="432" t="s">
        <v>8272</v>
      </c>
      <c r="V15" s="432" t="s">
        <v>8334</v>
      </c>
      <c r="W15" s="806" t="s">
        <v>8335</v>
      </c>
      <c r="X15" s="1579" t="s">
        <v>8336</v>
      </c>
      <c r="Y15" s="1579" t="s">
        <v>8337</v>
      </c>
      <c r="Z15" s="122" t="s">
        <v>8338</v>
      </c>
      <c r="AA15" s="122"/>
      <c r="AB15" s="1579" t="s">
        <v>8339</v>
      </c>
      <c r="AC15" s="128" t="s">
        <v>8340</v>
      </c>
      <c r="AD15" s="432"/>
    </row>
    <row r="16" ht="21" spans="1:30">
      <c r="A16" s="432" t="s">
        <v>168</v>
      </c>
      <c r="B16" s="466" t="s">
        <v>8341</v>
      </c>
      <c r="C16" s="792" t="s">
        <v>8342</v>
      </c>
      <c r="D16" s="793" t="s">
        <v>8343</v>
      </c>
      <c r="E16" s="700" t="s">
        <v>43</v>
      </c>
      <c r="F16" s="432" t="s">
        <v>44</v>
      </c>
      <c r="G16" s="700" t="s">
        <v>8271</v>
      </c>
      <c r="H16" s="700"/>
      <c r="I16" s="704" t="s">
        <v>3528</v>
      </c>
      <c r="J16" s="704">
        <v>42979</v>
      </c>
      <c r="K16" s="704">
        <v>43159</v>
      </c>
      <c r="L16" s="704">
        <v>43524</v>
      </c>
      <c r="M16" s="432"/>
      <c r="N16" s="640">
        <f ca="1" t="shared" ref="N16:N19" si="3">SUM(L16-NOW())</f>
        <v>251.61546296296</v>
      </c>
      <c r="O16" s="121" t="str">
        <f ca="1" t="shared" ref="O16:O19" si="4">IF(N16&lt;=40,"WARNING","ACTIVE")</f>
        <v>ACTIVE</v>
      </c>
      <c r="P16" s="800">
        <v>3900000</v>
      </c>
      <c r="Q16" s="116">
        <v>0</v>
      </c>
      <c r="R16" s="700" t="s">
        <v>112</v>
      </c>
      <c r="S16" s="802" t="s">
        <v>113</v>
      </c>
      <c r="T16" s="700" t="s">
        <v>8249</v>
      </c>
      <c r="U16" s="432" t="s">
        <v>8302</v>
      </c>
      <c r="V16" s="432" t="s">
        <v>8344</v>
      </c>
      <c r="W16" s="806" t="s">
        <v>8345</v>
      </c>
      <c r="X16" s="122" t="s">
        <v>8346</v>
      </c>
      <c r="Y16" s="122"/>
      <c r="Z16" s="122"/>
      <c r="AA16" s="122"/>
      <c r="AB16" s="122" t="s">
        <v>8347</v>
      </c>
      <c r="AC16" s="127" t="s">
        <v>8348</v>
      </c>
      <c r="AD16" s="432"/>
    </row>
    <row r="17" ht="24" spans="1:30">
      <c r="A17" s="432" t="s">
        <v>181</v>
      </c>
      <c r="B17" s="14" t="s">
        <v>8349</v>
      </c>
      <c r="C17" s="792" t="s">
        <v>8350</v>
      </c>
      <c r="D17" s="793" t="s">
        <v>8351</v>
      </c>
      <c r="E17" s="700" t="s">
        <v>43</v>
      </c>
      <c r="F17" s="432"/>
      <c r="G17" s="700" t="s">
        <v>8248</v>
      </c>
      <c r="H17" s="700"/>
      <c r="I17" s="704" t="s">
        <v>3528</v>
      </c>
      <c r="J17" s="704">
        <v>42982</v>
      </c>
      <c r="K17" s="704">
        <v>43159</v>
      </c>
      <c r="L17" s="704">
        <v>43524</v>
      </c>
      <c r="M17" s="432"/>
      <c r="N17" s="640">
        <f ca="1" t="shared" si="3"/>
        <v>251.61546296296</v>
      </c>
      <c r="O17" s="121" t="str">
        <f ca="1" t="shared" si="4"/>
        <v>ACTIVE</v>
      </c>
      <c r="P17" s="800">
        <v>3900000</v>
      </c>
      <c r="Q17" s="116">
        <v>0</v>
      </c>
      <c r="R17" s="700" t="s">
        <v>112</v>
      </c>
      <c r="S17" s="802" t="s">
        <v>113</v>
      </c>
      <c r="T17" s="700" t="s">
        <v>8249</v>
      </c>
      <c r="U17" s="432" t="s">
        <v>8272</v>
      </c>
      <c r="V17" s="432" t="s">
        <v>8352</v>
      </c>
      <c r="W17" s="806" t="s">
        <v>8353</v>
      </c>
      <c r="X17" s="122" t="s">
        <v>8354</v>
      </c>
      <c r="Y17" s="122" t="s">
        <v>8355</v>
      </c>
      <c r="Z17" s="122"/>
      <c r="AA17" s="122"/>
      <c r="AB17" s="122" t="s">
        <v>8356</v>
      </c>
      <c r="AC17" s="127" t="s">
        <v>8357</v>
      </c>
      <c r="AD17" s="432"/>
    </row>
    <row r="18" ht="24" spans="1:30">
      <c r="A18" s="432" t="s">
        <v>194</v>
      </c>
      <c r="B18" s="14" t="s">
        <v>8358</v>
      </c>
      <c r="C18" s="792" t="s">
        <v>8359</v>
      </c>
      <c r="D18" s="793" t="s">
        <v>8360</v>
      </c>
      <c r="E18" s="700" t="s">
        <v>125</v>
      </c>
      <c r="F18" s="432" t="s">
        <v>44</v>
      </c>
      <c r="G18" s="700" t="s">
        <v>8248</v>
      </c>
      <c r="H18" s="700"/>
      <c r="I18" s="704" t="s">
        <v>3528</v>
      </c>
      <c r="J18" s="704">
        <v>42982</v>
      </c>
      <c r="K18" s="704">
        <v>43159</v>
      </c>
      <c r="L18" s="704">
        <v>43524</v>
      </c>
      <c r="M18" s="432"/>
      <c r="N18" s="640">
        <f ca="1" t="shared" si="3"/>
        <v>251.61546296296</v>
      </c>
      <c r="O18" s="121" t="str">
        <f ca="1" t="shared" si="4"/>
        <v>ACTIVE</v>
      </c>
      <c r="P18" s="800">
        <v>3900000</v>
      </c>
      <c r="Q18" s="116">
        <v>0</v>
      </c>
      <c r="R18" s="700" t="s">
        <v>112</v>
      </c>
      <c r="S18" s="802" t="s">
        <v>113</v>
      </c>
      <c r="T18" s="700" t="s">
        <v>8249</v>
      </c>
      <c r="U18" s="432" t="s">
        <v>8272</v>
      </c>
      <c r="V18" s="432" t="s">
        <v>8361</v>
      </c>
      <c r="W18" s="806" t="s">
        <v>8362</v>
      </c>
      <c r="X18" s="122" t="s">
        <v>8363</v>
      </c>
      <c r="Y18" s="122" t="s">
        <v>8364</v>
      </c>
      <c r="Z18" s="122"/>
      <c r="AA18" s="1579" t="s">
        <v>8365</v>
      </c>
      <c r="AB18" s="122" t="s">
        <v>8366</v>
      </c>
      <c r="AC18" s="127" t="s">
        <v>8367</v>
      </c>
      <c r="AD18" s="432"/>
    </row>
    <row r="19" ht="24" spans="1:30">
      <c r="A19" s="432" t="s">
        <v>215</v>
      </c>
      <c r="B19" s="14" t="s">
        <v>8368</v>
      </c>
      <c r="C19" s="792" t="s">
        <v>8369</v>
      </c>
      <c r="D19" s="793" t="s">
        <v>8370</v>
      </c>
      <c r="E19" s="700" t="s">
        <v>125</v>
      </c>
      <c r="F19" s="432" t="s">
        <v>44</v>
      </c>
      <c r="G19" s="700" t="s">
        <v>8248</v>
      </c>
      <c r="H19" s="700"/>
      <c r="I19" s="704" t="s">
        <v>3528</v>
      </c>
      <c r="J19" s="704">
        <v>43132</v>
      </c>
      <c r="K19" s="704">
        <v>43159</v>
      </c>
      <c r="L19" s="704">
        <v>43524</v>
      </c>
      <c r="M19" s="432"/>
      <c r="N19" s="640">
        <f ca="1" t="shared" si="3"/>
        <v>251.61546296296</v>
      </c>
      <c r="O19" s="121" t="str">
        <f ca="1" t="shared" si="4"/>
        <v>ACTIVE</v>
      </c>
      <c r="P19" s="800">
        <v>3850000</v>
      </c>
      <c r="Q19" s="116">
        <v>0</v>
      </c>
      <c r="R19" s="700" t="s">
        <v>112</v>
      </c>
      <c r="S19" s="802" t="s">
        <v>113</v>
      </c>
      <c r="T19" s="700" t="s">
        <v>8249</v>
      </c>
      <c r="U19" s="432" t="s">
        <v>8272</v>
      </c>
      <c r="V19" s="432" t="s">
        <v>8371</v>
      </c>
      <c r="W19" s="806"/>
      <c r="X19" s="122" t="s">
        <v>8372</v>
      </c>
      <c r="Y19" s="122"/>
      <c r="Z19" s="122" t="s">
        <v>8373</v>
      </c>
      <c r="AA19" s="1579" t="s">
        <v>8374</v>
      </c>
      <c r="AB19" s="122" t="s">
        <v>8375</v>
      </c>
      <c r="AC19" s="127" t="s">
        <v>8376</v>
      </c>
      <c r="AD19" s="432"/>
    </row>
    <row r="20" ht="24" spans="1:30">
      <c r="A20" s="432" t="s">
        <v>229</v>
      </c>
      <c r="B20" s="14" t="s">
        <v>8377</v>
      </c>
      <c r="C20" s="792" t="s">
        <v>8378</v>
      </c>
      <c r="D20" s="793" t="s">
        <v>8379</v>
      </c>
      <c r="E20" s="700" t="s">
        <v>125</v>
      </c>
      <c r="F20" s="432" t="s">
        <v>44</v>
      </c>
      <c r="G20" s="700" t="s">
        <v>8248</v>
      </c>
      <c r="H20" s="700"/>
      <c r="I20" s="704" t="s">
        <v>3528</v>
      </c>
      <c r="J20" s="704">
        <v>43164</v>
      </c>
      <c r="K20" s="704">
        <v>43524</v>
      </c>
      <c r="L20" s="704"/>
      <c r="M20" s="432"/>
      <c r="N20" s="640">
        <f ca="1" t="shared" ref="N20:N27" si="5">SUM(K20-NOW())</f>
        <v>251.61546296296</v>
      </c>
      <c r="O20" s="121" t="str">
        <f ca="1" t="shared" ref="O20:O27" si="6">IF(N20&lt;=40,"WARNING","ACTIVE")</f>
        <v>ACTIVE</v>
      </c>
      <c r="P20" s="800">
        <v>3850000</v>
      </c>
      <c r="Q20" s="800"/>
      <c r="R20" s="431" t="s">
        <v>112</v>
      </c>
      <c r="S20" s="803" t="s">
        <v>113</v>
      </c>
      <c r="T20" s="431" t="s">
        <v>8249</v>
      </c>
      <c r="U20" s="432"/>
      <c r="V20" s="432"/>
      <c r="W20" s="806"/>
      <c r="X20" s="122" t="s">
        <v>8380</v>
      </c>
      <c r="Y20" s="122" t="s">
        <v>8381</v>
      </c>
      <c r="Z20" s="122"/>
      <c r="AA20" s="122"/>
      <c r="AB20" s="122" t="s">
        <v>8382</v>
      </c>
      <c r="AC20" s="127" t="s">
        <v>8383</v>
      </c>
      <c r="AD20" s="432"/>
    </row>
    <row r="21" ht="21" spans="1:30">
      <c r="A21" s="432" t="s">
        <v>239</v>
      </c>
      <c r="B21" s="14" t="s">
        <v>8384</v>
      </c>
      <c r="C21" s="792" t="s">
        <v>8385</v>
      </c>
      <c r="D21" s="793" t="s">
        <v>8386</v>
      </c>
      <c r="E21" s="700"/>
      <c r="F21" s="432"/>
      <c r="G21" s="700" t="s">
        <v>8248</v>
      </c>
      <c r="H21" s="700"/>
      <c r="I21" s="704" t="s">
        <v>3528</v>
      </c>
      <c r="J21" s="704">
        <v>43166</v>
      </c>
      <c r="K21" s="704">
        <v>43524</v>
      </c>
      <c r="L21" s="704"/>
      <c r="M21" s="432"/>
      <c r="N21" s="640">
        <f ca="1" t="shared" si="5"/>
        <v>251.61546296296</v>
      </c>
      <c r="O21" s="121" t="str">
        <f ca="1" t="shared" si="6"/>
        <v>ACTIVE</v>
      </c>
      <c r="P21" s="800">
        <v>3850000</v>
      </c>
      <c r="Q21" s="800"/>
      <c r="R21" s="431" t="s">
        <v>112</v>
      </c>
      <c r="S21" s="803" t="s">
        <v>113</v>
      </c>
      <c r="T21" s="431" t="s">
        <v>8249</v>
      </c>
      <c r="U21" s="432"/>
      <c r="V21" s="432"/>
      <c r="W21" s="806"/>
      <c r="X21" s="122" t="s">
        <v>8387</v>
      </c>
      <c r="Y21" s="122" t="s">
        <v>8388</v>
      </c>
      <c r="Z21" s="122"/>
      <c r="AA21" s="122"/>
      <c r="AB21" s="122" t="s">
        <v>8389</v>
      </c>
      <c r="AC21" s="127" t="s">
        <v>3484</v>
      </c>
      <c r="AD21" s="432"/>
    </row>
    <row r="22" ht="21" spans="1:30">
      <c r="A22" s="432" t="s">
        <v>250</v>
      </c>
      <c r="B22" s="14" t="s">
        <v>8390</v>
      </c>
      <c r="C22" s="792" t="s">
        <v>8391</v>
      </c>
      <c r="D22" s="793" t="s">
        <v>8392</v>
      </c>
      <c r="E22" s="700" t="s">
        <v>43</v>
      </c>
      <c r="F22" s="432" t="s">
        <v>44</v>
      </c>
      <c r="G22" s="700" t="s">
        <v>8271</v>
      </c>
      <c r="H22" s="700"/>
      <c r="I22" s="704" t="s">
        <v>3528</v>
      </c>
      <c r="J22" s="704">
        <v>43164</v>
      </c>
      <c r="K22" s="704">
        <v>43524</v>
      </c>
      <c r="L22" s="704"/>
      <c r="M22" s="432"/>
      <c r="N22" s="640">
        <f ca="1" t="shared" si="5"/>
        <v>251.61546296296</v>
      </c>
      <c r="O22" s="121" t="str">
        <f ca="1" t="shared" si="6"/>
        <v>ACTIVE</v>
      </c>
      <c r="P22" s="800">
        <v>3850000</v>
      </c>
      <c r="Q22" s="800"/>
      <c r="R22" s="431" t="s">
        <v>112</v>
      </c>
      <c r="S22" s="803" t="s">
        <v>113</v>
      </c>
      <c r="T22" s="431" t="s">
        <v>8249</v>
      </c>
      <c r="U22" s="432"/>
      <c r="V22" s="432"/>
      <c r="W22" s="806"/>
      <c r="X22" s="122" t="s">
        <v>8393</v>
      </c>
      <c r="Y22" s="122" t="s">
        <v>8394</v>
      </c>
      <c r="Z22" s="122"/>
      <c r="AA22" s="122"/>
      <c r="AB22" s="122" t="s">
        <v>8395</v>
      </c>
      <c r="AC22" s="127" t="s">
        <v>3484</v>
      </c>
      <c r="AD22" s="432"/>
    </row>
    <row r="23" ht="21" spans="1:30">
      <c r="A23" s="432" t="s">
        <v>261</v>
      </c>
      <c r="B23" s="14" t="s">
        <v>8396</v>
      </c>
      <c r="C23" s="792" t="s">
        <v>8397</v>
      </c>
      <c r="D23" s="793" t="s">
        <v>8398</v>
      </c>
      <c r="E23" s="700"/>
      <c r="F23" s="432"/>
      <c r="G23" s="700" t="s">
        <v>8399</v>
      </c>
      <c r="H23" s="700"/>
      <c r="I23" s="704" t="s">
        <v>3528</v>
      </c>
      <c r="J23" s="704">
        <v>43160</v>
      </c>
      <c r="K23" s="704">
        <v>43524</v>
      </c>
      <c r="L23" s="704" t="s">
        <v>8400</v>
      </c>
      <c r="M23" s="432"/>
      <c r="N23" s="640">
        <f ca="1" t="shared" si="5"/>
        <v>251.61546296296</v>
      </c>
      <c r="O23" s="121" t="str">
        <f ca="1" t="shared" si="6"/>
        <v>ACTIVE</v>
      </c>
      <c r="P23" s="800">
        <v>3800000</v>
      </c>
      <c r="Q23" s="800"/>
      <c r="R23" s="804">
        <v>1500000</v>
      </c>
      <c r="S23" s="803" t="s">
        <v>113</v>
      </c>
      <c r="T23" s="431" t="s">
        <v>8249</v>
      </c>
      <c r="U23" s="807" t="s">
        <v>8401</v>
      </c>
      <c r="V23" s="432"/>
      <c r="W23" s="806"/>
      <c r="X23" s="122" t="s">
        <v>8402</v>
      </c>
      <c r="Y23" s="122" t="s">
        <v>8394</v>
      </c>
      <c r="Z23" s="122"/>
      <c r="AA23" s="122"/>
      <c r="AB23" s="122" t="s">
        <v>8403</v>
      </c>
      <c r="AC23" s="127" t="s">
        <v>3484</v>
      </c>
      <c r="AD23" s="432"/>
    </row>
    <row r="24" ht="21" spans="1:30">
      <c r="A24" s="432" t="s">
        <v>272</v>
      </c>
      <c r="B24" s="14" t="s">
        <v>8404</v>
      </c>
      <c r="C24" s="792" t="s">
        <v>8405</v>
      </c>
      <c r="D24" s="793" t="s">
        <v>8406</v>
      </c>
      <c r="E24" s="700" t="s">
        <v>43</v>
      </c>
      <c r="F24" s="432" t="s">
        <v>44</v>
      </c>
      <c r="G24" s="700" t="s">
        <v>8399</v>
      </c>
      <c r="H24" s="700"/>
      <c r="I24" s="704" t="s">
        <v>3528</v>
      </c>
      <c r="J24" s="704">
        <v>43160</v>
      </c>
      <c r="K24" s="704">
        <v>43524</v>
      </c>
      <c r="L24" s="704" t="s">
        <v>8400</v>
      </c>
      <c r="M24" s="432"/>
      <c r="N24" s="640">
        <f ca="1" t="shared" si="5"/>
        <v>251.61546296296</v>
      </c>
      <c r="O24" s="121" t="str">
        <f ca="1" t="shared" si="6"/>
        <v>ACTIVE</v>
      </c>
      <c r="P24" s="800">
        <v>3800000</v>
      </c>
      <c r="Q24" s="800"/>
      <c r="R24" s="804">
        <v>1500000</v>
      </c>
      <c r="S24" s="803" t="s">
        <v>113</v>
      </c>
      <c r="T24" s="431" t="s">
        <v>8249</v>
      </c>
      <c r="U24" s="807" t="s">
        <v>8401</v>
      </c>
      <c r="V24" s="432"/>
      <c r="W24" s="806"/>
      <c r="X24" s="122" t="s">
        <v>8407</v>
      </c>
      <c r="Y24" s="122" t="s">
        <v>8408</v>
      </c>
      <c r="Z24" s="122"/>
      <c r="AA24" s="122"/>
      <c r="AB24" s="122" t="s">
        <v>8409</v>
      </c>
      <c r="AC24" s="127" t="s">
        <v>3484</v>
      </c>
      <c r="AD24" s="432"/>
    </row>
    <row r="25" ht="21" spans="1:30">
      <c r="A25" s="432" t="s">
        <v>286</v>
      </c>
      <c r="B25" s="14" t="s">
        <v>8410</v>
      </c>
      <c r="C25" s="792" t="s">
        <v>8411</v>
      </c>
      <c r="D25" s="793" t="s">
        <v>8412</v>
      </c>
      <c r="E25" s="700" t="s">
        <v>43</v>
      </c>
      <c r="F25" s="432" t="s">
        <v>44</v>
      </c>
      <c r="G25" s="700" t="s">
        <v>8399</v>
      </c>
      <c r="H25" s="700"/>
      <c r="I25" s="704" t="s">
        <v>3528</v>
      </c>
      <c r="J25" s="704">
        <v>43160</v>
      </c>
      <c r="K25" s="704">
        <v>43524</v>
      </c>
      <c r="L25" s="704" t="s">
        <v>8400</v>
      </c>
      <c r="M25" s="432"/>
      <c r="N25" s="640">
        <f ca="1" t="shared" si="5"/>
        <v>251.61546296296</v>
      </c>
      <c r="O25" s="121" t="str">
        <f ca="1" t="shared" si="6"/>
        <v>ACTIVE</v>
      </c>
      <c r="P25" s="800">
        <v>3800000</v>
      </c>
      <c r="Q25" s="800"/>
      <c r="R25" s="804">
        <v>1500000</v>
      </c>
      <c r="S25" s="803" t="s">
        <v>113</v>
      </c>
      <c r="T25" s="431" t="s">
        <v>8249</v>
      </c>
      <c r="U25" s="807" t="s">
        <v>8401</v>
      </c>
      <c r="V25" s="432"/>
      <c r="W25" s="806"/>
      <c r="X25" s="122" t="s">
        <v>8413</v>
      </c>
      <c r="Y25" s="122" t="s">
        <v>8414</v>
      </c>
      <c r="Z25" s="122"/>
      <c r="AA25" s="122"/>
      <c r="AB25" s="122" t="s">
        <v>8415</v>
      </c>
      <c r="AC25" s="127" t="s">
        <v>3484</v>
      </c>
      <c r="AD25" s="432"/>
    </row>
    <row r="26" ht="21" spans="1:30">
      <c r="A26" s="432" t="s">
        <v>296</v>
      </c>
      <c r="B26" s="14" t="s">
        <v>8416</v>
      </c>
      <c r="C26" s="792" t="s">
        <v>8417</v>
      </c>
      <c r="D26" s="793" t="s">
        <v>8418</v>
      </c>
      <c r="E26" s="700"/>
      <c r="F26" s="432"/>
      <c r="G26" s="700" t="s">
        <v>8399</v>
      </c>
      <c r="H26" s="700"/>
      <c r="I26" s="704" t="s">
        <v>3528</v>
      </c>
      <c r="J26" s="704">
        <v>43160</v>
      </c>
      <c r="K26" s="704">
        <v>43524</v>
      </c>
      <c r="L26" s="704" t="s">
        <v>8400</v>
      </c>
      <c r="M26" s="432"/>
      <c r="N26" s="640">
        <f ca="1" t="shared" si="5"/>
        <v>251.61546296296</v>
      </c>
      <c r="O26" s="121" t="str">
        <f ca="1" t="shared" si="6"/>
        <v>ACTIVE</v>
      </c>
      <c r="P26" s="800">
        <v>3800000</v>
      </c>
      <c r="Q26" s="800"/>
      <c r="R26" s="804">
        <v>1500000</v>
      </c>
      <c r="S26" s="803" t="s">
        <v>113</v>
      </c>
      <c r="T26" s="431" t="s">
        <v>8249</v>
      </c>
      <c r="U26" s="807" t="s">
        <v>8401</v>
      </c>
      <c r="V26" s="432"/>
      <c r="W26" s="806"/>
      <c r="X26" s="122" t="s">
        <v>8419</v>
      </c>
      <c r="Y26" s="122" t="s">
        <v>8420</v>
      </c>
      <c r="Z26" s="122"/>
      <c r="AA26" s="1579" t="s">
        <v>8421</v>
      </c>
      <c r="AB26" s="122" t="s">
        <v>8422</v>
      </c>
      <c r="AC26" s="127" t="s">
        <v>8423</v>
      </c>
      <c r="AD26" s="432"/>
    </row>
    <row r="27" ht="21" spans="1:30">
      <c r="A27" s="432" t="s">
        <v>308</v>
      </c>
      <c r="B27" s="14" t="s">
        <v>8424</v>
      </c>
      <c r="C27" s="792" t="s">
        <v>4524</v>
      </c>
      <c r="D27" s="793" t="s">
        <v>8425</v>
      </c>
      <c r="E27" s="700" t="s">
        <v>43</v>
      </c>
      <c r="F27" s="432" t="s">
        <v>44</v>
      </c>
      <c r="G27" s="700" t="s">
        <v>8248</v>
      </c>
      <c r="H27" s="700"/>
      <c r="I27" s="704" t="s">
        <v>3528</v>
      </c>
      <c r="J27" s="704">
        <v>43234</v>
      </c>
      <c r="K27" s="704">
        <v>43524</v>
      </c>
      <c r="L27" s="704" t="s">
        <v>583</v>
      </c>
      <c r="M27" s="432"/>
      <c r="N27" s="640">
        <f ca="1" t="shared" si="5"/>
        <v>251.61546296296</v>
      </c>
      <c r="O27" s="121" t="str">
        <f ca="1" t="shared" si="6"/>
        <v>ACTIVE</v>
      </c>
      <c r="P27" s="800">
        <v>3850000</v>
      </c>
      <c r="Q27" s="800"/>
      <c r="R27" s="747"/>
      <c r="S27" s="803" t="s">
        <v>113</v>
      </c>
      <c r="T27" s="431" t="s">
        <v>8249</v>
      </c>
      <c r="U27" s="432"/>
      <c r="V27" s="432" t="s">
        <v>8426</v>
      </c>
      <c r="W27" s="1583" t="s">
        <v>8427</v>
      </c>
      <c r="X27" s="1579" t="s">
        <v>8428</v>
      </c>
      <c r="Y27" s="1579" t="s">
        <v>8429</v>
      </c>
      <c r="Z27" s="122"/>
      <c r="AA27" s="122"/>
      <c r="AB27" s="122" t="s">
        <v>8430</v>
      </c>
      <c r="AC27" s="127" t="s">
        <v>8431</v>
      </c>
      <c r="AD27" s="432"/>
    </row>
    <row r="28" ht="21" spans="1:30">
      <c r="A28" s="432" t="s">
        <v>320</v>
      </c>
      <c r="B28" s="14" t="s">
        <v>8432</v>
      </c>
      <c r="C28" s="792" t="s">
        <v>8433</v>
      </c>
      <c r="D28" s="793" t="s">
        <v>8434</v>
      </c>
      <c r="E28" s="700" t="s">
        <v>125</v>
      </c>
      <c r="F28" s="432" t="s">
        <v>6039</v>
      </c>
      <c r="G28" s="700" t="s">
        <v>8248</v>
      </c>
      <c r="H28" s="700"/>
      <c r="I28" s="704" t="s">
        <v>3528</v>
      </c>
      <c r="J28" s="704">
        <v>43221</v>
      </c>
      <c r="K28" s="704">
        <v>43524</v>
      </c>
      <c r="L28" s="704"/>
      <c r="M28" s="432"/>
      <c r="N28" s="640">
        <f ca="1" t="shared" ref="N28" si="7">SUM(K28-NOW())</f>
        <v>251.61546296296</v>
      </c>
      <c r="O28" s="121" t="str">
        <f ca="1" t="shared" ref="O28" si="8">IF(N28&lt;=40,"WARNING","ACTIVE")</f>
        <v>ACTIVE</v>
      </c>
      <c r="P28" s="800">
        <v>4050000</v>
      </c>
      <c r="Q28" s="800" t="s">
        <v>583</v>
      </c>
      <c r="R28" s="747"/>
      <c r="S28" s="803" t="s">
        <v>113</v>
      </c>
      <c r="T28" s="431" t="s">
        <v>8249</v>
      </c>
      <c r="U28" s="432"/>
      <c r="V28" s="432" t="s">
        <v>8435</v>
      </c>
      <c r="W28" s="1583" t="s">
        <v>8436</v>
      </c>
      <c r="X28" s="1579" t="s">
        <v>8437</v>
      </c>
      <c r="Y28" s="1579" t="s">
        <v>8438</v>
      </c>
      <c r="Z28" s="122"/>
      <c r="AA28" s="122"/>
      <c r="AB28" s="122" t="s">
        <v>8439</v>
      </c>
      <c r="AC28" s="127" t="s">
        <v>8440</v>
      </c>
      <c r="AD28" s="432"/>
    </row>
    <row r="29" s="155" customFormat="1" ht="24" spans="1:30">
      <c r="A29" s="180" t="s">
        <v>333</v>
      </c>
      <c r="B29" s="32"/>
      <c r="C29" s="794" t="s">
        <v>8441</v>
      </c>
      <c r="D29" s="795" t="s">
        <v>8442</v>
      </c>
      <c r="E29" s="764"/>
      <c r="F29" s="180"/>
      <c r="G29" s="764" t="s">
        <v>8271</v>
      </c>
      <c r="H29" s="764"/>
      <c r="I29" s="768" t="s">
        <v>3528</v>
      </c>
      <c r="J29" s="768">
        <v>43241</v>
      </c>
      <c r="K29" s="768">
        <v>43524</v>
      </c>
      <c r="L29" s="768" t="s">
        <v>583</v>
      </c>
      <c r="M29" s="180"/>
      <c r="N29" s="641">
        <f ca="1" t="shared" ref="N29" si="9">SUM(K29-NOW())</f>
        <v>251.61546296296</v>
      </c>
      <c r="O29" s="187" t="str">
        <f ca="1" t="shared" ref="O29" si="10">IF(N29&lt;=40,"WARNING","ACTIVE")</f>
        <v>ACTIVE</v>
      </c>
      <c r="P29" s="801">
        <v>3850000</v>
      </c>
      <c r="Q29" s="801"/>
      <c r="R29" s="774"/>
      <c r="S29" s="805" t="s">
        <v>113</v>
      </c>
      <c r="T29" s="764" t="s">
        <v>8249</v>
      </c>
      <c r="U29" s="180"/>
      <c r="V29" s="180" t="s">
        <v>8443</v>
      </c>
      <c r="W29" s="446"/>
      <c r="X29" s="224"/>
      <c r="Y29" s="224"/>
      <c r="Z29" s="224"/>
      <c r="AA29" s="224"/>
      <c r="AB29" s="224"/>
      <c r="AC29" s="229" t="s">
        <v>8444</v>
      </c>
      <c r="AD29" s="180" t="s">
        <v>2253</v>
      </c>
    </row>
    <row r="30" ht="12.75" spans="2:22">
      <c r="B30" s="796"/>
      <c r="C30" s="796"/>
      <c r="D30" s="796"/>
      <c r="G30" s="796"/>
      <c r="I30" s="796"/>
      <c r="J30" s="796"/>
      <c r="K30" s="796"/>
      <c r="L30" s="796"/>
      <c r="P30" s="796"/>
      <c r="V30" s="796"/>
    </row>
    <row r="31" ht="13.5" spans="2:22">
      <c r="B31" s="796"/>
      <c r="C31" s="796"/>
      <c r="D31" s="796"/>
      <c r="G31" s="796"/>
      <c r="I31" s="796"/>
      <c r="J31" s="796"/>
      <c r="K31" s="796"/>
      <c r="L31" s="796"/>
      <c r="P31" s="796"/>
      <c r="V31" s="796"/>
    </row>
    <row r="32" ht="14.1" customHeight="1" spans="1:2">
      <c r="A32" s="797" t="s">
        <v>2552</v>
      </c>
      <c r="B32" s="670"/>
    </row>
    <row r="33" ht="14.1" customHeight="1" spans="1:30">
      <c r="A33" s="180" t="s">
        <v>92</v>
      </c>
      <c r="B33" s="467"/>
      <c r="C33" s="794" t="s">
        <v>8445</v>
      </c>
      <c r="D33" s="795" t="s">
        <v>583</v>
      </c>
      <c r="E33" s="764"/>
      <c r="F33" s="180"/>
      <c r="G33" s="795" t="s">
        <v>8248</v>
      </c>
      <c r="H33" s="764"/>
      <c r="I33" s="768" t="s">
        <v>3528</v>
      </c>
      <c r="J33" s="768">
        <v>42795</v>
      </c>
      <c r="K33" s="768">
        <v>43159</v>
      </c>
      <c r="L33" s="180"/>
      <c r="M33" s="180"/>
      <c r="N33" s="641"/>
      <c r="O33" s="187"/>
      <c r="P33" s="801">
        <v>3355750</v>
      </c>
      <c r="Q33" s="179">
        <v>350000</v>
      </c>
      <c r="R33" s="764" t="s">
        <v>112</v>
      </c>
      <c r="S33" s="805" t="s">
        <v>113</v>
      </c>
      <c r="T33" s="764" t="s">
        <v>8249</v>
      </c>
      <c r="U33" s="180"/>
      <c r="V33" s="180" t="s">
        <v>583</v>
      </c>
      <c r="W33" s="446"/>
      <c r="X33" s="224"/>
      <c r="Y33" s="224"/>
      <c r="Z33" s="224"/>
      <c r="AA33" s="224"/>
      <c r="AB33" s="224"/>
      <c r="AC33" s="224"/>
      <c r="AD33" s="180" t="s">
        <v>2253</v>
      </c>
    </row>
    <row r="34" ht="14.1" customHeight="1" spans="1:30">
      <c r="A34" s="180" t="s">
        <v>146</v>
      </c>
      <c r="B34" s="467"/>
      <c r="C34" s="794" t="s">
        <v>8446</v>
      </c>
      <c r="D34" s="795" t="s">
        <v>583</v>
      </c>
      <c r="E34" s="764"/>
      <c r="F34" s="180"/>
      <c r="G34" s="795" t="s">
        <v>8248</v>
      </c>
      <c r="H34" s="764"/>
      <c r="I34" s="768" t="s">
        <v>3528</v>
      </c>
      <c r="J34" s="768">
        <v>42795</v>
      </c>
      <c r="K34" s="768">
        <v>43159</v>
      </c>
      <c r="L34" s="180"/>
      <c r="M34" s="180"/>
      <c r="N34" s="641"/>
      <c r="O34" s="187"/>
      <c r="P34" s="801">
        <v>3355750</v>
      </c>
      <c r="Q34" s="179">
        <v>350000</v>
      </c>
      <c r="R34" s="764" t="s">
        <v>112</v>
      </c>
      <c r="S34" s="805" t="s">
        <v>113</v>
      </c>
      <c r="T34" s="764" t="s">
        <v>8249</v>
      </c>
      <c r="U34" s="180"/>
      <c r="V34" s="180" t="s">
        <v>583</v>
      </c>
      <c r="W34" s="446"/>
      <c r="X34" s="224"/>
      <c r="Y34" s="224"/>
      <c r="Z34" s="224"/>
      <c r="AA34" s="224"/>
      <c r="AB34" s="224"/>
      <c r="AC34" s="224"/>
      <c r="AD34" s="180" t="s">
        <v>2253</v>
      </c>
    </row>
    <row r="35" ht="14.1" customHeight="1" spans="1:30">
      <c r="A35" s="180" t="s">
        <v>239</v>
      </c>
      <c r="B35" s="467"/>
      <c r="C35" s="794" t="s">
        <v>8447</v>
      </c>
      <c r="D35" s="795" t="s">
        <v>583</v>
      </c>
      <c r="E35" s="764"/>
      <c r="F35" s="180"/>
      <c r="G35" s="795" t="s">
        <v>8248</v>
      </c>
      <c r="H35" s="764"/>
      <c r="I35" s="768" t="s">
        <v>3528</v>
      </c>
      <c r="J35" s="768">
        <v>42795</v>
      </c>
      <c r="K35" s="768">
        <v>43159</v>
      </c>
      <c r="L35" s="180"/>
      <c r="M35" s="180"/>
      <c r="N35" s="641"/>
      <c r="O35" s="187"/>
      <c r="P35" s="801">
        <v>3355750</v>
      </c>
      <c r="Q35" s="179">
        <v>350000</v>
      </c>
      <c r="R35" s="764" t="s">
        <v>112</v>
      </c>
      <c r="S35" s="805" t="s">
        <v>113</v>
      </c>
      <c r="T35" s="764" t="s">
        <v>8249</v>
      </c>
      <c r="U35" s="180"/>
      <c r="V35" s="180" t="s">
        <v>583</v>
      </c>
      <c r="W35" s="446"/>
      <c r="X35" s="224"/>
      <c r="Y35" s="224"/>
      <c r="Z35" s="224"/>
      <c r="AA35" s="224"/>
      <c r="AB35" s="224"/>
      <c r="AC35" s="224"/>
      <c r="AD35" s="180" t="s">
        <v>2253</v>
      </c>
    </row>
    <row r="36" ht="14.1" customHeight="1" spans="1:30">
      <c r="A36" s="180" t="s">
        <v>215</v>
      </c>
      <c r="B36" s="467"/>
      <c r="C36" s="794" t="s">
        <v>8448</v>
      </c>
      <c r="D36" s="795" t="s">
        <v>8449</v>
      </c>
      <c r="E36" s="764" t="s">
        <v>43</v>
      </c>
      <c r="F36" s="180" t="s">
        <v>44</v>
      </c>
      <c r="G36" s="795" t="s">
        <v>8248</v>
      </c>
      <c r="H36" s="764"/>
      <c r="I36" s="768" t="s">
        <v>3528</v>
      </c>
      <c r="J36" s="768">
        <v>42795</v>
      </c>
      <c r="K36" s="768">
        <v>43159</v>
      </c>
      <c r="L36" s="180"/>
      <c r="M36" s="180"/>
      <c r="N36" s="641"/>
      <c r="O36" s="187"/>
      <c r="P36" s="801">
        <v>3355750</v>
      </c>
      <c r="Q36" s="179">
        <v>300000</v>
      </c>
      <c r="R36" s="764" t="s">
        <v>112</v>
      </c>
      <c r="S36" s="805" t="s">
        <v>113</v>
      </c>
      <c r="T36" s="764" t="s">
        <v>8249</v>
      </c>
      <c r="U36" s="180"/>
      <c r="V36" s="180" t="s">
        <v>8450</v>
      </c>
      <c r="W36" s="446" t="s">
        <v>8451</v>
      </c>
      <c r="X36" s="224" t="s">
        <v>8452</v>
      </c>
      <c r="Y36" s="224"/>
      <c r="Z36" s="224"/>
      <c r="AA36" s="224"/>
      <c r="AB36" s="224" t="s">
        <v>8453</v>
      </c>
      <c r="AC36" s="229" t="s">
        <v>8454</v>
      </c>
      <c r="AD36" s="180" t="s">
        <v>8455</v>
      </c>
    </row>
    <row r="37" ht="14.1" customHeight="1" spans="1:30">
      <c r="A37" s="180" t="s">
        <v>204</v>
      </c>
      <c r="B37" s="467" t="s">
        <v>8456</v>
      </c>
      <c r="C37" s="794" t="s">
        <v>8457</v>
      </c>
      <c r="D37" s="795" t="s">
        <v>8458</v>
      </c>
      <c r="E37" s="764" t="s">
        <v>43</v>
      </c>
      <c r="F37" s="180" t="s">
        <v>44</v>
      </c>
      <c r="G37" s="795" t="s">
        <v>8271</v>
      </c>
      <c r="H37" s="764"/>
      <c r="I37" s="768" t="s">
        <v>3528</v>
      </c>
      <c r="J37" s="768">
        <v>42795</v>
      </c>
      <c r="K37" s="768">
        <v>43159</v>
      </c>
      <c r="L37" s="180"/>
      <c r="M37" s="180"/>
      <c r="N37" s="641">
        <f ca="1" t="shared" ref="N37:N43" si="11">SUM(K37-NOW())</f>
        <v>-113.38453703704</v>
      </c>
      <c r="O37" s="187" t="str">
        <f ca="1" t="shared" ref="O37:O43" si="12">IF(N37&lt;=40,"WARNING","ACTIVE")</f>
        <v>WARNING</v>
      </c>
      <c r="P37" s="801">
        <v>3355750</v>
      </c>
      <c r="Q37" s="179">
        <v>300000</v>
      </c>
      <c r="R37" s="764" t="s">
        <v>112</v>
      </c>
      <c r="S37" s="805" t="s">
        <v>113</v>
      </c>
      <c r="T37" s="764" t="s">
        <v>8249</v>
      </c>
      <c r="U37" s="180"/>
      <c r="V37" s="180" t="s">
        <v>8459</v>
      </c>
      <c r="W37" s="446" t="s">
        <v>8460</v>
      </c>
      <c r="X37" s="224" t="s">
        <v>8461</v>
      </c>
      <c r="Y37" s="224"/>
      <c r="Z37" s="224" t="s">
        <v>8462</v>
      </c>
      <c r="AA37" s="224" t="s">
        <v>8463</v>
      </c>
      <c r="AB37" s="224" t="s">
        <v>8464</v>
      </c>
      <c r="AC37" s="229" t="s">
        <v>8465</v>
      </c>
      <c r="AD37" s="180" t="s">
        <v>8466</v>
      </c>
    </row>
    <row r="38" ht="14.1" customHeight="1" spans="1:30">
      <c r="A38" s="180" t="s">
        <v>157</v>
      </c>
      <c r="B38" s="467" t="s">
        <v>8467</v>
      </c>
      <c r="C38" s="794" t="s">
        <v>8468</v>
      </c>
      <c r="D38" s="795" t="s">
        <v>8469</v>
      </c>
      <c r="E38" s="764" t="s">
        <v>125</v>
      </c>
      <c r="F38" s="180" t="s">
        <v>44</v>
      </c>
      <c r="G38" s="795" t="s">
        <v>8248</v>
      </c>
      <c r="H38" s="764"/>
      <c r="I38" s="768" t="s">
        <v>3528</v>
      </c>
      <c r="J38" s="768">
        <v>42795</v>
      </c>
      <c r="K38" s="768">
        <v>43159</v>
      </c>
      <c r="L38" s="180"/>
      <c r="M38" s="180"/>
      <c r="N38" s="641">
        <f ca="1" t="shared" si="11"/>
        <v>-113.38453703704</v>
      </c>
      <c r="O38" s="187" t="str">
        <f ca="1" t="shared" si="12"/>
        <v>WARNING</v>
      </c>
      <c r="P38" s="801">
        <v>3355750</v>
      </c>
      <c r="Q38" s="179">
        <v>350000</v>
      </c>
      <c r="R38" s="764" t="s">
        <v>112</v>
      </c>
      <c r="S38" s="805" t="s">
        <v>113</v>
      </c>
      <c r="T38" s="764" t="s">
        <v>8249</v>
      </c>
      <c r="U38" s="180"/>
      <c r="V38" s="180" t="s">
        <v>8470</v>
      </c>
      <c r="W38" s="446" t="s">
        <v>8471</v>
      </c>
      <c r="X38" s="224" t="s">
        <v>8472</v>
      </c>
      <c r="Y38" s="224"/>
      <c r="Z38" s="224"/>
      <c r="AA38" s="224"/>
      <c r="AB38" s="224" t="s">
        <v>8473</v>
      </c>
      <c r="AC38" s="229" t="s">
        <v>8474</v>
      </c>
      <c r="AD38" s="810" t="s">
        <v>8475</v>
      </c>
    </row>
    <row r="39" ht="14.1" customHeight="1" spans="1:30">
      <c r="A39" s="432" t="s">
        <v>107</v>
      </c>
      <c r="B39" s="467" t="s">
        <v>8476</v>
      </c>
      <c r="C39" s="794" t="s">
        <v>8477</v>
      </c>
      <c r="D39" s="795" t="s">
        <v>8478</v>
      </c>
      <c r="E39" s="764" t="s">
        <v>43</v>
      </c>
      <c r="F39" s="180" t="s">
        <v>44</v>
      </c>
      <c r="G39" s="795" t="s">
        <v>8248</v>
      </c>
      <c r="H39" s="764"/>
      <c r="I39" s="768" t="s">
        <v>3528</v>
      </c>
      <c r="J39" s="768">
        <v>42795</v>
      </c>
      <c r="K39" s="768">
        <v>43159</v>
      </c>
      <c r="L39" s="180"/>
      <c r="M39" s="180"/>
      <c r="N39" s="641">
        <v>158.409732291664</v>
      </c>
      <c r="O39" s="187" t="s">
        <v>745</v>
      </c>
      <c r="P39" s="801">
        <v>3355750</v>
      </c>
      <c r="Q39" s="179">
        <v>350000</v>
      </c>
      <c r="R39" s="764" t="s">
        <v>112</v>
      </c>
      <c r="S39" s="805" t="s">
        <v>113</v>
      </c>
      <c r="T39" s="764" t="s">
        <v>8249</v>
      </c>
      <c r="U39" s="180"/>
      <c r="V39" s="180" t="s">
        <v>8479</v>
      </c>
      <c r="W39" s="446" t="s">
        <v>8480</v>
      </c>
      <c r="X39" s="224" t="s">
        <v>8481</v>
      </c>
      <c r="Y39" s="224"/>
      <c r="Z39" s="224"/>
      <c r="AA39" s="224"/>
      <c r="AB39" s="224" t="s">
        <v>8482</v>
      </c>
      <c r="AC39" s="229" t="s">
        <v>8483</v>
      </c>
      <c r="AD39" s="180" t="s">
        <v>8484</v>
      </c>
    </row>
    <row r="40" ht="14.1" customHeight="1" spans="1:30">
      <c r="A40" s="180" t="s">
        <v>261</v>
      </c>
      <c r="B40" s="467" t="s">
        <v>8485</v>
      </c>
      <c r="C40" s="794" t="s">
        <v>8486</v>
      </c>
      <c r="D40" s="795" t="s">
        <v>8487</v>
      </c>
      <c r="E40" s="764" t="s">
        <v>125</v>
      </c>
      <c r="F40" s="180" t="s">
        <v>44</v>
      </c>
      <c r="G40" s="764" t="s">
        <v>8248</v>
      </c>
      <c r="H40" s="764"/>
      <c r="I40" s="768" t="s">
        <v>3528</v>
      </c>
      <c r="J40" s="768">
        <v>42893</v>
      </c>
      <c r="K40" s="798">
        <v>42984</v>
      </c>
      <c r="L40" s="180"/>
      <c r="M40" s="180"/>
      <c r="N40" s="641">
        <v>-16.5902677083359</v>
      </c>
      <c r="O40" s="187" t="s">
        <v>2569</v>
      </c>
      <c r="P40" s="801">
        <v>3355750</v>
      </c>
      <c r="Q40" s="179">
        <v>350000</v>
      </c>
      <c r="R40" s="764" t="s">
        <v>112</v>
      </c>
      <c r="S40" s="805" t="s">
        <v>113</v>
      </c>
      <c r="T40" s="764" t="s">
        <v>8249</v>
      </c>
      <c r="U40" s="180"/>
      <c r="V40" s="180" t="s">
        <v>8488</v>
      </c>
      <c r="W40" s="1584" t="s">
        <v>8489</v>
      </c>
      <c r="X40" s="1581" t="s">
        <v>8490</v>
      </c>
      <c r="Y40" s="1581" t="s">
        <v>8491</v>
      </c>
      <c r="Z40" s="224"/>
      <c r="AA40" s="224"/>
      <c r="AB40" s="224" t="s">
        <v>8492</v>
      </c>
      <c r="AC40" s="229" t="s">
        <v>8493</v>
      </c>
      <c r="AD40" s="180" t="s">
        <v>8494</v>
      </c>
    </row>
    <row r="41" ht="14.1" customHeight="1" spans="1:30">
      <c r="A41" s="180" t="s">
        <v>92</v>
      </c>
      <c r="B41" s="467" t="s">
        <v>8495</v>
      </c>
      <c r="C41" s="794" t="s">
        <v>8496</v>
      </c>
      <c r="D41" s="795" t="s">
        <v>8497</v>
      </c>
      <c r="E41" s="764" t="s">
        <v>125</v>
      </c>
      <c r="F41" s="180" t="s">
        <v>1110</v>
      </c>
      <c r="G41" s="795" t="s">
        <v>8248</v>
      </c>
      <c r="H41" s="764"/>
      <c r="I41" s="768" t="s">
        <v>3528</v>
      </c>
      <c r="J41" s="768">
        <v>42795</v>
      </c>
      <c r="K41" s="768">
        <v>43159</v>
      </c>
      <c r="L41" s="180"/>
      <c r="M41" s="180"/>
      <c r="N41" s="641">
        <f ca="1" t="shared" si="11"/>
        <v>-113.38453703704</v>
      </c>
      <c r="O41" s="187" t="str">
        <f ca="1" t="shared" si="12"/>
        <v>WARNING</v>
      </c>
      <c r="P41" s="801">
        <v>3410000</v>
      </c>
      <c r="Q41" s="179">
        <v>350000</v>
      </c>
      <c r="R41" s="764" t="s">
        <v>112</v>
      </c>
      <c r="S41" s="805" t="s">
        <v>113</v>
      </c>
      <c r="T41" s="764" t="s">
        <v>8249</v>
      </c>
      <c r="U41" s="180"/>
      <c r="V41" s="180" t="s">
        <v>8498</v>
      </c>
      <c r="W41" s="446" t="s">
        <v>8499</v>
      </c>
      <c r="X41" s="224" t="s">
        <v>8500</v>
      </c>
      <c r="Y41" s="224" t="s">
        <v>8501</v>
      </c>
      <c r="Z41" s="224" t="s">
        <v>8502</v>
      </c>
      <c r="AA41" s="224" t="s">
        <v>8503</v>
      </c>
      <c r="AB41" s="224" t="s">
        <v>8504</v>
      </c>
      <c r="AC41" s="229" t="s">
        <v>8505</v>
      </c>
      <c r="AD41" s="180" t="s">
        <v>8506</v>
      </c>
    </row>
    <row r="42" ht="14.1" customHeight="1" spans="1:30">
      <c r="A42" s="432" t="s">
        <v>107</v>
      </c>
      <c r="B42" s="467" t="s">
        <v>8507</v>
      </c>
      <c r="C42" s="794" t="s">
        <v>8508</v>
      </c>
      <c r="D42" s="795" t="s">
        <v>973</v>
      </c>
      <c r="E42" s="764" t="s">
        <v>43</v>
      </c>
      <c r="F42" s="180" t="s">
        <v>44</v>
      </c>
      <c r="G42" s="795" t="s">
        <v>8248</v>
      </c>
      <c r="H42" s="764"/>
      <c r="I42" s="768" t="s">
        <v>3528</v>
      </c>
      <c r="J42" s="768">
        <v>42795</v>
      </c>
      <c r="K42" s="768">
        <v>43159</v>
      </c>
      <c r="L42" s="180"/>
      <c r="M42" s="180"/>
      <c r="N42" s="641">
        <f ca="1" t="shared" si="11"/>
        <v>-113.38453703704</v>
      </c>
      <c r="O42" s="187" t="str">
        <f ca="1" t="shared" si="12"/>
        <v>WARNING</v>
      </c>
      <c r="P42" s="801">
        <v>3355750</v>
      </c>
      <c r="Q42" s="179">
        <v>350000</v>
      </c>
      <c r="R42" s="764" t="s">
        <v>112</v>
      </c>
      <c r="S42" s="805" t="s">
        <v>113</v>
      </c>
      <c r="T42" s="764" t="s">
        <v>8249</v>
      </c>
      <c r="U42" s="180"/>
      <c r="V42" s="180" t="s">
        <v>8509</v>
      </c>
      <c r="W42" s="446"/>
      <c r="X42" s="224" t="s">
        <v>8510</v>
      </c>
      <c r="Y42" s="224" t="s">
        <v>8511</v>
      </c>
      <c r="Z42" s="224"/>
      <c r="AA42" s="224"/>
      <c r="AB42" s="224" t="s">
        <v>8512</v>
      </c>
      <c r="AC42" s="224"/>
      <c r="AD42" s="810" t="s">
        <v>8513</v>
      </c>
    </row>
    <row r="43" ht="14.1" customHeight="1" spans="1:30">
      <c r="A43" s="180" t="s">
        <v>239</v>
      </c>
      <c r="B43" s="467" t="s">
        <v>8514</v>
      </c>
      <c r="C43" s="794" t="s">
        <v>8515</v>
      </c>
      <c r="D43" s="795" t="s">
        <v>8516</v>
      </c>
      <c r="E43" s="764" t="s">
        <v>43</v>
      </c>
      <c r="F43" s="180" t="s">
        <v>44</v>
      </c>
      <c r="G43" s="764" t="s">
        <v>8271</v>
      </c>
      <c r="H43" s="764"/>
      <c r="I43" s="768" t="s">
        <v>3528</v>
      </c>
      <c r="J43" s="768">
        <v>42857</v>
      </c>
      <c r="K43" s="768">
        <v>43159</v>
      </c>
      <c r="L43" s="180"/>
      <c r="M43" s="180"/>
      <c r="N43" s="641">
        <f ca="1" t="shared" si="11"/>
        <v>-113.38453703704</v>
      </c>
      <c r="O43" s="187" t="str">
        <f ca="1" t="shared" si="12"/>
        <v>WARNING</v>
      </c>
      <c r="P43" s="801">
        <v>3355750</v>
      </c>
      <c r="Q43" s="179">
        <v>300000</v>
      </c>
      <c r="R43" s="764" t="s">
        <v>112</v>
      </c>
      <c r="S43" s="805" t="s">
        <v>113</v>
      </c>
      <c r="T43" s="764" t="s">
        <v>8249</v>
      </c>
      <c r="U43" s="180"/>
      <c r="V43" s="180" t="s">
        <v>8517</v>
      </c>
      <c r="W43" s="446" t="s">
        <v>8518</v>
      </c>
      <c r="X43" s="224" t="s">
        <v>8519</v>
      </c>
      <c r="Y43" s="224" t="s">
        <v>8520</v>
      </c>
      <c r="Z43" s="224"/>
      <c r="AA43" s="224"/>
      <c r="AB43" s="224" t="s">
        <v>8521</v>
      </c>
      <c r="AC43" s="229" t="s">
        <v>8522</v>
      </c>
      <c r="AD43" s="180" t="s">
        <v>8523</v>
      </c>
    </row>
    <row r="44" ht="14.1" customHeight="1" spans="1:30">
      <c r="A44" s="180" t="s">
        <v>56</v>
      </c>
      <c r="B44" s="467" t="s">
        <v>8524</v>
      </c>
      <c r="C44" s="794" t="s">
        <v>8525</v>
      </c>
      <c r="D44" s="795" t="s">
        <v>8526</v>
      </c>
      <c r="E44" s="764"/>
      <c r="F44" s="180"/>
      <c r="G44" s="795" t="s">
        <v>8248</v>
      </c>
      <c r="H44" s="764"/>
      <c r="I44" s="768" t="s">
        <v>3528</v>
      </c>
      <c r="J44" s="768">
        <v>42795</v>
      </c>
      <c r="K44" s="768">
        <v>43159</v>
      </c>
      <c r="L44" s="180"/>
      <c r="M44" s="180"/>
      <c r="N44" s="641">
        <v>19.359152546298</v>
      </c>
      <c r="O44" s="187" t="s">
        <v>2569</v>
      </c>
      <c r="P44" s="801">
        <v>3671470</v>
      </c>
      <c r="Q44" s="179">
        <v>350000</v>
      </c>
      <c r="R44" s="764" t="s">
        <v>112</v>
      </c>
      <c r="S44" s="805" t="s">
        <v>113</v>
      </c>
      <c r="T44" s="764" t="s">
        <v>8249</v>
      </c>
      <c r="U44" s="180"/>
      <c r="V44" s="180" t="s">
        <v>8527</v>
      </c>
      <c r="W44" s="446" t="s">
        <v>8528</v>
      </c>
      <c r="X44" s="224" t="s">
        <v>8529</v>
      </c>
      <c r="Y44" s="224" t="s">
        <v>8530</v>
      </c>
      <c r="Z44" s="224"/>
      <c r="AA44" s="224"/>
      <c r="AB44" s="224" t="s">
        <v>8531</v>
      </c>
      <c r="AC44" s="229" t="s">
        <v>8532</v>
      </c>
      <c r="AD44" s="180" t="s">
        <v>3251</v>
      </c>
    </row>
    <row r="45" ht="14.1" customHeight="1" spans="1:30">
      <c r="A45" s="180" t="s">
        <v>215</v>
      </c>
      <c r="B45" s="467" t="s">
        <v>8533</v>
      </c>
      <c r="C45" s="794" t="s">
        <v>8534</v>
      </c>
      <c r="D45" s="795" t="s">
        <v>8535</v>
      </c>
      <c r="E45" s="764" t="s">
        <v>125</v>
      </c>
      <c r="F45" s="180" t="s">
        <v>44</v>
      </c>
      <c r="G45" s="795" t="s">
        <v>8248</v>
      </c>
      <c r="H45" s="764"/>
      <c r="I45" s="768" t="s">
        <v>3528</v>
      </c>
      <c r="J45" s="768">
        <v>42801</v>
      </c>
      <c r="K45" s="768">
        <v>43159</v>
      </c>
      <c r="L45" s="180"/>
      <c r="M45" s="180"/>
      <c r="N45" s="641">
        <v>19.359152546298</v>
      </c>
      <c r="O45" s="187" t="s">
        <v>2569</v>
      </c>
      <c r="P45" s="801">
        <v>3355750</v>
      </c>
      <c r="Q45" s="179">
        <v>350000</v>
      </c>
      <c r="R45" s="764" t="s">
        <v>112</v>
      </c>
      <c r="S45" s="805" t="s">
        <v>113</v>
      </c>
      <c r="T45" s="764" t="s">
        <v>8249</v>
      </c>
      <c r="U45" s="180"/>
      <c r="V45" s="180" t="s">
        <v>8536</v>
      </c>
      <c r="W45" s="446"/>
      <c r="X45" s="1581" t="s">
        <v>8537</v>
      </c>
      <c r="Y45" s="224"/>
      <c r="Z45" s="224"/>
      <c r="AA45" s="224"/>
      <c r="AB45" s="1581" t="s">
        <v>8538</v>
      </c>
      <c r="AC45" s="224" t="s">
        <v>8539</v>
      </c>
      <c r="AD45" s="180" t="s">
        <v>3251</v>
      </c>
    </row>
    <row r="46" ht="14.1" customHeight="1" spans="1:30">
      <c r="A46" s="180" t="s">
        <v>261</v>
      </c>
      <c r="B46" s="467" t="s">
        <v>8540</v>
      </c>
      <c r="C46" s="794" t="s">
        <v>8541</v>
      </c>
      <c r="D46" s="795" t="s">
        <v>8542</v>
      </c>
      <c r="E46" s="764" t="s">
        <v>125</v>
      </c>
      <c r="F46" s="180" t="s">
        <v>44</v>
      </c>
      <c r="G46" s="764" t="s">
        <v>8248</v>
      </c>
      <c r="H46" s="764"/>
      <c r="I46" s="768" t="s">
        <v>3528</v>
      </c>
      <c r="J46" s="768">
        <v>42947</v>
      </c>
      <c r="K46" s="768">
        <v>43311</v>
      </c>
      <c r="L46" s="180"/>
      <c r="M46" s="180"/>
      <c r="N46" s="641">
        <v>171.359152546298</v>
      </c>
      <c r="O46" s="187" t="s">
        <v>745</v>
      </c>
      <c r="P46" s="801">
        <v>3355750</v>
      </c>
      <c r="Q46" s="179">
        <v>350000</v>
      </c>
      <c r="R46" s="764" t="s">
        <v>112</v>
      </c>
      <c r="S46" s="805" t="s">
        <v>113</v>
      </c>
      <c r="T46" s="764" t="s">
        <v>8249</v>
      </c>
      <c r="U46" s="180"/>
      <c r="V46" s="180" t="s">
        <v>8543</v>
      </c>
      <c r="W46" s="446" t="s">
        <v>8544</v>
      </c>
      <c r="X46" s="224" t="s">
        <v>8545</v>
      </c>
      <c r="Y46" s="224" t="s">
        <v>8546</v>
      </c>
      <c r="Z46" s="224"/>
      <c r="AA46" s="224"/>
      <c r="AB46" s="224" t="s">
        <v>8547</v>
      </c>
      <c r="AC46" s="229" t="s">
        <v>8548</v>
      </c>
      <c r="AD46" s="180" t="s">
        <v>8549</v>
      </c>
    </row>
    <row r="47" ht="14.1" customHeight="1" spans="1:30">
      <c r="A47" s="180" t="s">
        <v>320</v>
      </c>
      <c r="B47" s="32"/>
      <c r="C47" s="794" t="s">
        <v>8550</v>
      </c>
      <c r="D47" s="795" t="s">
        <v>8551</v>
      </c>
      <c r="E47" s="764"/>
      <c r="F47" s="180"/>
      <c r="G47" s="764" t="s">
        <v>8248</v>
      </c>
      <c r="H47" s="764"/>
      <c r="I47" s="768" t="s">
        <v>3528</v>
      </c>
      <c r="J47" s="768">
        <v>43132</v>
      </c>
      <c r="K47" s="768">
        <v>43159</v>
      </c>
      <c r="L47" s="180"/>
      <c r="M47" s="180"/>
      <c r="N47" s="641">
        <v>19.359152546298</v>
      </c>
      <c r="O47" s="187" t="s">
        <v>2569</v>
      </c>
      <c r="P47" s="801">
        <v>3355750</v>
      </c>
      <c r="Q47" s="179">
        <v>350000</v>
      </c>
      <c r="R47" s="764" t="s">
        <v>112</v>
      </c>
      <c r="S47" s="805" t="s">
        <v>113</v>
      </c>
      <c r="T47" s="764" t="s">
        <v>8249</v>
      </c>
      <c r="U47" s="180"/>
      <c r="V47" s="180" t="s">
        <v>8552</v>
      </c>
      <c r="W47" s="446"/>
      <c r="X47" s="224"/>
      <c r="Y47" s="224"/>
      <c r="Z47" s="224"/>
      <c r="AA47" s="224"/>
      <c r="AB47" s="224"/>
      <c r="AC47" s="229"/>
      <c r="AD47" s="180" t="s">
        <v>2253</v>
      </c>
    </row>
    <row r="48" s="155" customFormat="1" ht="14.1" customHeight="1" spans="1:30">
      <c r="A48" s="180" t="s">
        <v>56</v>
      </c>
      <c r="B48" s="467" t="s">
        <v>8553</v>
      </c>
      <c r="C48" s="794" t="s">
        <v>8554</v>
      </c>
      <c r="D48" s="795" t="s">
        <v>8555</v>
      </c>
      <c r="E48" s="764" t="s">
        <v>43</v>
      </c>
      <c r="F48" s="180" t="s">
        <v>44</v>
      </c>
      <c r="G48" s="795" t="s">
        <v>8248</v>
      </c>
      <c r="H48" s="764"/>
      <c r="I48" s="768" t="s">
        <v>3528</v>
      </c>
      <c r="J48" s="768">
        <v>42795</v>
      </c>
      <c r="K48" s="768">
        <v>43159</v>
      </c>
      <c r="L48" s="799">
        <v>43524</v>
      </c>
      <c r="M48" s="180"/>
      <c r="N48" s="640">
        <v>317.258181828707</v>
      </c>
      <c r="O48" s="187" t="s">
        <v>745</v>
      </c>
      <c r="P48" s="801">
        <v>4068510</v>
      </c>
      <c r="Q48" s="179">
        <v>350000</v>
      </c>
      <c r="R48" s="764" t="s">
        <v>112</v>
      </c>
      <c r="S48" s="805" t="s">
        <v>113</v>
      </c>
      <c r="T48" s="764" t="s">
        <v>8249</v>
      </c>
      <c r="U48" s="180"/>
      <c r="V48" s="180" t="s">
        <v>8556</v>
      </c>
      <c r="W48" s="446" t="s">
        <v>8557</v>
      </c>
      <c r="X48" s="224" t="s">
        <v>8558</v>
      </c>
      <c r="Y48" s="224" t="s">
        <v>8559</v>
      </c>
      <c r="Z48" s="224"/>
      <c r="AA48" s="224" t="s">
        <v>8560</v>
      </c>
      <c r="AB48" s="224" t="s">
        <v>8561</v>
      </c>
      <c r="AC48" s="229" t="s">
        <v>8562</v>
      </c>
      <c r="AD48" s="180" t="s">
        <v>7317</v>
      </c>
    </row>
    <row r="49" s="155" customFormat="1" ht="14.1" customHeight="1" spans="1:30">
      <c r="A49" s="180" t="s">
        <v>92</v>
      </c>
      <c r="B49" s="467" t="s">
        <v>8563</v>
      </c>
      <c r="C49" s="794" t="s">
        <v>8564</v>
      </c>
      <c r="D49" s="795" t="s">
        <v>8565</v>
      </c>
      <c r="E49" s="764" t="s">
        <v>125</v>
      </c>
      <c r="F49" s="180" t="s">
        <v>44</v>
      </c>
      <c r="G49" s="795" t="s">
        <v>8248</v>
      </c>
      <c r="H49" s="764"/>
      <c r="I49" s="768" t="s">
        <v>3528</v>
      </c>
      <c r="J49" s="768">
        <v>42795</v>
      </c>
      <c r="K49" s="768">
        <v>43159</v>
      </c>
      <c r="L49" s="799">
        <v>43524</v>
      </c>
      <c r="M49" s="180"/>
      <c r="N49" s="640">
        <v>317.258181828707</v>
      </c>
      <c r="O49" s="187" t="s">
        <v>745</v>
      </c>
      <c r="P49" s="801">
        <v>3410000</v>
      </c>
      <c r="Q49" s="179">
        <v>350000</v>
      </c>
      <c r="R49" s="764" t="s">
        <v>112</v>
      </c>
      <c r="S49" s="805" t="s">
        <v>113</v>
      </c>
      <c r="T49" s="764" t="s">
        <v>8249</v>
      </c>
      <c r="U49" s="180"/>
      <c r="V49" s="180" t="s">
        <v>8566</v>
      </c>
      <c r="W49" s="446" t="s">
        <v>8567</v>
      </c>
      <c r="X49" s="224" t="s">
        <v>8568</v>
      </c>
      <c r="Y49" s="224" t="s">
        <v>8569</v>
      </c>
      <c r="Z49" s="224" t="s">
        <v>8570</v>
      </c>
      <c r="AA49" s="224" t="s">
        <v>8571</v>
      </c>
      <c r="AB49" s="224" t="s">
        <v>8572</v>
      </c>
      <c r="AC49" s="229" t="s">
        <v>8573</v>
      </c>
      <c r="AD49" s="180" t="s">
        <v>7317</v>
      </c>
    </row>
    <row r="50" s="155" customFormat="1" ht="14.1" customHeight="1" spans="1:30">
      <c r="A50" s="180" t="s">
        <v>194</v>
      </c>
      <c r="B50" s="467" t="s">
        <v>8574</v>
      </c>
      <c r="C50" s="794" t="s">
        <v>8446</v>
      </c>
      <c r="D50" s="795" t="s">
        <v>8575</v>
      </c>
      <c r="E50" s="764" t="s">
        <v>125</v>
      </c>
      <c r="F50" s="180" t="s">
        <v>44</v>
      </c>
      <c r="G50" s="764" t="s">
        <v>8248</v>
      </c>
      <c r="H50" s="764"/>
      <c r="I50" s="768" t="s">
        <v>3528</v>
      </c>
      <c r="J50" s="768">
        <v>42891</v>
      </c>
      <c r="K50" s="768">
        <v>42982</v>
      </c>
      <c r="L50" s="798">
        <v>43159</v>
      </c>
      <c r="M50" s="799">
        <v>43524</v>
      </c>
      <c r="N50" s="641">
        <v>317.258181828707</v>
      </c>
      <c r="O50" s="187" t="s">
        <v>745</v>
      </c>
      <c r="P50" s="801">
        <v>3355750</v>
      </c>
      <c r="Q50" s="179">
        <v>350000</v>
      </c>
      <c r="R50" s="764" t="s">
        <v>112</v>
      </c>
      <c r="S50" s="805" t="s">
        <v>113</v>
      </c>
      <c r="T50" s="764" t="s">
        <v>8249</v>
      </c>
      <c r="U50" s="180"/>
      <c r="V50" s="180" t="s">
        <v>8576</v>
      </c>
      <c r="W50" s="446" t="s">
        <v>8577</v>
      </c>
      <c r="X50" s="224" t="s">
        <v>8578</v>
      </c>
      <c r="Y50" s="224" t="s">
        <v>8579</v>
      </c>
      <c r="Z50" s="224"/>
      <c r="AA50" s="224"/>
      <c r="AB50" s="224" t="s">
        <v>8580</v>
      </c>
      <c r="AC50" s="229" t="s">
        <v>8581</v>
      </c>
      <c r="AD50" s="180" t="s">
        <v>8193</v>
      </c>
    </row>
    <row r="51" s="155" customFormat="1" ht="14.1" customHeight="1" spans="1:30">
      <c r="A51" s="180" t="s">
        <v>261</v>
      </c>
      <c r="B51" s="32" t="s">
        <v>8582</v>
      </c>
      <c r="C51" s="794" t="s">
        <v>8583</v>
      </c>
      <c r="D51" s="795" t="s">
        <v>8584</v>
      </c>
      <c r="E51" s="764" t="s">
        <v>125</v>
      </c>
      <c r="F51" s="180" t="s">
        <v>44</v>
      </c>
      <c r="G51" s="764" t="s">
        <v>8248</v>
      </c>
      <c r="H51" s="764"/>
      <c r="I51" s="768" t="s">
        <v>3528</v>
      </c>
      <c r="J51" s="768">
        <v>43136</v>
      </c>
      <c r="K51" s="768">
        <v>43159</v>
      </c>
      <c r="L51" s="799">
        <v>43524</v>
      </c>
      <c r="M51" s="180"/>
      <c r="N51" s="640">
        <v>317.258181828707</v>
      </c>
      <c r="O51" s="187" t="s">
        <v>745</v>
      </c>
      <c r="P51" s="801">
        <v>3355750</v>
      </c>
      <c r="Q51" s="179">
        <v>350000</v>
      </c>
      <c r="R51" s="764" t="s">
        <v>112</v>
      </c>
      <c r="S51" s="805" t="s">
        <v>113</v>
      </c>
      <c r="T51" s="764" t="s">
        <v>8249</v>
      </c>
      <c r="U51" s="180"/>
      <c r="V51" s="180" t="s">
        <v>8585</v>
      </c>
      <c r="W51" s="446" t="s">
        <v>8586</v>
      </c>
      <c r="X51" s="224" t="s">
        <v>8587</v>
      </c>
      <c r="Y51" s="224"/>
      <c r="Z51" s="224"/>
      <c r="AA51" s="224"/>
      <c r="AB51" s="224" t="s">
        <v>8588</v>
      </c>
      <c r="AC51" s="229" t="s">
        <v>8589</v>
      </c>
      <c r="AD51" s="180" t="s">
        <v>8193</v>
      </c>
    </row>
    <row r="52" ht="14.1" customHeight="1" spans="1:30">
      <c r="A52" s="180" t="s">
        <v>204</v>
      </c>
      <c r="B52" s="32" t="s">
        <v>8590</v>
      </c>
      <c r="C52" s="794" t="s">
        <v>8591</v>
      </c>
      <c r="D52" s="795" t="s">
        <v>8592</v>
      </c>
      <c r="E52" s="764" t="s">
        <v>125</v>
      </c>
      <c r="F52" s="180" t="s">
        <v>44</v>
      </c>
      <c r="G52" s="764" t="s">
        <v>8248</v>
      </c>
      <c r="H52" s="764"/>
      <c r="I52" s="768" t="s">
        <v>3528</v>
      </c>
      <c r="J52" s="768">
        <v>43040</v>
      </c>
      <c r="K52" s="768">
        <v>43131</v>
      </c>
      <c r="L52" s="768">
        <v>43159</v>
      </c>
      <c r="M52" s="768">
        <v>43524</v>
      </c>
      <c r="N52" s="641">
        <f ca="1">SUM(M52-NOW())</f>
        <v>251.61546296296</v>
      </c>
      <c r="O52" s="187" t="str">
        <f ca="1">IF(N52&lt;=40,"WARNING","ACTIVE")</f>
        <v>ACTIVE</v>
      </c>
      <c r="P52" s="801">
        <v>3900000</v>
      </c>
      <c r="Q52" s="179">
        <v>0</v>
      </c>
      <c r="R52" s="764" t="s">
        <v>112</v>
      </c>
      <c r="S52" s="805" t="s">
        <v>113</v>
      </c>
      <c r="T52" s="764" t="s">
        <v>8249</v>
      </c>
      <c r="U52" s="180" t="s">
        <v>8272</v>
      </c>
      <c r="V52" s="180" t="s">
        <v>8593</v>
      </c>
      <c r="W52" s="446" t="s">
        <v>8594</v>
      </c>
      <c r="X52" s="224" t="s">
        <v>8595</v>
      </c>
      <c r="Y52" s="224"/>
      <c r="Z52" s="224"/>
      <c r="AA52" s="224"/>
      <c r="AB52" s="224" t="s">
        <v>8596</v>
      </c>
      <c r="AC52" s="229" t="s">
        <v>8597</v>
      </c>
      <c r="AD52" s="180" t="s">
        <v>8598</v>
      </c>
    </row>
  </sheetData>
  <mergeCells count="30">
    <mergeCell ref="A1:W1"/>
    <mergeCell ref="A2:W2"/>
    <mergeCell ref="J4:K4"/>
    <mergeCell ref="L4:M4"/>
    <mergeCell ref="A4:A5"/>
    <mergeCell ref="B4:B5"/>
    <mergeCell ref="C4:C5"/>
    <mergeCell ref="D4:D5"/>
    <mergeCell ref="E4:E5"/>
    <mergeCell ref="F4:F5"/>
    <mergeCell ref="G4:G5"/>
    <mergeCell ref="H4:H5"/>
    <mergeCell ref="I4:I5"/>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s>
  <conditionalFormatting sqref="O33:O38;O41:O43;O7:O16">
    <cfRule type="expression" dxfId="1021" priority="1" stopIfTrue="1">
      <formula>IF($O7="warning",TRUE,FALSE)</formula>
    </cfRule>
  </conditionalFormatting>
  <conditionalFormatting sqref="N33:N38;N41:N43;N7:N12">
    <cfRule type="expression" dxfId="1022" priority="2" stopIfTrue="1">
      <formula>IF($P7="warning",TRUE,FALSE)</formula>
    </cfRule>
  </conditionalFormatting>
  <conditionalFormatting sqref="O6">
    <cfRule type="expression" dxfId="1023" priority="3" stopIfTrue="1">
      <formula>IF($O6="warning",TRUE,FALSE)</formula>
    </cfRule>
  </conditionalFormatting>
  <conditionalFormatting sqref="N6">
    <cfRule type="expression" dxfId="1024" priority="4" stopIfTrue="1">
      <formula>IF($P6="warning",TRUE,FALSE)</formula>
    </cfRule>
  </conditionalFormatting>
  <conditionalFormatting sqref="O1:O18;O52:O1048576;O30:O43">
    <cfRule type="expression" dxfId="1025" priority="5" stopIfTrue="1">
      <formula>NOT(ISERROR(SEARCH("warning",O1)))</formula>
    </cfRule>
    <cfRule type="expression" dxfId="1026" priority="6" stopIfTrue="1">
      <formula>NOT(ISERROR(SEARCH("warning",O1)))</formula>
    </cfRule>
  </conditionalFormatting>
  <conditionalFormatting sqref="B17:B18">
    <cfRule type="expression" dxfId="1027" priority="7" stopIfTrue="1">
      <formula>IF(OR(#REF!="not",#REF!="resign",#REF!="resign",#REF!="end",#REF!="terminated",#REF!="permanent"),"TRUE","FALSE")</formula>
    </cfRule>
  </conditionalFormatting>
  <conditionalFormatting sqref="B52">
    <cfRule type="expression" dxfId="1028" priority="8" stopIfTrue="1">
      <formula>IF(OR(#REF!="not",#REF!="resign",#REF!="resign",#REF!="end",#REF!="terminated",#REF!="permanent"),"TRUE","FALSE")</formula>
    </cfRule>
  </conditionalFormatting>
  <conditionalFormatting sqref="B19">
    <cfRule type="expression" dxfId="1029" priority="9" stopIfTrue="1">
      <formula>IF(OR(#REF!="not",#REF!="resign",#REF!="resign",#REF!="end",#REF!="terminated",#REF!="permanent"),"TRUE","FALSE")</formula>
    </cfRule>
  </conditionalFormatting>
  <conditionalFormatting sqref="O19">
    <cfRule type="expression" dxfId="1030" priority="10" stopIfTrue="1">
      <formula>NOT(ISERROR(SEARCH("warning",O19)))</formula>
    </cfRule>
    <cfRule type="expression" dxfId="1031" priority="11" stopIfTrue="1">
      <formula>NOT(ISERROR(SEARCH("warning",O19)))</formula>
    </cfRule>
  </conditionalFormatting>
  <conditionalFormatting sqref="O44:O46">
    <cfRule type="expression" dxfId="1032" priority="12" stopIfTrue="1">
      <formula>NOT(ISERROR(SEARCH("warning",O44)))</formula>
    </cfRule>
    <cfRule type="expression" dxfId="1033" priority="13" stopIfTrue="1">
      <formula>NOT(ISERROR(SEARCH("warning",O44)))</formula>
    </cfRule>
  </conditionalFormatting>
  <conditionalFormatting sqref="B47">
    <cfRule type="expression" dxfId="1034" priority="14" stopIfTrue="1">
      <formula>IF(OR(#REF!="not",#REF!="resign",#REF!="resign",#REF!="end",#REF!="terminated",#REF!="permanent"),"TRUE","FALSE")</formula>
    </cfRule>
  </conditionalFormatting>
  <conditionalFormatting sqref="O47">
    <cfRule type="expression" dxfId="1035" priority="15" stopIfTrue="1">
      <formula>NOT(ISERROR(SEARCH("warning",O47)))</formula>
    </cfRule>
    <cfRule type="expression" dxfId="1036" priority="16" stopIfTrue="1">
      <formula>NOT(ISERROR(SEARCH("warning",O47)))</formula>
    </cfRule>
  </conditionalFormatting>
  <conditionalFormatting sqref="B20:B26">
    <cfRule type="expression" dxfId="1037" priority="17" stopIfTrue="1">
      <formula>IF(OR(#REF!="not",#REF!="resign",#REF!="resign",#REF!="end",#REF!="terminated",#REF!="permanent"),"TRUE","FALSE")</formula>
    </cfRule>
  </conditionalFormatting>
  <conditionalFormatting sqref="O20:O29">
    <cfRule type="expression" dxfId="1038" priority="18" stopIfTrue="1">
      <formula>NOT(ISERROR(SEARCH("warning",O20)))</formula>
    </cfRule>
    <cfRule type="expression" dxfId="1039" priority="19" stopIfTrue="1">
      <formula>NOT(ISERROR(SEARCH("warning",O20)))</formula>
    </cfRule>
  </conditionalFormatting>
  <conditionalFormatting sqref="N13:N15">
    <cfRule type="expression" dxfId="1040" priority="20" stopIfTrue="1">
      <formula>IF($P13="warning",TRUE,FALSE)</formula>
    </cfRule>
  </conditionalFormatting>
  <conditionalFormatting sqref="N16:N18">
    <cfRule type="expression" dxfId="1041" priority="21" stopIfTrue="1">
      <formula>IF($P16="warning",TRUE,FALSE)</formula>
    </cfRule>
  </conditionalFormatting>
  <conditionalFormatting sqref="N19">
    <cfRule type="expression" dxfId="1042" priority="22" stopIfTrue="1">
      <formula>IF($P19="warning",TRUE,FALSE)</formula>
    </cfRule>
  </conditionalFormatting>
  <conditionalFormatting sqref="O48:O50">
    <cfRule type="expression" dxfId="1043" priority="23" stopIfTrue="1">
      <formula>IF($O48="warning",TRUE,FALSE)</formula>
    </cfRule>
  </conditionalFormatting>
  <conditionalFormatting sqref="N48:N49">
    <cfRule type="expression" dxfId="1044" priority="24" stopIfTrue="1">
      <formula>IF($P48="warning",TRUE,FALSE)</formula>
    </cfRule>
  </conditionalFormatting>
  <conditionalFormatting sqref="N50">
    <cfRule type="expression" dxfId="1045" priority="25" stopIfTrue="1">
      <formula>IF($P50="warning",TRUE,FALSE)</formula>
    </cfRule>
  </conditionalFormatting>
  <conditionalFormatting sqref="B51">
    <cfRule type="expression" dxfId="1046" priority="26" stopIfTrue="1">
      <formula>IF(OR(#REF!="not",#REF!="resign",#REF!="resign",#REF!="end",#REF!="terminated",#REF!="permanent"),"TRUE","FALSE")</formula>
    </cfRule>
  </conditionalFormatting>
  <conditionalFormatting sqref="O51">
    <cfRule type="expression" dxfId="1047" priority="27" stopIfTrue="1">
      <formula>NOT(ISERROR(SEARCH("warning",O51)))</formula>
    </cfRule>
    <cfRule type="expression" dxfId="1048" priority="28" stopIfTrue="1">
      <formula>NOT(ISERROR(SEARCH("warning",O51)))</formula>
    </cfRule>
  </conditionalFormatting>
  <conditionalFormatting sqref="N51">
    <cfRule type="expression" dxfId="1049" priority="29" stopIfTrue="1">
      <formula>IF($P51="warning",TRUE,FALSE)</formula>
    </cfRule>
  </conditionalFormatting>
  <conditionalFormatting sqref="B27">
    <cfRule type="expression" dxfId="1050" priority="30" stopIfTrue="1">
      <formula>IF(OR(#REF!="not",#REF!="resign",#REF!="resign",#REF!="end",#REF!="terminated",#REF!="permanent"),"TRUE","FALSE")</formula>
    </cfRule>
  </conditionalFormatting>
  <conditionalFormatting sqref="B28">
    <cfRule type="expression" dxfId="1051" priority="31" stopIfTrue="1">
      <formula>IF(OR(#REF!="not",#REF!="resign",#REF!="resign",#REF!="end",#REF!="terminated",#REF!="permanent"),"TRUE","FALSE")</formula>
    </cfRule>
  </conditionalFormatting>
  <conditionalFormatting sqref="B29">
    <cfRule type="expression" dxfId="1052" priority="32" stopIfTrue="1">
      <formula>IF(OR(#REF!="not",#REF!="resign",#REF!="resign",#REF!="end",#REF!="terminated",#REF!="permanent"),"TRUE","FALSE")</formula>
    </cfRule>
  </conditionalFormatting>
  <hyperlinks>
    <hyperlink ref="AC10" location="" display="SUHARYADIAHYAR@GMAIL.COM"/>
    <hyperlink ref="AC37" location="" display="BAMBANGARIFFIRMANTO176@GMAIL.COM"/>
    <hyperlink ref="AC36" location="" display="DIMASSAMID1882@GMAIL.COM"/>
    <hyperlink ref="AC41" location="" display="YUNIARHERMA@YAHOO.COM"/>
    <hyperlink ref="AC7" location="" display="MAXIEVERD22@GMAIL.COM"/>
    <hyperlink ref="AC8" location="" display="MUHAMADNUR.6179@YAHOO.CO.ID"/>
    <hyperlink ref="AC6" location="" display="WHIDYANUR@GMAIL.COM"/>
    <hyperlink ref="AC38" location="" display="PRISILIAST@GMAIL.COM"/>
    <hyperlink ref="AC9" location="" display="VIRGIOCTORA@GMAIL.COM"/>
    <hyperlink ref="AC15" location="" display="viviane_umboh@yahoo.com"/>
    <hyperlink ref="AC43" location="" display="adam.m37@yahoo.com       "/>
    <hyperlink ref="AC16" location="" display="trisanm17@gmail.com"/>
    <hyperlink ref="AC18" location="" display="shintacantik220@gmail.com"/>
    <hyperlink ref="AC17" location="" display="raci6benjamin@gmail.com"/>
    <hyperlink ref="AC39" location="" display="ASWANDITYO@GMAIL.COM"/>
    <hyperlink ref="AC40" location="" display="amel_musak@yahoo.com"/>
    <hyperlink ref="AC52" location="" display="aldinip204@gmail.com"/>
    <hyperlink ref="AC44" location="" display="LIIZLILIZ92@GMAIL.COM"/>
    <hyperlink ref="AC45" location="" display="audiavalenttina@yahoo.com"/>
    <hyperlink ref="AC46" location="" display="nadya.amnii@gmail.com"/>
    <hyperlink ref="AC19" r:id="rId2" display="shantyoktavia29@gmail.com"/>
    <hyperlink ref="AC20" r:id="rId3" display="citradona@rocketmail.com"/>
    <hyperlink ref="AC26" r:id="rId4" display="ulumb1544@gmail.com"/>
    <hyperlink ref="AC48" location="" display="dedyrosadi32@gmail.com"/>
    <hyperlink ref="AC49" location="" display="FERANDAINTAN@YAHOO.COM"/>
    <hyperlink ref="AC50" location="" display="ladydiana.azzahra@gmail.com       "/>
    <hyperlink ref="AC51" r:id="rId5" display="racheljuniel93@gmail.com"/>
    <hyperlink ref="AC27" r:id="rId6" display="poepan21@gmail.com"/>
    <hyperlink ref="AC28" r:id="rId7" display="Sharadita92@gmail.com"/>
    <hyperlink ref="AC29" r:id="rId8" display="rajibgandi1989@gmail.com"/>
  </hyperlinks>
  <pageMargins left="0.699305555555556" right="0.699305555555556"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254"/>
  <sheetViews>
    <sheetView workbookViewId="0">
      <pane xSplit="3" ySplit="5" topLeftCell="AI186" activePane="bottomRight" state="frozen"/>
      <selection/>
      <selection pane="topRight"/>
      <selection pane="bottomLeft"/>
      <selection pane="bottomRight" activeCell="A197" sqref="A197"/>
    </sheetView>
  </sheetViews>
  <sheetFormatPr defaultColWidth="9" defaultRowHeight="10.5"/>
  <cols>
    <col min="1" max="1" width="5" style="91" customWidth="1"/>
    <col min="2" max="2" width="10" style="156" customWidth="1"/>
    <col min="3" max="3" width="21.8583333333333" style="156" customWidth="1"/>
    <col min="4" max="4" width="20.1416666666667" style="156" customWidth="1"/>
    <col min="5" max="5" width="3.70833333333333" style="91" customWidth="1"/>
    <col min="6" max="6" width="6.70833333333333" style="91" customWidth="1"/>
    <col min="7" max="7" width="18.2833333333333" style="156" customWidth="1"/>
    <col min="8" max="8" width="9.85833333333333" style="156" customWidth="1"/>
    <col min="9" max="9" width="10.425" style="156" customWidth="1"/>
    <col min="10" max="10" width="8.70833333333333" style="156" customWidth="1"/>
    <col min="11" max="11" width="9.70833333333333" style="156" customWidth="1"/>
    <col min="12" max="14" width="10.425" style="91" customWidth="1"/>
    <col min="15" max="16" width="8.70833333333333" style="156" customWidth="1"/>
    <col min="17" max="17" width="8.14166666666667" style="156" customWidth="1"/>
    <col min="18" max="18" width="8.425" style="156" customWidth="1"/>
    <col min="19" max="19" width="11.8583333333333" style="156" customWidth="1"/>
    <col min="20" max="20" width="15.8583333333333" style="156" customWidth="1"/>
    <col min="21" max="26" width="10.8583333333333" style="91" customWidth="1"/>
    <col min="27" max="27" width="8.70833333333333" style="91" customWidth="1"/>
    <col min="28" max="28" width="9.56666666666667" style="694" customWidth="1"/>
    <col min="29" max="29" width="10.8583333333333" style="695" customWidth="1"/>
    <col min="30" max="30" width="8.56666666666667" style="156" customWidth="1"/>
    <col min="31" max="31" width="25.1416666666667" style="156" customWidth="1"/>
    <col min="32" max="32" width="36.5666666666667" style="156" customWidth="1"/>
    <col min="33" max="33" width="12.2833333333333" style="158" customWidth="1"/>
    <col min="34" max="34" width="14.8583333333333" style="158" customWidth="1"/>
    <col min="35" max="35" width="16.7083333333333" style="158" customWidth="1"/>
    <col min="36" max="36" width="12.1416666666667" style="158" customWidth="1"/>
    <col min="37" max="37" width="16.2833333333333" style="213" customWidth="1"/>
    <col min="38" max="38" width="26" style="696" customWidth="1"/>
    <col min="39" max="39" width="39.7083333333333" style="204" customWidth="1"/>
    <col min="40" max="40" width="23.5666666666667" style="156" customWidth="1"/>
    <col min="41" max="16384" width="9.14166666666667" style="156"/>
  </cols>
  <sheetData>
    <row r="1" s="91" customFormat="1" ht="14.25" customHeight="1" spans="1:39">
      <c r="A1" s="97" t="s">
        <v>7926</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720"/>
      <c r="AI1" s="720"/>
      <c r="AJ1" s="720"/>
      <c r="AK1" s="720"/>
      <c r="AL1" s="724"/>
      <c r="AM1" s="204"/>
    </row>
    <row r="2" s="91" customFormat="1" ht="14.25" customHeight="1" spans="1:39">
      <c r="A2" s="97" t="s">
        <v>8599</v>
      </c>
      <c r="B2" s="97"/>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720"/>
      <c r="AI2" s="720"/>
      <c r="AJ2" s="720"/>
      <c r="AK2" s="720"/>
      <c r="AL2" s="724"/>
      <c r="AM2" s="204"/>
    </row>
    <row r="3" s="91" customFormat="1" ht="14.25" customHeight="1" spans="1:39">
      <c r="A3" s="97"/>
      <c r="B3" s="97"/>
      <c r="C3" s="97"/>
      <c r="D3" s="97"/>
      <c r="E3" s="97"/>
      <c r="F3" s="97"/>
      <c r="G3" s="97"/>
      <c r="H3" s="97"/>
      <c r="I3" s="97"/>
      <c r="J3" s="97"/>
      <c r="K3" s="97"/>
      <c r="L3" s="97"/>
      <c r="M3" s="97"/>
      <c r="N3" s="97"/>
      <c r="O3" s="97"/>
      <c r="P3" s="97"/>
      <c r="Q3" s="97"/>
      <c r="R3" s="97"/>
      <c r="S3" s="97"/>
      <c r="T3" s="97"/>
      <c r="U3" s="97"/>
      <c r="V3" s="97"/>
      <c r="W3" s="97"/>
      <c r="X3" s="97"/>
      <c r="Y3" s="97"/>
      <c r="Z3" s="97"/>
      <c r="AA3" s="97"/>
      <c r="AB3" s="708"/>
      <c r="AC3" s="713"/>
      <c r="AD3" s="97"/>
      <c r="AE3" s="97"/>
      <c r="AG3" s="213"/>
      <c r="AH3" s="213"/>
      <c r="AI3" s="213"/>
      <c r="AJ3" s="213"/>
      <c r="AK3" s="213"/>
      <c r="AL3" s="724"/>
      <c r="AM3" s="204"/>
    </row>
    <row r="4" s="91" customFormat="1" ht="14.25" customHeight="1" spans="1:40">
      <c r="A4" s="98" t="s">
        <v>0</v>
      </c>
      <c r="B4" s="98" t="s">
        <v>1</v>
      </c>
      <c r="C4" s="98" t="s">
        <v>2</v>
      </c>
      <c r="D4" s="98" t="s">
        <v>3</v>
      </c>
      <c r="E4" s="124" t="s">
        <v>7928</v>
      </c>
      <c r="F4" s="98" t="s">
        <v>7929</v>
      </c>
      <c r="G4" s="98" t="s">
        <v>8</v>
      </c>
      <c r="H4" s="98" t="s">
        <v>8242</v>
      </c>
      <c r="I4" s="124" t="s">
        <v>7930</v>
      </c>
      <c r="J4" s="174" t="s">
        <v>9</v>
      </c>
      <c r="K4" s="186"/>
      <c r="L4" s="174" t="s">
        <v>8243</v>
      </c>
      <c r="M4" s="186"/>
      <c r="N4" s="532"/>
      <c r="O4" s="174" t="s">
        <v>11</v>
      </c>
      <c r="P4" s="186"/>
      <c r="Q4" s="98" t="s">
        <v>14</v>
      </c>
      <c r="R4" s="103" t="s">
        <v>15</v>
      </c>
      <c r="S4" s="103" t="s">
        <v>7931</v>
      </c>
      <c r="T4" s="189" t="s">
        <v>8600</v>
      </c>
      <c r="U4" s="189" t="s">
        <v>7933</v>
      </c>
      <c r="V4" s="189" t="s">
        <v>8601</v>
      </c>
      <c r="W4" s="189" t="s">
        <v>8602</v>
      </c>
      <c r="X4" s="189" t="s">
        <v>8603</v>
      </c>
      <c r="Y4" s="189" t="s">
        <v>8604</v>
      </c>
      <c r="Z4" s="98" t="s">
        <v>8605</v>
      </c>
      <c r="AA4" s="98" t="s">
        <v>25</v>
      </c>
      <c r="AB4" s="709" t="s">
        <v>26</v>
      </c>
      <c r="AC4" s="714" t="s">
        <v>8606</v>
      </c>
      <c r="AD4" s="98" t="s">
        <v>3509</v>
      </c>
      <c r="AE4" s="103" t="s">
        <v>15</v>
      </c>
      <c r="AF4" s="117" t="s">
        <v>28</v>
      </c>
      <c r="AG4" s="597" t="s">
        <v>29</v>
      </c>
      <c r="AH4" s="216" t="s">
        <v>31</v>
      </c>
      <c r="AI4" s="216" t="s">
        <v>32</v>
      </c>
      <c r="AJ4" s="216" t="s">
        <v>7934</v>
      </c>
      <c r="AK4" s="226" t="s">
        <v>7935</v>
      </c>
      <c r="AL4" s="725" t="s">
        <v>30</v>
      </c>
      <c r="AM4" s="726" t="s">
        <v>7936</v>
      </c>
      <c r="AN4" s="124" t="s">
        <v>36</v>
      </c>
    </row>
    <row r="5" s="91" customFormat="1" ht="11.25" spans="1:40">
      <c r="A5" s="672"/>
      <c r="B5" s="672"/>
      <c r="C5" s="672"/>
      <c r="D5" s="672"/>
      <c r="E5" s="699"/>
      <c r="F5" s="672"/>
      <c r="G5" s="672"/>
      <c r="H5" s="672"/>
      <c r="I5" s="699"/>
      <c r="J5" s="98" t="s">
        <v>37</v>
      </c>
      <c r="K5" s="98" t="s">
        <v>38</v>
      </c>
      <c r="L5" s="98">
        <v>1</v>
      </c>
      <c r="M5" s="98">
        <v>2</v>
      </c>
      <c r="N5" s="98"/>
      <c r="O5" s="98" t="s">
        <v>37</v>
      </c>
      <c r="P5" s="98" t="s">
        <v>38</v>
      </c>
      <c r="Q5" s="672"/>
      <c r="R5" s="706"/>
      <c r="S5" s="706"/>
      <c r="T5" s="707"/>
      <c r="U5" s="707"/>
      <c r="V5" s="707"/>
      <c r="W5" s="707"/>
      <c r="X5" s="707"/>
      <c r="Y5" s="707"/>
      <c r="Z5" s="710"/>
      <c r="AA5" s="710"/>
      <c r="AB5" s="711"/>
      <c r="AC5" s="715"/>
      <c r="AD5" s="716"/>
      <c r="AE5" s="706"/>
      <c r="AF5" s="717"/>
      <c r="AG5" s="721"/>
      <c r="AH5" s="722"/>
      <c r="AI5" s="722"/>
      <c r="AJ5" s="722"/>
      <c r="AK5" s="727"/>
      <c r="AL5" s="728"/>
      <c r="AM5" s="729"/>
      <c r="AN5" s="730"/>
    </row>
    <row r="6" ht="31.5" spans="1:40">
      <c r="A6" s="1585" t="s">
        <v>39</v>
      </c>
      <c r="B6" s="100" t="s">
        <v>8607</v>
      </c>
      <c r="C6" s="697" t="s">
        <v>8608</v>
      </c>
      <c r="D6" s="697" t="s">
        <v>8609</v>
      </c>
      <c r="E6" s="700" t="s">
        <v>43</v>
      </c>
      <c r="F6" s="100" t="s">
        <v>44</v>
      </c>
      <c r="G6" s="697" t="s">
        <v>8610</v>
      </c>
      <c r="H6" s="697" t="s">
        <v>8611</v>
      </c>
      <c r="I6" s="697" t="s">
        <v>920</v>
      </c>
      <c r="J6" s="703">
        <v>42401</v>
      </c>
      <c r="K6" s="703">
        <v>42766</v>
      </c>
      <c r="L6" s="704">
        <v>43100</v>
      </c>
      <c r="M6" s="704">
        <v>43131</v>
      </c>
      <c r="N6" s="704"/>
      <c r="O6" s="704">
        <v>43132</v>
      </c>
      <c r="P6" s="704">
        <v>43465</v>
      </c>
      <c r="Q6" s="540">
        <f ca="1" t="shared" ref="Q6:Q36" si="0">SUM(P6-NOW())</f>
        <v>192.61546296296</v>
      </c>
      <c r="R6" s="106" t="str">
        <f ca="1" t="shared" ref="R6:R67" si="1">IF(Q6&lt;=40,"WARNING","ACTIVE")</f>
        <v>ACTIVE</v>
      </c>
      <c r="S6" s="116">
        <v>2873036</v>
      </c>
      <c r="T6" s="116">
        <v>775000</v>
      </c>
      <c r="U6" s="700" t="s">
        <v>583</v>
      </c>
      <c r="V6" s="700"/>
      <c r="W6" s="700"/>
      <c r="X6" s="700"/>
      <c r="Y6" s="700"/>
      <c r="Z6" s="700"/>
      <c r="AA6" s="700" t="s">
        <v>112</v>
      </c>
      <c r="AB6" s="712" t="s">
        <v>8612</v>
      </c>
      <c r="AC6" s="718">
        <v>1500000</v>
      </c>
      <c r="AD6" s="700" t="s">
        <v>8613</v>
      </c>
      <c r="AE6" s="101" t="s">
        <v>8614</v>
      </c>
      <c r="AF6" s="697" t="s">
        <v>8615</v>
      </c>
      <c r="AG6" s="1579" t="s">
        <v>8616</v>
      </c>
      <c r="AH6" s="1586" t="s">
        <v>8617</v>
      </c>
      <c r="AI6" s="122" t="s">
        <v>8618</v>
      </c>
      <c r="AJ6" s="221" t="s">
        <v>8619</v>
      </c>
      <c r="AK6" s="649" t="s">
        <v>8620</v>
      </c>
      <c r="AL6" s="723" t="s">
        <v>8621</v>
      </c>
      <c r="AM6" s="122" t="s">
        <v>8622</v>
      </c>
      <c r="AN6" s="221"/>
    </row>
    <row r="7" ht="31.5" spans="1:40">
      <c r="A7" s="1585" t="s">
        <v>56</v>
      </c>
      <c r="B7" s="100" t="s">
        <v>8623</v>
      </c>
      <c r="C7" s="697" t="s">
        <v>2437</v>
      </c>
      <c r="D7" s="697" t="s">
        <v>8624</v>
      </c>
      <c r="E7" s="700" t="s">
        <v>43</v>
      </c>
      <c r="F7" s="100" t="s">
        <v>60</v>
      </c>
      <c r="G7" s="697" t="s">
        <v>8625</v>
      </c>
      <c r="H7" s="697" t="s">
        <v>8611</v>
      </c>
      <c r="I7" s="697" t="s">
        <v>920</v>
      </c>
      <c r="J7" s="703">
        <v>42401</v>
      </c>
      <c r="K7" s="703">
        <v>42766</v>
      </c>
      <c r="L7" s="704">
        <v>43100</v>
      </c>
      <c r="M7" s="704">
        <v>43131</v>
      </c>
      <c r="N7" s="704"/>
      <c r="O7" s="704">
        <v>43132</v>
      </c>
      <c r="P7" s="704">
        <v>43465</v>
      </c>
      <c r="Q7" s="540">
        <f ca="1" t="shared" si="0"/>
        <v>192.61546296296</v>
      </c>
      <c r="R7" s="106" t="str">
        <f ca="1" t="shared" si="1"/>
        <v>ACTIVE</v>
      </c>
      <c r="S7" s="116">
        <v>2873036</v>
      </c>
      <c r="T7" s="116">
        <v>775000</v>
      </c>
      <c r="U7" s="700" t="s">
        <v>583</v>
      </c>
      <c r="V7" s="700"/>
      <c r="W7" s="700"/>
      <c r="X7" s="700"/>
      <c r="Y7" s="700"/>
      <c r="Z7" s="700"/>
      <c r="AA7" s="700" t="s">
        <v>112</v>
      </c>
      <c r="AB7" s="712" t="s">
        <v>8612</v>
      </c>
      <c r="AC7" s="718">
        <v>1750000</v>
      </c>
      <c r="AD7" s="700" t="s">
        <v>8613</v>
      </c>
      <c r="AE7" s="101" t="s">
        <v>8626</v>
      </c>
      <c r="AF7" s="697" t="s">
        <v>8627</v>
      </c>
      <c r="AG7" s="1579" t="s">
        <v>8628</v>
      </c>
      <c r="AH7" s="1586" t="s">
        <v>8629</v>
      </c>
      <c r="AI7" s="122" t="s">
        <v>8630</v>
      </c>
      <c r="AJ7" s="221">
        <v>15024939728</v>
      </c>
      <c r="AK7" s="649" t="s">
        <v>8631</v>
      </c>
      <c r="AL7" s="723" t="s">
        <v>8632</v>
      </c>
      <c r="AM7" s="122" t="s">
        <v>8633</v>
      </c>
      <c r="AN7" s="221"/>
    </row>
    <row r="8" ht="31.5" spans="1:40">
      <c r="A8" s="1585" t="s">
        <v>68</v>
      </c>
      <c r="B8" s="100" t="s">
        <v>8634</v>
      </c>
      <c r="C8" s="697" t="s">
        <v>8635</v>
      </c>
      <c r="D8" s="697" t="s">
        <v>8636</v>
      </c>
      <c r="E8" s="700" t="s">
        <v>43</v>
      </c>
      <c r="F8" s="100" t="s">
        <v>60</v>
      </c>
      <c r="G8" s="697" t="s">
        <v>8637</v>
      </c>
      <c r="H8" s="697" t="s">
        <v>8611</v>
      </c>
      <c r="I8" s="697" t="s">
        <v>920</v>
      </c>
      <c r="J8" s="703">
        <v>42401</v>
      </c>
      <c r="K8" s="703">
        <v>42766</v>
      </c>
      <c r="L8" s="704">
        <v>43100</v>
      </c>
      <c r="M8" s="704">
        <v>43131</v>
      </c>
      <c r="N8" s="704"/>
      <c r="O8" s="704">
        <v>43132</v>
      </c>
      <c r="P8" s="704">
        <v>43465</v>
      </c>
      <c r="Q8" s="540">
        <f ca="1" t="shared" si="0"/>
        <v>192.61546296296</v>
      </c>
      <c r="R8" s="106" t="str">
        <f ca="1" t="shared" si="1"/>
        <v>ACTIVE</v>
      </c>
      <c r="S8" s="116">
        <v>2873036</v>
      </c>
      <c r="T8" s="116">
        <v>775000</v>
      </c>
      <c r="U8" s="700" t="s">
        <v>583</v>
      </c>
      <c r="V8" s="700"/>
      <c r="W8" s="700"/>
      <c r="X8" s="700"/>
      <c r="Y8" s="700"/>
      <c r="Z8" s="700"/>
      <c r="AA8" s="700" t="s">
        <v>112</v>
      </c>
      <c r="AB8" s="712" t="s">
        <v>8612</v>
      </c>
      <c r="AC8" s="718">
        <v>2000000</v>
      </c>
      <c r="AD8" s="700" t="s">
        <v>8613</v>
      </c>
      <c r="AE8" s="101" t="s">
        <v>8614</v>
      </c>
      <c r="AF8" s="697" t="s">
        <v>8638</v>
      </c>
      <c r="AG8" s="1586" t="s">
        <v>8639</v>
      </c>
      <c r="AH8" s="1586" t="s">
        <v>8640</v>
      </c>
      <c r="AI8" s="221" t="s">
        <v>8641</v>
      </c>
      <c r="AJ8" s="221">
        <v>14024895584</v>
      </c>
      <c r="AK8" s="649" t="s">
        <v>8642</v>
      </c>
      <c r="AL8" s="723" t="s">
        <v>8643</v>
      </c>
      <c r="AM8" s="122" t="s">
        <v>8644</v>
      </c>
      <c r="AN8" s="221"/>
    </row>
    <row r="9" ht="31.5" spans="1:40">
      <c r="A9" s="1585" t="s">
        <v>78</v>
      </c>
      <c r="B9" s="100" t="s">
        <v>8645</v>
      </c>
      <c r="C9" s="697" t="s">
        <v>8646</v>
      </c>
      <c r="D9" s="697" t="s">
        <v>8647</v>
      </c>
      <c r="E9" s="700" t="s">
        <v>43</v>
      </c>
      <c r="F9" s="100" t="s">
        <v>44</v>
      </c>
      <c r="G9" s="697" t="s">
        <v>8637</v>
      </c>
      <c r="H9" s="697" t="s">
        <v>8611</v>
      </c>
      <c r="I9" s="697" t="s">
        <v>920</v>
      </c>
      <c r="J9" s="703">
        <v>42401</v>
      </c>
      <c r="K9" s="703">
        <v>42766</v>
      </c>
      <c r="L9" s="704">
        <v>43100</v>
      </c>
      <c r="M9" s="704">
        <v>43131</v>
      </c>
      <c r="N9" s="704"/>
      <c r="O9" s="704">
        <v>43132</v>
      </c>
      <c r="P9" s="704">
        <v>43465</v>
      </c>
      <c r="Q9" s="540">
        <f ca="1" t="shared" si="0"/>
        <v>192.61546296296</v>
      </c>
      <c r="R9" s="106" t="str">
        <f ca="1" t="shared" si="1"/>
        <v>ACTIVE</v>
      </c>
      <c r="S9" s="116">
        <v>2873036</v>
      </c>
      <c r="T9" s="116">
        <v>775000</v>
      </c>
      <c r="U9" s="700" t="s">
        <v>583</v>
      </c>
      <c r="V9" s="700"/>
      <c r="W9" s="700"/>
      <c r="X9" s="700"/>
      <c r="Y9" s="700"/>
      <c r="Z9" s="700"/>
      <c r="AA9" s="700" t="s">
        <v>112</v>
      </c>
      <c r="AB9" s="712" t="s">
        <v>8612</v>
      </c>
      <c r="AC9" s="718">
        <v>1500000</v>
      </c>
      <c r="AD9" s="700" t="s">
        <v>8613</v>
      </c>
      <c r="AE9" s="101" t="s">
        <v>8614</v>
      </c>
      <c r="AF9" s="697" t="s">
        <v>8648</v>
      </c>
      <c r="AG9" s="1586" t="s">
        <v>8649</v>
      </c>
      <c r="AH9" s="1586" t="s">
        <v>8650</v>
      </c>
      <c r="AI9" s="221" t="s">
        <v>8651</v>
      </c>
      <c r="AJ9" s="221">
        <v>14024895469</v>
      </c>
      <c r="AK9" s="649" t="s">
        <v>8652</v>
      </c>
      <c r="AL9" s="723" t="s">
        <v>8653</v>
      </c>
      <c r="AM9" s="122" t="s">
        <v>8654</v>
      </c>
      <c r="AN9" s="221"/>
    </row>
    <row r="10" ht="31.5" spans="1:40">
      <c r="A10" s="1585" t="s">
        <v>92</v>
      </c>
      <c r="B10" s="100" t="s">
        <v>8655</v>
      </c>
      <c r="C10" s="697" t="s">
        <v>8656</v>
      </c>
      <c r="D10" s="697" t="s">
        <v>8657</v>
      </c>
      <c r="E10" s="700" t="s">
        <v>43</v>
      </c>
      <c r="F10" s="100" t="s">
        <v>96</v>
      </c>
      <c r="G10" s="697" t="s">
        <v>8658</v>
      </c>
      <c r="H10" s="697" t="s">
        <v>8611</v>
      </c>
      <c r="I10" s="697" t="s">
        <v>920</v>
      </c>
      <c r="J10" s="703">
        <v>42401</v>
      </c>
      <c r="K10" s="703">
        <v>42766</v>
      </c>
      <c r="L10" s="704">
        <v>43100</v>
      </c>
      <c r="M10" s="704">
        <v>43131</v>
      </c>
      <c r="N10" s="704"/>
      <c r="O10" s="704">
        <v>43132</v>
      </c>
      <c r="P10" s="704">
        <v>43465</v>
      </c>
      <c r="Q10" s="540">
        <f ca="1" t="shared" si="0"/>
        <v>192.61546296296</v>
      </c>
      <c r="R10" s="106" t="str">
        <f ca="1" t="shared" si="1"/>
        <v>ACTIVE</v>
      </c>
      <c r="S10" s="116">
        <v>3194640</v>
      </c>
      <c r="T10" s="116">
        <v>775000</v>
      </c>
      <c r="U10" s="700" t="s">
        <v>583</v>
      </c>
      <c r="V10" s="700"/>
      <c r="W10" s="700"/>
      <c r="X10" s="700"/>
      <c r="Y10" s="700"/>
      <c r="Z10" s="700"/>
      <c r="AA10" s="700" t="s">
        <v>112</v>
      </c>
      <c r="AB10" s="712" t="s">
        <v>8612</v>
      </c>
      <c r="AC10" s="718">
        <v>2500000</v>
      </c>
      <c r="AD10" s="700" t="s">
        <v>8613</v>
      </c>
      <c r="AE10" s="101" t="s">
        <v>8659</v>
      </c>
      <c r="AF10" s="697" t="s">
        <v>8660</v>
      </c>
      <c r="AG10" s="1586" t="s">
        <v>8661</v>
      </c>
      <c r="AH10" s="1586" t="s">
        <v>8662</v>
      </c>
      <c r="AI10" s="221" t="s">
        <v>8663</v>
      </c>
      <c r="AJ10" s="221" t="s">
        <v>8619</v>
      </c>
      <c r="AK10" s="122" t="s">
        <v>8664</v>
      </c>
      <c r="AL10" s="723" t="s">
        <v>8665</v>
      </c>
      <c r="AM10" s="122" t="s">
        <v>8666</v>
      </c>
      <c r="AN10" s="221"/>
    </row>
    <row r="11" ht="31.5" spans="1:40">
      <c r="A11" s="1585" t="s">
        <v>107</v>
      </c>
      <c r="B11" s="100" t="s">
        <v>8667</v>
      </c>
      <c r="C11" s="697" t="s">
        <v>8668</v>
      </c>
      <c r="D11" s="697" t="s">
        <v>8669</v>
      </c>
      <c r="E11" s="700" t="s">
        <v>43</v>
      </c>
      <c r="F11" s="100" t="s">
        <v>60</v>
      </c>
      <c r="G11" s="697" t="s">
        <v>8670</v>
      </c>
      <c r="H11" s="697" t="s">
        <v>8611</v>
      </c>
      <c r="I11" s="697" t="s">
        <v>920</v>
      </c>
      <c r="J11" s="703">
        <v>42401</v>
      </c>
      <c r="K11" s="703">
        <v>42766</v>
      </c>
      <c r="L11" s="704">
        <v>43100</v>
      </c>
      <c r="M11" s="704">
        <v>43131</v>
      </c>
      <c r="N11" s="704"/>
      <c r="O11" s="704">
        <v>43132</v>
      </c>
      <c r="P11" s="704">
        <v>43465</v>
      </c>
      <c r="Q11" s="540">
        <f ca="1" t="shared" si="0"/>
        <v>192.61546296296</v>
      </c>
      <c r="R11" s="106" t="str">
        <f ca="1" t="shared" si="1"/>
        <v>ACTIVE</v>
      </c>
      <c r="S11" s="116">
        <v>2873036</v>
      </c>
      <c r="T11" s="116">
        <v>775000</v>
      </c>
      <c r="U11" s="700" t="s">
        <v>583</v>
      </c>
      <c r="V11" s="700"/>
      <c r="W11" s="700"/>
      <c r="X11" s="700"/>
      <c r="Y11" s="700"/>
      <c r="Z11" s="700"/>
      <c r="AA11" s="700" t="s">
        <v>112</v>
      </c>
      <c r="AB11" s="712" t="s">
        <v>8612</v>
      </c>
      <c r="AC11" s="718">
        <v>2000000</v>
      </c>
      <c r="AD11" s="700" t="s">
        <v>8613</v>
      </c>
      <c r="AE11" s="101" t="s">
        <v>8671</v>
      </c>
      <c r="AF11" s="697" t="s">
        <v>8672</v>
      </c>
      <c r="AG11" s="1587" t="s">
        <v>8673</v>
      </c>
      <c r="AH11" s="1586" t="s">
        <v>8674</v>
      </c>
      <c r="AI11" s="158" t="s">
        <v>8675</v>
      </c>
      <c r="AJ11" s="1587" t="s">
        <v>8676</v>
      </c>
      <c r="AK11" s="649" t="s">
        <v>8677</v>
      </c>
      <c r="AL11" s="723" t="s">
        <v>8678</v>
      </c>
      <c r="AM11" s="122" t="s">
        <v>8679</v>
      </c>
      <c r="AN11" s="221"/>
    </row>
    <row r="12" ht="31.5" spans="1:40">
      <c r="A12" s="1585" t="s">
        <v>121</v>
      </c>
      <c r="B12" s="100" t="s">
        <v>8680</v>
      </c>
      <c r="C12" s="697" t="s">
        <v>8681</v>
      </c>
      <c r="D12" s="697" t="s">
        <v>8682</v>
      </c>
      <c r="E12" s="700" t="s">
        <v>43</v>
      </c>
      <c r="F12" s="100" t="s">
        <v>60</v>
      </c>
      <c r="G12" s="697" t="s">
        <v>8683</v>
      </c>
      <c r="H12" s="697" t="s">
        <v>8611</v>
      </c>
      <c r="I12" s="697" t="s">
        <v>920</v>
      </c>
      <c r="J12" s="703">
        <v>42401</v>
      </c>
      <c r="K12" s="703">
        <v>42766</v>
      </c>
      <c r="L12" s="704">
        <v>43100</v>
      </c>
      <c r="M12" s="704">
        <v>43131</v>
      </c>
      <c r="N12" s="704"/>
      <c r="O12" s="704">
        <v>43132</v>
      </c>
      <c r="P12" s="704">
        <v>43465</v>
      </c>
      <c r="Q12" s="540">
        <f ca="1" t="shared" si="0"/>
        <v>192.61546296296</v>
      </c>
      <c r="R12" s="106" t="str">
        <f ca="1" t="shared" si="1"/>
        <v>ACTIVE</v>
      </c>
      <c r="S12" s="116">
        <v>2873036</v>
      </c>
      <c r="T12" s="116">
        <v>775000</v>
      </c>
      <c r="U12" s="700" t="s">
        <v>583</v>
      </c>
      <c r="V12" s="700"/>
      <c r="W12" s="700"/>
      <c r="X12" s="700"/>
      <c r="Y12" s="700"/>
      <c r="Z12" s="700"/>
      <c r="AA12" s="700" t="s">
        <v>112</v>
      </c>
      <c r="AB12" s="712" t="s">
        <v>8612</v>
      </c>
      <c r="AC12" s="718">
        <v>2000000</v>
      </c>
      <c r="AD12" s="700" t="s">
        <v>8613</v>
      </c>
      <c r="AE12" s="101" t="s">
        <v>8684</v>
      </c>
      <c r="AF12" s="697" t="s">
        <v>8685</v>
      </c>
      <c r="AG12" s="1586" t="s">
        <v>8686</v>
      </c>
      <c r="AH12" s="1586" t="s">
        <v>8687</v>
      </c>
      <c r="AI12" s="221" t="s">
        <v>8688</v>
      </c>
      <c r="AJ12" s="1586" t="s">
        <v>8689</v>
      </c>
      <c r="AK12" s="649" t="s">
        <v>8690</v>
      </c>
      <c r="AL12" s="723" t="s">
        <v>8691</v>
      </c>
      <c r="AM12" s="122" t="s">
        <v>8692</v>
      </c>
      <c r="AN12" s="221"/>
    </row>
    <row r="13" ht="31.5" spans="1:40">
      <c r="A13" s="1585" t="s">
        <v>135</v>
      </c>
      <c r="B13" s="100" t="s">
        <v>8693</v>
      </c>
      <c r="C13" s="697" t="s">
        <v>8694</v>
      </c>
      <c r="D13" s="697" t="s">
        <v>8695</v>
      </c>
      <c r="E13" s="700" t="s">
        <v>43</v>
      </c>
      <c r="F13" s="100" t="s">
        <v>60</v>
      </c>
      <c r="G13" s="697" t="s">
        <v>8637</v>
      </c>
      <c r="H13" s="697" t="s">
        <v>8611</v>
      </c>
      <c r="I13" s="697" t="s">
        <v>920</v>
      </c>
      <c r="J13" s="703">
        <v>42401</v>
      </c>
      <c r="K13" s="703">
        <v>42766</v>
      </c>
      <c r="L13" s="704">
        <v>42947</v>
      </c>
      <c r="M13" s="704">
        <v>43100</v>
      </c>
      <c r="N13" s="704">
        <v>43131</v>
      </c>
      <c r="O13" s="704">
        <v>43132</v>
      </c>
      <c r="P13" s="704">
        <v>43465</v>
      </c>
      <c r="Q13" s="540">
        <f ca="1" t="shared" si="0"/>
        <v>192.61546296296</v>
      </c>
      <c r="R13" s="106" t="str">
        <f ca="1" t="shared" si="1"/>
        <v>ACTIVE</v>
      </c>
      <c r="S13" s="116">
        <v>2873036</v>
      </c>
      <c r="T13" s="116">
        <v>775000</v>
      </c>
      <c r="U13" s="700" t="s">
        <v>583</v>
      </c>
      <c r="V13" s="700"/>
      <c r="W13" s="700"/>
      <c r="X13" s="700"/>
      <c r="Y13" s="700"/>
      <c r="Z13" s="700"/>
      <c r="AA13" s="700" t="s">
        <v>112</v>
      </c>
      <c r="AB13" s="712" t="s">
        <v>8612</v>
      </c>
      <c r="AC13" s="718">
        <v>2000000</v>
      </c>
      <c r="AD13" s="700" t="s">
        <v>8613</v>
      </c>
      <c r="AE13" s="101" t="s">
        <v>8696</v>
      </c>
      <c r="AF13" s="697" t="s">
        <v>8697</v>
      </c>
      <c r="AG13" s="1586" t="s">
        <v>8698</v>
      </c>
      <c r="AH13" s="1586" t="s">
        <v>8699</v>
      </c>
      <c r="AI13" s="221" t="s">
        <v>8700</v>
      </c>
      <c r="AJ13" s="221">
        <v>13016699921</v>
      </c>
      <c r="AK13" s="122" t="s">
        <v>8701</v>
      </c>
      <c r="AL13" s="723" t="s">
        <v>8702</v>
      </c>
      <c r="AM13" s="122" t="s">
        <v>8703</v>
      </c>
      <c r="AN13" s="221"/>
    </row>
    <row r="14" ht="31.5" spans="1:40">
      <c r="A14" s="1585" t="s">
        <v>146</v>
      </c>
      <c r="B14" s="100" t="s">
        <v>8704</v>
      </c>
      <c r="C14" s="697" t="s">
        <v>8705</v>
      </c>
      <c r="D14" s="697" t="s">
        <v>8706</v>
      </c>
      <c r="E14" s="700" t="s">
        <v>43</v>
      </c>
      <c r="F14" s="100" t="s">
        <v>44</v>
      </c>
      <c r="G14" s="697" t="s">
        <v>8637</v>
      </c>
      <c r="H14" s="697" t="s">
        <v>8611</v>
      </c>
      <c r="I14" s="697" t="s">
        <v>920</v>
      </c>
      <c r="J14" s="703">
        <v>42401</v>
      </c>
      <c r="K14" s="703">
        <v>42766</v>
      </c>
      <c r="L14" s="704">
        <v>43100</v>
      </c>
      <c r="M14" s="704">
        <v>43131</v>
      </c>
      <c r="N14" s="704"/>
      <c r="O14" s="704">
        <v>43132</v>
      </c>
      <c r="P14" s="704">
        <v>43465</v>
      </c>
      <c r="Q14" s="540">
        <f ca="1" t="shared" si="0"/>
        <v>192.61546296296</v>
      </c>
      <c r="R14" s="106" t="str">
        <f ca="1" t="shared" si="1"/>
        <v>ACTIVE</v>
      </c>
      <c r="S14" s="116">
        <v>2873036</v>
      </c>
      <c r="T14" s="116">
        <v>775000</v>
      </c>
      <c r="U14" s="700" t="s">
        <v>583</v>
      </c>
      <c r="V14" s="700"/>
      <c r="W14" s="700"/>
      <c r="X14" s="700"/>
      <c r="Y14" s="700"/>
      <c r="Z14" s="700"/>
      <c r="AA14" s="700" t="s">
        <v>112</v>
      </c>
      <c r="AB14" s="712" t="s">
        <v>8612</v>
      </c>
      <c r="AC14" s="718">
        <v>1500000</v>
      </c>
      <c r="AD14" s="700" t="s">
        <v>8613</v>
      </c>
      <c r="AE14" s="101" t="s">
        <v>8707</v>
      </c>
      <c r="AF14" s="697" t="s">
        <v>8708</v>
      </c>
      <c r="AG14" s="1586" t="s">
        <v>8709</v>
      </c>
      <c r="AH14" s="1586" t="s">
        <v>8710</v>
      </c>
      <c r="AI14" s="221" t="s">
        <v>8711</v>
      </c>
      <c r="AJ14" s="1586" t="s">
        <v>8712</v>
      </c>
      <c r="AK14" s="649" t="s">
        <v>8713</v>
      </c>
      <c r="AL14" s="723" t="s">
        <v>8714</v>
      </c>
      <c r="AM14" s="122" t="s">
        <v>8715</v>
      </c>
      <c r="AN14" s="221"/>
    </row>
    <row r="15" ht="31.5" spans="1:40">
      <c r="A15" s="1585" t="s">
        <v>157</v>
      </c>
      <c r="B15" s="100" t="s">
        <v>8716</v>
      </c>
      <c r="C15" s="697" t="s">
        <v>8717</v>
      </c>
      <c r="D15" s="697" t="s">
        <v>8718</v>
      </c>
      <c r="E15" s="700" t="s">
        <v>43</v>
      </c>
      <c r="F15" s="100" t="s">
        <v>254</v>
      </c>
      <c r="G15" s="697" t="s">
        <v>8637</v>
      </c>
      <c r="H15" s="697" t="s">
        <v>8611</v>
      </c>
      <c r="I15" s="697" t="s">
        <v>920</v>
      </c>
      <c r="J15" s="703">
        <v>42401</v>
      </c>
      <c r="K15" s="703">
        <v>42766</v>
      </c>
      <c r="L15" s="704">
        <v>43100</v>
      </c>
      <c r="M15" s="704">
        <v>43131</v>
      </c>
      <c r="N15" s="704"/>
      <c r="O15" s="704">
        <v>43132</v>
      </c>
      <c r="P15" s="704">
        <v>43465</v>
      </c>
      <c r="Q15" s="540">
        <f ca="1" t="shared" si="0"/>
        <v>192.61546296296</v>
      </c>
      <c r="R15" s="106" t="str">
        <f ca="1" t="shared" si="1"/>
        <v>ACTIVE</v>
      </c>
      <c r="S15" s="116">
        <v>2873036</v>
      </c>
      <c r="T15" s="116">
        <v>775000</v>
      </c>
      <c r="U15" s="700" t="s">
        <v>583</v>
      </c>
      <c r="V15" s="700"/>
      <c r="W15" s="700"/>
      <c r="X15" s="700"/>
      <c r="Y15" s="700"/>
      <c r="Z15" s="700"/>
      <c r="AA15" s="700" t="s">
        <v>112</v>
      </c>
      <c r="AB15" s="712" t="s">
        <v>8612</v>
      </c>
      <c r="AC15" s="718">
        <v>2250000</v>
      </c>
      <c r="AD15" s="700" t="s">
        <v>8613</v>
      </c>
      <c r="AE15" s="101" t="s">
        <v>8719</v>
      </c>
      <c r="AF15" s="697" t="s">
        <v>8720</v>
      </c>
      <c r="AG15" s="1586" t="s">
        <v>8721</v>
      </c>
      <c r="AH15" s="1586" t="s">
        <v>8722</v>
      </c>
      <c r="AI15" s="221" t="s">
        <v>112</v>
      </c>
      <c r="AJ15" s="221">
        <v>13036221417</v>
      </c>
      <c r="AK15" s="649" t="s">
        <v>8723</v>
      </c>
      <c r="AL15" s="723" t="s">
        <v>8724</v>
      </c>
      <c r="AM15" s="122" t="s">
        <v>8725</v>
      </c>
      <c r="AN15" s="221"/>
    </row>
    <row r="16" ht="31.5" spans="1:40">
      <c r="A16" s="1585" t="s">
        <v>168</v>
      </c>
      <c r="B16" s="100" t="s">
        <v>8726</v>
      </c>
      <c r="C16" s="697" t="s">
        <v>8727</v>
      </c>
      <c r="D16" s="697" t="s">
        <v>8728</v>
      </c>
      <c r="E16" s="700" t="s">
        <v>43</v>
      </c>
      <c r="F16" s="100" t="s">
        <v>60</v>
      </c>
      <c r="G16" s="697" t="s">
        <v>8683</v>
      </c>
      <c r="H16" s="697" t="s">
        <v>8611</v>
      </c>
      <c r="I16" s="697" t="s">
        <v>920</v>
      </c>
      <c r="J16" s="703">
        <v>42401</v>
      </c>
      <c r="K16" s="703">
        <v>42766</v>
      </c>
      <c r="L16" s="704">
        <v>43100</v>
      </c>
      <c r="M16" s="704">
        <v>43131</v>
      </c>
      <c r="N16" s="704"/>
      <c r="O16" s="704">
        <v>43132</v>
      </c>
      <c r="P16" s="704">
        <v>43465</v>
      </c>
      <c r="Q16" s="540">
        <f ca="1" t="shared" si="0"/>
        <v>192.61546296296</v>
      </c>
      <c r="R16" s="106" t="str">
        <f ca="1" t="shared" si="1"/>
        <v>ACTIVE</v>
      </c>
      <c r="S16" s="116">
        <v>2873036</v>
      </c>
      <c r="T16" s="116">
        <v>775000</v>
      </c>
      <c r="U16" s="700" t="s">
        <v>583</v>
      </c>
      <c r="V16" s="700"/>
      <c r="W16" s="700"/>
      <c r="X16" s="700"/>
      <c r="Y16" s="700"/>
      <c r="Z16" s="700"/>
      <c r="AA16" s="700" t="s">
        <v>112</v>
      </c>
      <c r="AB16" s="712" t="s">
        <v>8612</v>
      </c>
      <c r="AC16" s="718">
        <v>2000000</v>
      </c>
      <c r="AD16" s="700" t="s">
        <v>8613</v>
      </c>
      <c r="AE16" s="101" t="s">
        <v>8729</v>
      </c>
      <c r="AF16" s="697" t="s">
        <v>8730</v>
      </c>
      <c r="AG16" s="1586" t="s">
        <v>8731</v>
      </c>
      <c r="AH16" s="1586" t="s">
        <v>8732</v>
      </c>
      <c r="AI16" s="221" t="s">
        <v>8733</v>
      </c>
      <c r="AJ16" s="221">
        <v>12002212814</v>
      </c>
      <c r="AK16" s="649" t="s">
        <v>8734</v>
      </c>
      <c r="AL16" s="723" t="s">
        <v>8735</v>
      </c>
      <c r="AM16" s="122" t="s">
        <v>8736</v>
      </c>
      <c r="AN16" s="221"/>
    </row>
    <row r="17" ht="31.5" spans="1:40">
      <c r="A17" s="1585" t="s">
        <v>181</v>
      </c>
      <c r="B17" s="100" t="s">
        <v>8737</v>
      </c>
      <c r="C17" s="697" t="s">
        <v>8738</v>
      </c>
      <c r="D17" s="697" t="s">
        <v>8739</v>
      </c>
      <c r="E17" s="700" t="s">
        <v>43</v>
      </c>
      <c r="F17" s="100" t="s">
        <v>96</v>
      </c>
      <c r="G17" s="697" t="s">
        <v>8740</v>
      </c>
      <c r="H17" s="697" t="s">
        <v>8611</v>
      </c>
      <c r="I17" s="697" t="s">
        <v>920</v>
      </c>
      <c r="J17" s="703">
        <v>42401</v>
      </c>
      <c r="K17" s="703">
        <v>42766</v>
      </c>
      <c r="L17" s="704">
        <v>43100</v>
      </c>
      <c r="M17" s="704">
        <v>43131</v>
      </c>
      <c r="N17" s="704"/>
      <c r="O17" s="704">
        <v>43132</v>
      </c>
      <c r="P17" s="704">
        <v>43465</v>
      </c>
      <c r="Q17" s="540">
        <f ca="1" t="shared" si="0"/>
        <v>192.61546296296</v>
      </c>
      <c r="R17" s="106" t="str">
        <f ca="1" t="shared" si="1"/>
        <v>ACTIVE</v>
      </c>
      <c r="S17" s="116">
        <v>3710760</v>
      </c>
      <c r="T17" s="116">
        <v>775000</v>
      </c>
      <c r="U17" s="700" t="s">
        <v>583</v>
      </c>
      <c r="V17" s="700"/>
      <c r="W17" s="700"/>
      <c r="X17" s="700"/>
      <c r="Y17" s="700"/>
      <c r="Z17" s="700"/>
      <c r="AA17" s="700" t="s">
        <v>112</v>
      </c>
      <c r="AB17" s="712" t="s">
        <v>8612</v>
      </c>
      <c r="AC17" s="718">
        <v>2500000</v>
      </c>
      <c r="AD17" s="700" t="s">
        <v>8613</v>
      </c>
      <c r="AE17" s="101" t="s">
        <v>8741</v>
      </c>
      <c r="AF17" s="697" t="s">
        <v>8742</v>
      </c>
      <c r="AG17" s="1586" t="s">
        <v>8743</v>
      </c>
      <c r="AH17" s="1586" t="s">
        <v>8744</v>
      </c>
      <c r="AI17" s="221" t="s">
        <v>8745</v>
      </c>
      <c r="AJ17" s="221" t="s">
        <v>8619</v>
      </c>
      <c r="AK17" s="649" t="s">
        <v>8746</v>
      </c>
      <c r="AL17" s="723" t="s">
        <v>8747</v>
      </c>
      <c r="AM17" s="122" t="s">
        <v>8748</v>
      </c>
      <c r="AN17" s="221"/>
    </row>
    <row r="18" ht="31.5" spans="1:40">
      <c r="A18" s="1585" t="s">
        <v>194</v>
      </c>
      <c r="B18" s="100" t="s">
        <v>8749</v>
      </c>
      <c r="C18" s="697" t="s">
        <v>8750</v>
      </c>
      <c r="D18" s="697" t="s">
        <v>8751</v>
      </c>
      <c r="E18" s="700" t="s">
        <v>43</v>
      </c>
      <c r="F18" s="100" t="s">
        <v>254</v>
      </c>
      <c r="G18" s="697" t="s">
        <v>8658</v>
      </c>
      <c r="H18" s="697" t="s">
        <v>8611</v>
      </c>
      <c r="I18" s="697" t="s">
        <v>920</v>
      </c>
      <c r="J18" s="703">
        <v>42401</v>
      </c>
      <c r="K18" s="703">
        <v>42766</v>
      </c>
      <c r="L18" s="704">
        <v>43100</v>
      </c>
      <c r="M18" s="704">
        <v>43131</v>
      </c>
      <c r="N18" s="704"/>
      <c r="O18" s="704">
        <v>43132</v>
      </c>
      <c r="P18" s="704">
        <v>43465</v>
      </c>
      <c r="Q18" s="540">
        <f ca="1" t="shared" si="0"/>
        <v>192.61546296296</v>
      </c>
      <c r="R18" s="106" t="str">
        <f ca="1" t="shared" si="1"/>
        <v>ACTIVE</v>
      </c>
      <c r="S18" s="116">
        <v>3196090</v>
      </c>
      <c r="T18" s="116">
        <v>775000</v>
      </c>
      <c r="U18" s="700" t="s">
        <v>583</v>
      </c>
      <c r="V18" s="700"/>
      <c r="W18" s="700"/>
      <c r="X18" s="700"/>
      <c r="Y18" s="700"/>
      <c r="Z18" s="700"/>
      <c r="AA18" s="700" t="s">
        <v>112</v>
      </c>
      <c r="AB18" s="712" t="s">
        <v>8612</v>
      </c>
      <c r="AC18" s="718">
        <v>2250000</v>
      </c>
      <c r="AD18" s="700" t="s">
        <v>8613</v>
      </c>
      <c r="AE18" s="101" t="s">
        <v>8752</v>
      </c>
      <c r="AF18" s="697" t="s">
        <v>8753</v>
      </c>
      <c r="AG18" s="1586" t="s">
        <v>8754</v>
      </c>
      <c r="AH18" s="1586" t="s">
        <v>8755</v>
      </c>
      <c r="AI18" s="221" t="s">
        <v>8756</v>
      </c>
      <c r="AJ18" s="221" t="s">
        <v>8619</v>
      </c>
      <c r="AK18" s="649" t="s">
        <v>8757</v>
      </c>
      <c r="AL18" s="723" t="s">
        <v>8758</v>
      </c>
      <c r="AM18" s="122" t="s">
        <v>8759</v>
      </c>
      <c r="AN18" s="221"/>
    </row>
    <row r="19" ht="31.5" spans="1:40">
      <c r="A19" s="1585" t="s">
        <v>204</v>
      </c>
      <c r="B19" s="100" t="s">
        <v>8760</v>
      </c>
      <c r="C19" s="697" t="s">
        <v>8761</v>
      </c>
      <c r="D19" s="697" t="s">
        <v>8762</v>
      </c>
      <c r="E19" s="700" t="s">
        <v>43</v>
      </c>
      <c r="F19" s="100" t="s">
        <v>254</v>
      </c>
      <c r="G19" s="697" t="s">
        <v>8658</v>
      </c>
      <c r="H19" s="697" t="s">
        <v>8611</v>
      </c>
      <c r="I19" s="697" t="s">
        <v>920</v>
      </c>
      <c r="J19" s="703">
        <v>42401</v>
      </c>
      <c r="K19" s="703">
        <v>42766</v>
      </c>
      <c r="L19" s="704">
        <v>43100</v>
      </c>
      <c r="M19" s="704">
        <v>43131</v>
      </c>
      <c r="N19" s="704"/>
      <c r="O19" s="704">
        <v>43132</v>
      </c>
      <c r="P19" s="704">
        <v>43465</v>
      </c>
      <c r="Q19" s="540">
        <f ca="1" t="shared" si="0"/>
        <v>192.61546296296</v>
      </c>
      <c r="R19" s="106" t="str">
        <f ca="1" t="shared" si="1"/>
        <v>ACTIVE</v>
      </c>
      <c r="S19" s="116">
        <v>3165060</v>
      </c>
      <c r="T19" s="116">
        <v>775000</v>
      </c>
      <c r="U19" s="700" t="s">
        <v>583</v>
      </c>
      <c r="V19" s="700"/>
      <c r="W19" s="700"/>
      <c r="X19" s="700"/>
      <c r="Y19" s="700"/>
      <c r="Z19" s="700"/>
      <c r="AA19" s="700" t="s">
        <v>112</v>
      </c>
      <c r="AB19" s="712" t="s">
        <v>8612</v>
      </c>
      <c r="AC19" s="718">
        <v>2250000</v>
      </c>
      <c r="AD19" s="700" t="s">
        <v>8613</v>
      </c>
      <c r="AE19" s="101" t="s">
        <v>8659</v>
      </c>
      <c r="AF19" s="697" t="s">
        <v>8763</v>
      </c>
      <c r="AG19" s="1586" t="s">
        <v>8764</v>
      </c>
      <c r="AH19" s="1586" t="s">
        <v>8765</v>
      </c>
      <c r="AI19" s="221" t="s">
        <v>8766</v>
      </c>
      <c r="AJ19" s="221" t="s">
        <v>8619</v>
      </c>
      <c r="AK19" s="649" t="s">
        <v>8767</v>
      </c>
      <c r="AL19" s="723" t="s">
        <v>8768</v>
      </c>
      <c r="AM19" s="122" t="s">
        <v>8769</v>
      </c>
      <c r="AN19" s="221"/>
    </row>
    <row r="20" ht="31.5" spans="1:40">
      <c r="A20" s="1585" t="s">
        <v>215</v>
      </c>
      <c r="B20" s="100" t="s">
        <v>8770</v>
      </c>
      <c r="C20" s="697" t="s">
        <v>8771</v>
      </c>
      <c r="D20" s="697" t="s">
        <v>8772</v>
      </c>
      <c r="E20" s="700" t="s">
        <v>43</v>
      </c>
      <c r="F20" s="100" t="s">
        <v>254</v>
      </c>
      <c r="G20" s="697" t="s">
        <v>8637</v>
      </c>
      <c r="H20" s="697" t="s">
        <v>8611</v>
      </c>
      <c r="I20" s="697" t="s">
        <v>920</v>
      </c>
      <c r="J20" s="703">
        <v>42401</v>
      </c>
      <c r="K20" s="703">
        <v>42766</v>
      </c>
      <c r="L20" s="704">
        <v>43100</v>
      </c>
      <c r="M20" s="704">
        <v>43131</v>
      </c>
      <c r="N20" s="704"/>
      <c r="O20" s="704">
        <v>43132</v>
      </c>
      <c r="P20" s="704">
        <v>43465</v>
      </c>
      <c r="Q20" s="540">
        <f ca="1" t="shared" si="0"/>
        <v>192.61546296296</v>
      </c>
      <c r="R20" s="106" t="str">
        <f ca="1" t="shared" si="1"/>
        <v>ACTIVE</v>
      </c>
      <c r="S20" s="116">
        <v>2873036</v>
      </c>
      <c r="T20" s="116">
        <v>775000</v>
      </c>
      <c r="U20" s="700" t="s">
        <v>583</v>
      </c>
      <c r="V20" s="700"/>
      <c r="W20" s="700"/>
      <c r="X20" s="700"/>
      <c r="Y20" s="700"/>
      <c r="Z20" s="700"/>
      <c r="AA20" s="700" t="s">
        <v>112</v>
      </c>
      <c r="AB20" s="712" t="s">
        <v>8612</v>
      </c>
      <c r="AC20" s="718">
        <v>2250000</v>
      </c>
      <c r="AD20" s="700" t="s">
        <v>8613</v>
      </c>
      <c r="AE20" s="101" t="s">
        <v>8614</v>
      </c>
      <c r="AF20" s="697" t="s">
        <v>8773</v>
      </c>
      <c r="AG20" s="1586" t="s">
        <v>8774</v>
      </c>
      <c r="AH20" s="1586" t="s">
        <v>8775</v>
      </c>
      <c r="AI20" s="221" t="s">
        <v>8776</v>
      </c>
      <c r="AJ20" s="221">
        <v>11032405216</v>
      </c>
      <c r="AK20" s="649" t="s">
        <v>8777</v>
      </c>
      <c r="AL20" s="723" t="s">
        <v>8778</v>
      </c>
      <c r="AM20" s="122" t="s">
        <v>8779</v>
      </c>
      <c r="AN20" s="221"/>
    </row>
    <row r="21" ht="31.5" spans="1:40">
      <c r="A21" s="1585" t="s">
        <v>229</v>
      </c>
      <c r="B21" s="100" t="s">
        <v>8780</v>
      </c>
      <c r="C21" s="697" t="s">
        <v>8781</v>
      </c>
      <c r="D21" s="697" t="s">
        <v>8782</v>
      </c>
      <c r="E21" s="700" t="s">
        <v>43</v>
      </c>
      <c r="F21" s="100" t="s">
        <v>44</v>
      </c>
      <c r="G21" s="697" t="s">
        <v>8637</v>
      </c>
      <c r="H21" s="697" t="s">
        <v>8611</v>
      </c>
      <c r="I21" s="697" t="s">
        <v>920</v>
      </c>
      <c r="J21" s="703">
        <v>42401</v>
      </c>
      <c r="K21" s="703">
        <v>42766</v>
      </c>
      <c r="L21" s="704">
        <v>43100</v>
      </c>
      <c r="M21" s="704">
        <v>43131</v>
      </c>
      <c r="N21" s="704"/>
      <c r="O21" s="704">
        <v>43132</v>
      </c>
      <c r="P21" s="704">
        <v>43465</v>
      </c>
      <c r="Q21" s="540">
        <f ca="1" t="shared" si="0"/>
        <v>192.61546296296</v>
      </c>
      <c r="R21" s="106" t="str">
        <f ca="1" t="shared" si="1"/>
        <v>ACTIVE</v>
      </c>
      <c r="S21" s="116">
        <v>2873036</v>
      </c>
      <c r="T21" s="116">
        <v>775000</v>
      </c>
      <c r="U21" s="700" t="s">
        <v>583</v>
      </c>
      <c r="V21" s="700"/>
      <c r="W21" s="700"/>
      <c r="X21" s="700"/>
      <c r="Y21" s="700"/>
      <c r="Z21" s="700"/>
      <c r="AA21" s="700" t="s">
        <v>112</v>
      </c>
      <c r="AB21" s="712" t="s">
        <v>8612</v>
      </c>
      <c r="AC21" s="718">
        <v>1500000</v>
      </c>
      <c r="AD21" s="700" t="s">
        <v>8613</v>
      </c>
      <c r="AE21" s="101" t="s">
        <v>8783</v>
      </c>
      <c r="AF21" s="697" t="s">
        <v>8784</v>
      </c>
      <c r="AG21" s="1586" t="s">
        <v>8785</v>
      </c>
      <c r="AH21" s="1586" t="s">
        <v>8786</v>
      </c>
      <c r="AI21" s="221" t="s">
        <v>8787</v>
      </c>
      <c r="AJ21" s="221" t="s">
        <v>8619</v>
      </c>
      <c r="AK21" s="649" t="s">
        <v>8788</v>
      </c>
      <c r="AL21" s="723" t="s">
        <v>8789</v>
      </c>
      <c r="AM21" s="122" t="s">
        <v>8790</v>
      </c>
      <c r="AN21" s="221"/>
    </row>
    <row r="22" ht="31.5" spans="1:40">
      <c r="A22" s="1585" t="s">
        <v>239</v>
      </c>
      <c r="B22" s="100" t="s">
        <v>8791</v>
      </c>
      <c r="C22" s="697" t="s">
        <v>8792</v>
      </c>
      <c r="D22" s="697" t="s">
        <v>8793</v>
      </c>
      <c r="E22" s="700" t="s">
        <v>43</v>
      </c>
      <c r="F22" s="100" t="s">
        <v>404</v>
      </c>
      <c r="G22" s="697" t="s">
        <v>8637</v>
      </c>
      <c r="H22" s="697" t="s">
        <v>8611</v>
      </c>
      <c r="I22" s="697" t="s">
        <v>920</v>
      </c>
      <c r="J22" s="703">
        <v>42401</v>
      </c>
      <c r="K22" s="703">
        <v>42766</v>
      </c>
      <c r="L22" s="704">
        <v>43100</v>
      </c>
      <c r="M22" s="704">
        <v>43131</v>
      </c>
      <c r="N22" s="704"/>
      <c r="O22" s="704">
        <v>43132</v>
      </c>
      <c r="P22" s="704">
        <v>43465</v>
      </c>
      <c r="Q22" s="540">
        <f ca="1" t="shared" si="0"/>
        <v>192.61546296296</v>
      </c>
      <c r="R22" s="106" t="str">
        <f ca="1" t="shared" si="1"/>
        <v>ACTIVE</v>
      </c>
      <c r="S22" s="116">
        <v>2873036</v>
      </c>
      <c r="T22" s="116">
        <v>775000</v>
      </c>
      <c r="U22" s="700" t="s">
        <v>583</v>
      </c>
      <c r="V22" s="700"/>
      <c r="W22" s="700"/>
      <c r="X22" s="700"/>
      <c r="Y22" s="700"/>
      <c r="Z22" s="700"/>
      <c r="AA22" s="700" t="s">
        <v>112</v>
      </c>
      <c r="AB22" s="712" t="s">
        <v>8612</v>
      </c>
      <c r="AC22" s="718">
        <v>1750000</v>
      </c>
      <c r="AD22" s="700" t="s">
        <v>8613</v>
      </c>
      <c r="AE22" s="101" t="s">
        <v>8707</v>
      </c>
      <c r="AF22" s="697" t="s">
        <v>8794</v>
      </c>
      <c r="AG22" s="1586" t="s">
        <v>8795</v>
      </c>
      <c r="AH22" s="1586" t="s">
        <v>8796</v>
      </c>
      <c r="AI22" s="221" t="s">
        <v>8797</v>
      </c>
      <c r="AJ22" s="221">
        <v>14008681802</v>
      </c>
      <c r="AK22" s="649" t="s">
        <v>8798</v>
      </c>
      <c r="AL22" s="723" t="s">
        <v>8799</v>
      </c>
      <c r="AM22" s="122" t="s">
        <v>8800</v>
      </c>
      <c r="AN22" s="221"/>
    </row>
    <row r="23" ht="31.5" spans="1:40">
      <c r="A23" s="1585" t="s">
        <v>250</v>
      </c>
      <c r="B23" s="100" t="s">
        <v>8801</v>
      </c>
      <c r="C23" s="697" t="s">
        <v>8802</v>
      </c>
      <c r="D23" s="697" t="s">
        <v>8803</v>
      </c>
      <c r="E23" s="700" t="s">
        <v>43</v>
      </c>
      <c r="F23" s="701" t="s">
        <v>404</v>
      </c>
      <c r="G23" s="697" t="s">
        <v>8683</v>
      </c>
      <c r="H23" s="697" t="s">
        <v>8611</v>
      </c>
      <c r="I23" s="697" t="s">
        <v>920</v>
      </c>
      <c r="J23" s="703">
        <v>42401</v>
      </c>
      <c r="K23" s="703">
        <v>42766</v>
      </c>
      <c r="L23" s="704">
        <v>43100</v>
      </c>
      <c r="M23" s="704">
        <v>43131</v>
      </c>
      <c r="N23" s="704"/>
      <c r="O23" s="704">
        <v>43132</v>
      </c>
      <c r="P23" s="704">
        <v>43465</v>
      </c>
      <c r="Q23" s="540">
        <f ca="1" t="shared" si="0"/>
        <v>192.61546296296</v>
      </c>
      <c r="R23" s="106" t="str">
        <f ca="1" t="shared" si="1"/>
        <v>ACTIVE</v>
      </c>
      <c r="S23" s="116">
        <v>2873036</v>
      </c>
      <c r="T23" s="116">
        <v>775000</v>
      </c>
      <c r="U23" s="700" t="s">
        <v>583</v>
      </c>
      <c r="V23" s="700"/>
      <c r="W23" s="700"/>
      <c r="X23" s="700"/>
      <c r="Y23" s="700"/>
      <c r="Z23" s="700"/>
      <c r="AA23" s="700" t="s">
        <v>112</v>
      </c>
      <c r="AB23" s="712" t="s">
        <v>8612</v>
      </c>
      <c r="AC23" s="718">
        <v>1500000</v>
      </c>
      <c r="AD23" s="700" t="s">
        <v>8613</v>
      </c>
      <c r="AE23" s="101" t="s">
        <v>8729</v>
      </c>
      <c r="AF23" s="697" t="s">
        <v>8804</v>
      </c>
      <c r="AG23" s="1586" t="s">
        <v>8805</v>
      </c>
      <c r="AH23" s="1586" t="s">
        <v>8806</v>
      </c>
      <c r="AI23" s="221" t="s">
        <v>8807</v>
      </c>
      <c r="AJ23" s="221">
        <v>11039342776</v>
      </c>
      <c r="AK23" s="649" t="s">
        <v>8808</v>
      </c>
      <c r="AL23" s="723" t="s">
        <v>8809</v>
      </c>
      <c r="AM23" s="122" t="s">
        <v>8810</v>
      </c>
      <c r="AN23" s="221"/>
    </row>
    <row r="24" ht="31.5" spans="1:40">
      <c r="A24" s="1585" t="s">
        <v>261</v>
      </c>
      <c r="B24" s="100" t="s">
        <v>8811</v>
      </c>
      <c r="C24" s="697" t="s">
        <v>8812</v>
      </c>
      <c r="D24" s="697" t="s">
        <v>8813</v>
      </c>
      <c r="E24" s="700" t="s">
        <v>43</v>
      </c>
      <c r="F24" s="100" t="s">
        <v>60</v>
      </c>
      <c r="G24" s="697" t="s">
        <v>8637</v>
      </c>
      <c r="H24" s="697" t="s">
        <v>8611</v>
      </c>
      <c r="I24" s="697" t="s">
        <v>920</v>
      </c>
      <c r="J24" s="703">
        <v>42401</v>
      </c>
      <c r="K24" s="703">
        <v>42766</v>
      </c>
      <c r="L24" s="704">
        <v>42947</v>
      </c>
      <c r="M24" s="704">
        <v>43100</v>
      </c>
      <c r="N24" s="704">
        <v>43131</v>
      </c>
      <c r="O24" s="704">
        <v>43132</v>
      </c>
      <c r="P24" s="704">
        <v>43465</v>
      </c>
      <c r="Q24" s="540">
        <f ca="1" t="shared" si="0"/>
        <v>192.61546296296</v>
      </c>
      <c r="R24" s="106" t="str">
        <f ca="1" t="shared" si="1"/>
        <v>ACTIVE</v>
      </c>
      <c r="S24" s="116">
        <v>2873036</v>
      </c>
      <c r="T24" s="116">
        <v>775000</v>
      </c>
      <c r="U24" s="116" t="s">
        <v>583</v>
      </c>
      <c r="V24" s="116"/>
      <c r="W24" s="116"/>
      <c r="X24" s="116"/>
      <c r="Y24" s="116"/>
      <c r="Z24" s="116"/>
      <c r="AA24" s="700" t="s">
        <v>112</v>
      </c>
      <c r="AB24" s="712" t="s">
        <v>8612</v>
      </c>
      <c r="AC24" s="718">
        <v>2000000</v>
      </c>
      <c r="AD24" s="700" t="s">
        <v>8613</v>
      </c>
      <c r="AE24" s="101" t="s">
        <v>8696</v>
      </c>
      <c r="AF24" s="697" t="s">
        <v>8814</v>
      </c>
      <c r="AG24" s="1586" t="s">
        <v>8815</v>
      </c>
      <c r="AH24" s="1586" t="s">
        <v>8816</v>
      </c>
      <c r="AI24" s="221" t="s">
        <v>8817</v>
      </c>
      <c r="AJ24" s="221">
        <v>13016700455</v>
      </c>
      <c r="AK24" s="649" t="s">
        <v>8818</v>
      </c>
      <c r="AL24" s="723" t="s">
        <v>8819</v>
      </c>
      <c r="AM24" s="122" t="s">
        <v>8820</v>
      </c>
      <c r="AN24" s="221"/>
    </row>
    <row r="25" ht="31.5" spans="1:40">
      <c r="A25" s="1585" t="s">
        <v>272</v>
      </c>
      <c r="B25" s="100" t="s">
        <v>8821</v>
      </c>
      <c r="C25" s="697" t="s">
        <v>8822</v>
      </c>
      <c r="D25" s="697" t="s">
        <v>8823</v>
      </c>
      <c r="E25" s="700" t="s">
        <v>43</v>
      </c>
      <c r="F25" s="100" t="s">
        <v>254</v>
      </c>
      <c r="G25" s="697" t="s">
        <v>8683</v>
      </c>
      <c r="H25" s="697" t="s">
        <v>8611</v>
      </c>
      <c r="I25" s="697" t="s">
        <v>920</v>
      </c>
      <c r="J25" s="703">
        <v>42401</v>
      </c>
      <c r="K25" s="703">
        <v>42766</v>
      </c>
      <c r="L25" s="704">
        <v>43100</v>
      </c>
      <c r="M25" s="704">
        <v>43131</v>
      </c>
      <c r="N25" s="704"/>
      <c r="O25" s="704">
        <v>43132</v>
      </c>
      <c r="P25" s="704">
        <v>43465</v>
      </c>
      <c r="Q25" s="540">
        <f ca="1" t="shared" si="0"/>
        <v>192.61546296296</v>
      </c>
      <c r="R25" s="106" t="str">
        <f ca="1" t="shared" si="1"/>
        <v>ACTIVE</v>
      </c>
      <c r="S25" s="116">
        <v>3166220</v>
      </c>
      <c r="T25" s="116">
        <v>775000</v>
      </c>
      <c r="U25" s="116" t="s">
        <v>583</v>
      </c>
      <c r="V25" s="116"/>
      <c r="W25" s="116"/>
      <c r="X25" s="116"/>
      <c r="Y25" s="116"/>
      <c r="Z25" s="116"/>
      <c r="AA25" s="700" t="s">
        <v>112</v>
      </c>
      <c r="AB25" s="712" t="s">
        <v>8612</v>
      </c>
      <c r="AC25" s="718">
        <v>2250000</v>
      </c>
      <c r="AD25" s="700" t="s">
        <v>8613</v>
      </c>
      <c r="AE25" s="101" t="s">
        <v>8752</v>
      </c>
      <c r="AF25" s="697" t="s">
        <v>8824</v>
      </c>
      <c r="AG25" s="1586" t="s">
        <v>8825</v>
      </c>
      <c r="AH25" s="1586" t="s">
        <v>8826</v>
      </c>
      <c r="AI25" s="221" t="s">
        <v>8827</v>
      </c>
      <c r="AJ25" s="221" t="s">
        <v>8619</v>
      </c>
      <c r="AK25" s="649" t="s">
        <v>8828</v>
      </c>
      <c r="AL25" s="723" t="s">
        <v>8829</v>
      </c>
      <c r="AM25" s="122" t="s">
        <v>8830</v>
      </c>
      <c r="AN25" s="221"/>
    </row>
    <row r="26" ht="31.5" spans="1:40">
      <c r="A26" s="1585" t="s">
        <v>286</v>
      </c>
      <c r="B26" s="100" t="s">
        <v>8831</v>
      </c>
      <c r="C26" s="697" t="s">
        <v>8832</v>
      </c>
      <c r="D26" s="697" t="s">
        <v>8833</v>
      </c>
      <c r="E26" s="700" t="s">
        <v>43</v>
      </c>
      <c r="F26" s="100" t="s">
        <v>44</v>
      </c>
      <c r="G26" s="697" t="s">
        <v>8834</v>
      </c>
      <c r="H26" s="697" t="s">
        <v>8835</v>
      </c>
      <c r="I26" s="697" t="s">
        <v>920</v>
      </c>
      <c r="J26" s="703">
        <v>42401</v>
      </c>
      <c r="K26" s="703">
        <v>42766</v>
      </c>
      <c r="L26" s="704">
        <v>43100</v>
      </c>
      <c r="M26" s="704">
        <v>43131</v>
      </c>
      <c r="N26" s="704"/>
      <c r="O26" s="704">
        <v>43132</v>
      </c>
      <c r="P26" s="704">
        <v>43465</v>
      </c>
      <c r="Q26" s="540">
        <f ca="1" t="shared" si="0"/>
        <v>192.61546296296</v>
      </c>
      <c r="R26" s="106" t="str">
        <f ca="1" t="shared" si="1"/>
        <v>ACTIVE</v>
      </c>
      <c r="S26" s="116">
        <v>2808750</v>
      </c>
      <c r="T26" s="116">
        <v>775000</v>
      </c>
      <c r="U26" s="116">
        <v>150000</v>
      </c>
      <c r="V26" s="116"/>
      <c r="W26" s="116"/>
      <c r="X26" s="116"/>
      <c r="Y26" s="116"/>
      <c r="Z26" s="116"/>
      <c r="AA26" s="700" t="s">
        <v>113</v>
      </c>
      <c r="AB26" s="712" t="s">
        <v>8612</v>
      </c>
      <c r="AC26" s="718">
        <v>1500000</v>
      </c>
      <c r="AD26" s="700" t="s">
        <v>8613</v>
      </c>
      <c r="AE26" s="101" t="s">
        <v>8836</v>
      </c>
      <c r="AF26" s="697" t="s">
        <v>8837</v>
      </c>
      <c r="AG26" s="1588" t="s">
        <v>8838</v>
      </c>
      <c r="AH26" s="1586" t="s">
        <v>8839</v>
      </c>
      <c r="AI26" s="221" t="s">
        <v>8840</v>
      </c>
      <c r="AJ26" s="221">
        <v>12006297753</v>
      </c>
      <c r="AK26" s="649" t="s">
        <v>8767</v>
      </c>
      <c r="AL26" s="723" t="s">
        <v>8841</v>
      </c>
      <c r="AM26" s="122" t="s">
        <v>8842</v>
      </c>
      <c r="AN26" s="221"/>
    </row>
    <row r="27" ht="31.5" spans="1:40">
      <c r="A27" s="1585" t="s">
        <v>296</v>
      </c>
      <c r="B27" s="100" t="s">
        <v>8843</v>
      </c>
      <c r="C27" s="697" t="s">
        <v>8844</v>
      </c>
      <c r="D27" s="697" t="s">
        <v>8845</v>
      </c>
      <c r="E27" s="700" t="s">
        <v>43</v>
      </c>
      <c r="F27" s="100" t="s">
        <v>44</v>
      </c>
      <c r="G27" s="697" t="s">
        <v>8834</v>
      </c>
      <c r="H27" s="697" t="s">
        <v>8835</v>
      </c>
      <c r="I27" s="697" t="s">
        <v>920</v>
      </c>
      <c r="J27" s="703">
        <v>42401</v>
      </c>
      <c r="K27" s="703">
        <v>42766</v>
      </c>
      <c r="L27" s="704">
        <v>43100</v>
      </c>
      <c r="M27" s="704">
        <v>43131</v>
      </c>
      <c r="N27" s="704"/>
      <c r="O27" s="704">
        <v>43132</v>
      </c>
      <c r="P27" s="704">
        <v>43465</v>
      </c>
      <c r="Q27" s="540">
        <f ca="1" t="shared" si="0"/>
        <v>192.61546296296</v>
      </c>
      <c r="R27" s="106" t="str">
        <f ca="1" t="shared" si="1"/>
        <v>ACTIVE</v>
      </c>
      <c r="S27" s="116">
        <v>2808750</v>
      </c>
      <c r="T27" s="116">
        <v>775000</v>
      </c>
      <c r="U27" s="116">
        <v>150000</v>
      </c>
      <c r="V27" s="116"/>
      <c r="W27" s="116"/>
      <c r="X27" s="116"/>
      <c r="Y27" s="116"/>
      <c r="Z27" s="116"/>
      <c r="AA27" s="700" t="s">
        <v>113</v>
      </c>
      <c r="AB27" s="712" t="s">
        <v>8612</v>
      </c>
      <c r="AC27" s="718">
        <v>1500000</v>
      </c>
      <c r="AD27" s="700" t="s">
        <v>8613</v>
      </c>
      <c r="AE27" s="101" t="s">
        <v>8846</v>
      </c>
      <c r="AF27" s="697" t="s">
        <v>8847</v>
      </c>
      <c r="AG27" s="1586" t="s">
        <v>8848</v>
      </c>
      <c r="AH27" s="1586" t="s">
        <v>8849</v>
      </c>
      <c r="AI27" s="221" t="s">
        <v>8850</v>
      </c>
      <c r="AJ27" s="723" t="s">
        <v>8851</v>
      </c>
      <c r="AK27" s="649" t="s">
        <v>8852</v>
      </c>
      <c r="AL27" s="723" t="s">
        <v>8853</v>
      </c>
      <c r="AM27" s="122" t="s">
        <v>8854</v>
      </c>
      <c r="AN27" s="221"/>
    </row>
    <row r="28" ht="31.5" spans="1:40">
      <c r="A28" s="1585" t="s">
        <v>308</v>
      </c>
      <c r="B28" s="100" t="s">
        <v>8855</v>
      </c>
      <c r="C28" s="697" t="s">
        <v>8856</v>
      </c>
      <c r="D28" s="697" t="s">
        <v>8857</v>
      </c>
      <c r="E28" s="700" t="s">
        <v>43</v>
      </c>
      <c r="F28" s="100" t="s">
        <v>60</v>
      </c>
      <c r="G28" s="697" t="s">
        <v>8834</v>
      </c>
      <c r="H28" s="697" t="s">
        <v>8835</v>
      </c>
      <c r="I28" s="697" t="s">
        <v>920</v>
      </c>
      <c r="J28" s="703">
        <v>42401</v>
      </c>
      <c r="K28" s="703">
        <v>42766</v>
      </c>
      <c r="L28" s="704">
        <v>43100</v>
      </c>
      <c r="M28" s="704">
        <v>43131</v>
      </c>
      <c r="N28" s="704"/>
      <c r="O28" s="704">
        <v>43132</v>
      </c>
      <c r="P28" s="704">
        <v>43465</v>
      </c>
      <c r="Q28" s="540">
        <f ca="1" t="shared" si="0"/>
        <v>192.61546296296</v>
      </c>
      <c r="R28" s="106" t="str">
        <f ca="1" t="shared" si="1"/>
        <v>ACTIVE</v>
      </c>
      <c r="S28" s="116">
        <v>2835000</v>
      </c>
      <c r="T28" s="116">
        <v>775000</v>
      </c>
      <c r="U28" s="116">
        <v>150000</v>
      </c>
      <c r="V28" s="116"/>
      <c r="W28" s="116"/>
      <c r="X28" s="116"/>
      <c r="Y28" s="116"/>
      <c r="Z28" s="116"/>
      <c r="AA28" s="700" t="s">
        <v>113</v>
      </c>
      <c r="AB28" s="712" t="s">
        <v>8612</v>
      </c>
      <c r="AC28" s="718">
        <v>2000000</v>
      </c>
      <c r="AD28" s="700" t="s">
        <v>8613</v>
      </c>
      <c r="AE28" s="101" t="s">
        <v>8836</v>
      </c>
      <c r="AF28" s="697" t="s">
        <v>8858</v>
      </c>
      <c r="AG28" s="1586" t="s">
        <v>8859</v>
      </c>
      <c r="AH28" s="1586" t="s">
        <v>8860</v>
      </c>
      <c r="AI28" s="221" t="s">
        <v>8861</v>
      </c>
      <c r="AJ28" s="221" t="s">
        <v>8619</v>
      </c>
      <c r="AK28" s="649" t="s">
        <v>8862</v>
      </c>
      <c r="AL28" s="723" t="s">
        <v>8863</v>
      </c>
      <c r="AM28" s="122" t="s">
        <v>8864</v>
      </c>
      <c r="AN28" s="221"/>
    </row>
    <row r="29" ht="31.5" spans="1:40">
      <c r="A29" s="1585" t="s">
        <v>320</v>
      </c>
      <c r="B29" s="100" t="s">
        <v>8865</v>
      </c>
      <c r="C29" s="697" t="s">
        <v>8866</v>
      </c>
      <c r="D29" s="697" t="s">
        <v>8867</v>
      </c>
      <c r="E29" s="700" t="s">
        <v>43</v>
      </c>
      <c r="F29" s="100" t="s">
        <v>60</v>
      </c>
      <c r="G29" s="697" t="s">
        <v>8834</v>
      </c>
      <c r="H29" s="697" t="s">
        <v>8835</v>
      </c>
      <c r="I29" s="697" t="s">
        <v>920</v>
      </c>
      <c r="J29" s="703">
        <v>42401</v>
      </c>
      <c r="K29" s="703">
        <v>42766</v>
      </c>
      <c r="L29" s="704">
        <v>43100</v>
      </c>
      <c r="M29" s="704">
        <v>43131</v>
      </c>
      <c r="N29" s="704"/>
      <c r="O29" s="704">
        <v>43132</v>
      </c>
      <c r="P29" s="704">
        <v>43465</v>
      </c>
      <c r="Q29" s="540">
        <f ca="1" t="shared" si="0"/>
        <v>192.61546296296</v>
      </c>
      <c r="R29" s="106" t="str">
        <f ca="1" t="shared" si="1"/>
        <v>ACTIVE</v>
      </c>
      <c r="S29" s="116">
        <v>2808750</v>
      </c>
      <c r="T29" s="116">
        <v>775000</v>
      </c>
      <c r="U29" s="116">
        <v>150000</v>
      </c>
      <c r="V29" s="116"/>
      <c r="W29" s="116"/>
      <c r="X29" s="116"/>
      <c r="Y29" s="116"/>
      <c r="Z29" s="116"/>
      <c r="AA29" s="700" t="s">
        <v>113</v>
      </c>
      <c r="AB29" s="712" t="s">
        <v>8612</v>
      </c>
      <c r="AC29" s="718">
        <v>2000000</v>
      </c>
      <c r="AD29" s="700" t="s">
        <v>8613</v>
      </c>
      <c r="AE29" s="101" t="s">
        <v>8846</v>
      </c>
      <c r="AF29" s="697" t="s">
        <v>8868</v>
      </c>
      <c r="AG29" s="1586" t="s">
        <v>8869</v>
      </c>
      <c r="AH29" s="1586" t="s">
        <v>8870</v>
      </c>
      <c r="AI29" s="221" t="s">
        <v>8871</v>
      </c>
      <c r="AJ29" s="1586" t="s">
        <v>8872</v>
      </c>
      <c r="AK29" s="649" t="s">
        <v>8873</v>
      </c>
      <c r="AL29" s="723" t="s">
        <v>8874</v>
      </c>
      <c r="AM29" s="122" t="s">
        <v>8875</v>
      </c>
      <c r="AN29" s="221"/>
    </row>
    <row r="30" ht="31.5" spans="1:40">
      <c r="A30" s="1585" t="s">
        <v>333</v>
      </c>
      <c r="B30" s="100" t="s">
        <v>8876</v>
      </c>
      <c r="C30" s="697" t="s">
        <v>8877</v>
      </c>
      <c r="D30" s="697" t="s">
        <v>8878</v>
      </c>
      <c r="E30" s="700" t="s">
        <v>43</v>
      </c>
      <c r="F30" s="100" t="s">
        <v>60</v>
      </c>
      <c r="G30" s="697" t="s">
        <v>8834</v>
      </c>
      <c r="H30" s="697" t="s">
        <v>8835</v>
      </c>
      <c r="I30" s="697" t="s">
        <v>920</v>
      </c>
      <c r="J30" s="703">
        <v>42401</v>
      </c>
      <c r="K30" s="703">
        <v>42766</v>
      </c>
      <c r="L30" s="704">
        <v>43100</v>
      </c>
      <c r="M30" s="704">
        <v>43131</v>
      </c>
      <c r="N30" s="704"/>
      <c r="O30" s="704">
        <v>43132</v>
      </c>
      <c r="P30" s="704">
        <v>43465</v>
      </c>
      <c r="Q30" s="540">
        <f ca="1" t="shared" si="0"/>
        <v>192.61546296296</v>
      </c>
      <c r="R30" s="106" t="str">
        <f ca="1" t="shared" si="1"/>
        <v>ACTIVE</v>
      </c>
      <c r="S30" s="116">
        <v>2808750</v>
      </c>
      <c r="T30" s="116">
        <v>775000</v>
      </c>
      <c r="U30" s="116">
        <v>150000</v>
      </c>
      <c r="V30" s="116"/>
      <c r="W30" s="116"/>
      <c r="X30" s="116"/>
      <c r="Y30" s="116"/>
      <c r="Z30" s="116"/>
      <c r="AA30" s="700" t="s">
        <v>113</v>
      </c>
      <c r="AB30" s="712" t="s">
        <v>8612</v>
      </c>
      <c r="AC30" s="718">
        <v>2000000</v>
      </c>
      <c r="AD30" s="700" t="s">
        <v>8613</v>
      </c>
      <c r="AE30" s="101" t="s">
        <v>8846</v>
      </c>
      <c r="AF30" s="697" t="s">
        <v>8879</v>
      </c>
      <c r="AG30" s="1586" t="s">
        <v>8880</v>
      </c>
      <c r="AH30" s="1586" t="s">
        <v>8881</v>
      </c>
      <c r="AI30" s="221" t="s">
        <v>112</v>
      </c>
      <c r="AJ30" s="221" t="s">
        <v>112</v>
      </c>
      <c r="AK30" s="649" t="s">
        <v>8882</v>
      </c>
      <c r="AL30" s="723" t="s">
        <v>8883</v>
      </c>
      <c r="AM30" s="122" t="s">
        <v>8884</v>
      </c>
      <c r="AN30" s="221"/>
    </row>
    <row r="31" ht="31.5" spans="1:40">
      <c r="A31" s="1585" t="s">
        <v>346</v>
      </c>
      <c r="B31" s="100" t="s">
        <v>8885</v>
      </c>
      <c r="C31" s="697" t="s">
        <v>8886</v>
      </c>
      <c r="D31" s="697" t="s">
        <v>8887</v>
      </c>
      <c r="E31" s="700" t="s">
        <v>43</v>
      </c>
      <c r="F31" s="701" t="s">
        <v>404</v>
      </c>
      <c r="G31" s="697" t="s">
        <v>8834</v>
      </c>
      <c r="H31" s="697" t="s">
        <v>8835</v>
      </c>
      <c r="I31" s="697" t="s">
        <v>920</v>
      </c>
      <c r="J31" s="703">
        <v>42401</v>
      </c>
      <c r="K31" s="703">
        <v>42766</v>
      </c>
      <c r="L31" s="704">
        <v>43100</v>
      </c>
      <c r="M31" s="704">
        <v>43131</v>
      </c>
      <c r="N31" s="704"/>
      <c r="O31" s="704">
        <v>43132</v>
      </c>
      <c r="P31" s="704">
        <v>43465</v>
      </c>
      <c r="Q31" s="540">
        <f ca="1" t="shared" si="0"/>
        <v>192.61546296296</v>
      </c>
      <c r="R31" s="106" t="str">
        <f ca="1" t="shared" si="1"/>
        <v>ACTIVE</v>
      </c>
      <c r="S31" s="116">
        <v>2808750</v>
      </c>
      <c r="T31" s="116">
        <v>775000</v>
      </c>
      <c r="U31" s="116">
        <v>150000</v>
      </c>
      <c r="V31" s="116"/>
      <c r="W31" s="116"/>
      <c r="X31" s="116"/>
      <c r="Y31" s="116"/>
      <c r="Z31" s="116"/>
      <c r="AA31" s="700" t="s">
        <v>113</v>
      </c>
      <c r="AB31" s="712" t="s">
        <v>8612</v>
      </c>
      <c r="AC31" s="718">
        <v>1500000</v>
      </c>
      <c r="AD31" s="700" t="s">
        <v>8613</v>
      </c>
      <c r="AE31" s="101" t="s">
        <v>8846</v>
      </c>
      <c r="AF31" s="697" t="s">
        <v>8888</v>
      </c>
      <c r="AG31" s="1586" t="s">
        <v>8889</v>
      </c>
      <c r="AH31" s="1586" t="s">
        <v>8890</v>
      </c>
      <c r="AI31" s="221" t="s">
        <v>8891</v>
      </c>
      <c r="AJ31" s="221">
        <v>15032582296</v>
      </c>
      <c r="AK31" s="649" t="s">
        <v>8892</v>
      </c>
      <c r="AL31" s="723" t="s">
        <v>8893</v>
      </c>
      <c r="AM31" s="122" t="s">
        <v>8894</v>
      </c>
      <c r="AN31" s="221"/>
    </row>
    <row r="32" ht="31.5" spans="1:40">
      <c r="A32" s="1585" t="s">
        <v>357</v>
      </c>
      <c r="B32" s="100" t="s">
        <v>8895</v>
      </c>
      <c r="C32" s="697" t="s">
        <v>8896</v>
      </c>
      <c r="D32" s="697" t="s">
        <v>8897</v>
      </c>
      <c r="E32" s="700" t="s">
        <v>43</v>
      </c>
      <c r="F32" s="100" t="s">
        <v>44</v>
      </c>
      <c r="G32" s="697" t="s">
        <v>8834</v>
      </c>
      <c r="H32" s="697" t="s">
        <v>8835</v>
      </c>
      <c r="I32" s="697" t="s">
        <v>920</v>
      </c>
      <c r="J32" s="703">
        <v>42401</v>
      </c>
      <c r="K32" s="703">
        <v>42766</v>
      </c>
      <c r="L32" s="704">
        <v>43100</v>
      </c>
      <c r="M32" s="704">
        <v>43131</v>
      </c>
      <c r="N32" s="704"/>
      <c r="O32" s="704">
        <v>43132</v>
      </c>
      <c r="P32" s="704">
        <v>43465</v>
      </c>
      <c r="Q32" s="540">
        <f ca="1" t="shared" si="0"/>
        <v>192.61546296296</v>
      </c>
      <c r="R32" s="106" t="str">
        <f ca="1" t="shared" si="1"/>
        <v>ACTIVE</v>
      </c>
      <c r="S32" s="116">
        <v>2808750</v>
      </c>
      <c r="T32" s="116">
        <v>775000</v>
      </c>
      <c r="U32" s="116">
        <v>150000</v>
      </c>
      <c r="V32" s="116"/>
      <c r="W32" s="116"/>
      <c r="X32" s="116"/>
      <c r="Y32" s="116"/>
      <c r="Z32" s="116"/>
      <c r="AA32" s="700" t="s">
        <v>113</v>
      </c>
      <c r="AB32" s="712" t="s">
        <v>8612</v>
      </c>
      <c r="AC32" s="718">
        <v>1500000</v>
      </c>
      <c r="AD32" s="700" t="s">
        <v>8613</v>
      </c>
      <c r="AE32" s="101" t="s">
        <v>8846</v>
      </c>
      <c r="AF32" s="697" t="s">
        <v>8898</v>
      </c>
      <c r="AG32" s="1586" t="s">
        <v>8899</v>
      </c>
      <c r="AH32" s="1586" t="s">
        <v>8900</v>
      </c>
      <c r="AI32" s="221" t="s">
        <v>8901</v>
      </c>
      <c r="AJ32" s="221">
        <v>10016993148</v>
      </c>
      <c r="AK32" s="649" t="s">
        <v>8902</v>
      </c>
      <c r="AL32" s="723" t="s">
        <v>8903</v>
      </c>
      <c r="AM32" s="122" t="s">
        <v>8904</v>
      </c>
      <c r="AN32" s="221"/>
    </row>
    <row r="33" ht="31.5" spans="1:40">
      <c r="A33" s="1585" t="s">
        <v>369</v>
      </c>
      <c r="B33" s="100" t="s">
        <v>8905</v>
      </c>
      <c r="C33" s="697" t="s">
        <v>8906</v>
      </c>
      <c r="D33" s="697" t="s">
        <v>8907</v>
      </c>
      <c r="E33" s="700" t="s">
        <v>43</v>
      </c>
      <c r="F33" s="100" t="s">
        <v>44</v>
      </c>
      <c r="G33" s="697" t="s">
        <v>8834</v>
      </c>
      <c r="H33" s="697" t="s">
        <v>8835</v>
      </c>
      <c r="I33" s="697" t="s">
        <v>920</v>
      </c>
      <c r="J33" s="703">
        <v>42401</v>
      </c>
      <c r="K33" s="703">
        <v>42766</v>
      </c>
      <c r="L33" s="704">
        <v>43100</v>
      </c>
      <c r="M33" s="704">
        <v>43131</v>
      </c>
      <c r="N33" s="704"/>
      <c r="O33" s="704">
        <v>43132</v>
      </c>
      <c r="P33" s="704">
        <v>43465</v>
      </c>
      <c r="Q33" s="540">
        <f ca="1" t="shared" si="0"/>
        <v>192.61546296296</v>
      </c>
      <c r="R33" s="106" t="str">
        <f ca="1" t="shared" si="1"/>
        <v>ACTIVE</v>
      </c>
      <c r="S33" s="116">
        <v>2808750</v>
      </c>
      <c r="T33" s="116">
        <v>775000</v>
      </c>
      <c r="U33" s="116">
        <v>150000</v>
      </c>
      <c r="V33" s="116"/>
      <c r="W33" s="116"/>
      <c r="X33" s="116"/>
      <c r="Y33" s="116"/>
      <c r="Z33" s="116"/>
      <c r="AA33" s="700" t="s">
        <v>113</v>
      </c>
      <c r="AB33" s="712" t="s">
        <v>8612</v>
      </c>
      <c r="AC33" s="718">
        <v>1500000</v>
      </c>
      <c r="AD33" s="700" t="s">
        <v>8613</v>
      </c>
      <c r="AE33" s="101" t="s">
        <v>8846</v>
      </c>
      <c r="AF33" s="697" t="s">
        <v>8908</v>
      </c>
      <c r="AG33" s="1586" t="s">
        <v>8909</v>
      </c>
      <c r="AH33" s="1586" t="s">
        <v>8910</v>
      </c>
      <c r="AI33" s="221" t="s">
        <v>8911</v>
      </c>
      <c r="AJ33" s="221" t="s">
        <v>112</v>
      </c>
      <c r="AK33" s="649" t="s">
        <v>8912</v>
      </c>
      <c r="AL33" s="723" t="s">
        <v>8913</v>
      </c>
      <c r="AM33" s="122" t="s">
        <v>8914</v>
      </c>
      <c r="AN33" s="221"/>
    </row>
    <row r="34" ht="31.5" spans="1:40">
      <c r="A34" s="1585" t="s">
        <v>381</v>
      </c>
      <c r="B34" s="100" t="s">
        <v>8915</v>
      </c>
      <c r="C34" s="697" t="s">
        <v>8916</v>
      </c>
      <c r="D34" s="697" t="s">
        <v>8917</v>
      </c>
      <c r="E34" s="700" t="s">
        <v>43</v>
      </c>
      <c r="F34" s="100" t="s">
        <v>60</v>
      </c>
      <c r="G34" s="697" t="s">
        <v>8918</v>
      </c>
      <c r="H34" s="697" t="s">
        <v>8835</v>
      </c>
      <c r="I34" s="697" t="s">
        <v>920</v>
      </c>
      <c r="J34" s="703">
        <v>42401</v>
      </c>
      <c r="K34" s="703">
        <v>42766</v>
      </c>
      <c r="L34" s="704">
        <v>43100</v>
      </c>
      <c r="M34" s="704">
        <v>43131</v>
      </c>
      <c r="N34" s="704"/>
      <c r="O34" s="704">
        <v>43132</v>
      </c>
      <c r="P34" s="704">
        <v>43465</v>
      </c>
      <c r="Q34" s="540">
        <f ca="1" t="shared" si="0"/>
        <v>192.61546296296</v>
      </c>
      <c r="R34" s="106" t="str">
        <f ca="1" t="shared" si="1"/>
        <v>ACTIVE</v>
      </c>
      <c r="S34" s="116">
        <v>3102484</v>
      </c>
      <c r="T34" s="116">
        <v>775000</v>
      </c>
      <c r="U34" s="116">
        <v>150000</v>
      </c>
      <c r="V34" s="116">
        <v>1500000</v>
      </c>
      <c r="W34" s="116"/>
      <c r="X34" s="116"/>
      <c r="Y34" s="116"/>
      <c r="Z34" s="116"/>
      <c r="AA34" s="700" t="s">
        <v>113</v>
      </c>
      <c r="AB34" s="712" t="s">
        <v>8612</v>
      </c>
      <c r="AC34" s="718">
        <v>2000000</v>
      </c>
      <c r="AD34" s="700" t="s">
        <v>8613</v>
      </c>
      <c r="AE34" s="101" t="s">
        <v>8919</v>
      </c>
      <c r="AF34" s="697" t="s">
        <v>8920</v>
      </c>
      <c r="AG34" s="1586" t="s">
        <v>8921</v>
      </c>
      <c r="AH34" s="1586" t="s">
        <v>8922</v>
      </c>
      <c r="AI34" s="221" t="s">
        <v>8923</v>
      </c>
      <c r="AJ34" s="221">
        <v>10025505065</v>
      </c>
      <c r="AK34" s="649" t="s">
        <v>8924</v>
      </c>
      <c r="AL34" s="723" t="s">
        <v>8925</v>
      </c>
      <c r="AM34" s="122" t="s">
        <v>8926</v>
      </c>
      <c r="AN34" s="221"/>
    </row>
    <row r="35" ht="31.5" spans="1:40">
      <c r="A35" s="1585" t="s">
        <v>390</v>
      </c>
      <c r="B35" s="100" t="s">
        <v>8927</v>
      </c>
      <c r="C35" s="697" t="s">
        <v>8928</v>
      </c>
      <c r="D35" s="697" t="s">
        <v>8929</v>
      </c>
      <c r="E35" s="700" t="s">
        <v>43</v>
      </c>
      <c r="F35" s="100" t="s">
        <v>404</v>
      </c>
      <c r="G35" s="697" t="s">
        <v>8834</v>
      </c>
      <c r="H35" s="697" t="s">
        <v>8835</v>
      </c>
      <c r="I35" s="697" t="s">
        <v>920</v>
      </c>
      <c r="J35" s="703">
        <v>42401</v>
      </c>
      <c r="K35" s="703">
        <v>42766</v>
      </c>
      <c r="L35" s="704">
        <v>43100</v>
      </c>
      <c r="M35" s="704">
        <v>43131</v>
      </c>
      <c r="N35" s="704"/>
      <c r="O35" s="704">
        <v>43132</v>
      </c>
      <c r="P35" s="704">
        <v>43465</v>
      </c>
      <c r="Q35" s="540">
        <f ca="1" t="shared" si="0"/>
        <v>192.61546296296</v>
      </c>
      <c r="R35" s="106" t="str">
        <f ca="1" t="shared" si="1"/>
        <v>ACTIVE</v>
      </c>
      <c r="S35" s="116">
        <v>2808750</v>
      </c>
      <c r="T35" s="116">
        <v>775000</v>
      </c>
      <c r="U35" s="116">
        <v>150000</v>
      </c>
      <c r="V35" s="116"/>
      <c r="W35" s="116"/>
      <c r="X35" s="116"/>
      <c r="Y35" s="116"/>
      <c r="Z35" s="116"/>
      <c r="AA35" s="700" t="s">
        <v>113</v>
      </c>
      <c r="AB35" s="712" t="s">
        <v>8612</v>
      </c>
      <c r="AC35" s="718">
        <v>1750000</v>
      </c>
      <c r="AD35" s="700" t="s">
        <v>8613</v>
      </c>
      <c r="AE35" s="101" t="s">
        <v>8846</v>
      </c>
      <c r="AF35" s="697" t="s">
        <v>8930</v>
      </c>
      <c r="AG35" s="1586" t="s">
        <v>8931</v>
      </c>
      <c r="AH35" s="1586" t="s">
        <v>8932</v>
      </c>
      <c r="AI35" s="221" t="s">
        <v>8933</v>
      </c>
      <c r="AJ35" s="1586" t="s">
        <v>8934</v>
      </c>
      <c r="AK35" s="649" t="s">
        <v>8935</v>
      </c>
      <c r="AL35" s="723" t="s">
        <v>8936</v>
      </c>
      <c r="AM35" s="122" t="s">
        <v>8937</v>
      </c>
      <c r="AN35" s="221"/>
    </row>
    <row r="36" ht="31.5" spans="1:40">
      <c r="A36" s="1585" t="s">
        <v>400</v>
      </c>
      <c r="B36" s="100" t="s">
        <v>8938</v>
      </c>
      <c r="C36" s="697" t="s">
        <v>8939</v>
      </c>
      <c r="D36" s="697" t="s">
        <v>8940</v>
      </c>
      <c r="E36" s="700" t="s">
        <v>43</v>
      </c>
      <c r="F36" s="100" t="s">
        <v>254</v>
      </c>
      <c r="G36" s="697" t="s">
        <v>8834</v>
      </c>
      <c r="H36" s="697" t="s">
        <v>8835</v>
      </c>
      <c r="I36" s="697" t="s">
        <v>920</v>
      </c>
      <c r="J36" s="703">
        <v>42401</v>
      </c>
      <c r="K36" s="703">
        <v>42766</v>
      </c>
      <c r="L36" s="704">
        <v>43100</v>
      </c>
      <c r="M36" s="704">
        <v>43131</v>
      </c>
      <c r="N36" s="704"/>
      <c r="O36" s="704">
        <v>43132</v>
      </c>
      <c r="P36" s="704">
        <v>43465</v>
      </c>
      <c r="Q36" s="540">
        <f ca="1" t="shared" si="0"/>
        <v>192.61546296296</v>
      </c>
      <c r="R36" s="106" t="str">
        <f ca="1" t="shared" si="1"/>
        <v>ACTIVE</v>
      </c>
      <c r="S36" s="116">
        <v>2808750</v>
      </c>
      <c r="T36" s="116">
        <v>775000</v>
      </c>
      <c r="U36" s="116">
        <v>150000</v>
      </c>
      <c r="V36" s="116"/>
      <c r="W36" s="116"/>
      <c r="X36" s="116"/>
      <c r="Y36" s="116"/>
      <c r="Z36" s="116"/>
      <c r="AA36" s="700" t="s">
        <v>113</v>
      </c>
      <c r="AB36" s="712" t="s">
        <v>8612</v>
      </c>
      <c r="AC36" s="718">
        <v>2250000</v>
      </c>
      <c r="AD36" s="700" t="s">
        <v>8613</v>
      </c>
      <c r="AE36" s="101" t="s">
        <v>8846</v>
      </c>
      <c r="AF36" s="697" t="s">
        <v>8941</v>
      </c>
      <c r="AG36" s="1586" t="s">
        <v>8942</v>
      </c>
      <c r="AH36" s="1586" t="s">
        <v>8943</v>
      </c>
      <c r="AI36" s="221" t="s">
        <v>8944</v>
      </c>
      <c r="AJ36" s="221">
        <v>13024756580</v>
      </c>
      <c r="AK36" s="649" t="s">
        <v>8767</v>
      </c>
      <c r="AL36" s="723" t="s">
        <v>8945</v>
      </c>
      <c r="AM36" s="122" t="s">
        <v>8946</v>
      </c>
      <c r="AN36" s="221"/>
    </row>
    <row r="37" ht="31.5" spans="1:40">
      <c r="A37" s="1585" t="s">
        <v>411</v>
      </c>
      <c r="B37" s="100" t="s">
        <v>8947</v>
      </c>
      <c r="C37" s="697" t="s">
        <v>8948</v>
      </c>
      <c r="D37" s="697" t="s">
        <v>8949</v>
      </c>
      <c r="E37" s="700" t="s">
        <v>43</v>
      </c>
      <c r="F37" s="701" t="s">
        <v>60</v>
      </c>
      <c r="G37" s="697" t="s">
        <v>8834</v>
      </c>
      <c r="H37" s="697" t="s">
        <v>8835</v>
      </c>
      <c r="I37" s="697" t="s">
        <v>920</v>
      </c>
      <c r="J37" s="703">
        <v>42401</v>
      </c>
      <c r="K37" s="703">
        <v>42766</v>
      </c>
      <c r="L37" s="704">
        <v>43100</v>
      </c>
      <c r="M37" s="704">
        <v>43131</v>
      </c>
      <c r="N37" s="704"/>
      <c r="O37" s="704">
        <v>43132</v>
      </c>
      <c r="P37" s="704">
        <v>43465</v>
      </c>
      <c r="Q37" s="540">
        <f ca="1" t="shared" ref="Q37:Q67" si="2">SUM(P37-NOW())</f>
        <v>192.61546296296</v>
      </c>
      <c r="R37" s="106" t="str">
        <f ca="1" t="shared" si="1"/>
        <v>ACTIVE</v>
      </c>
      <c r="S37" s="116">
        <v>2808750</v>
      </c>
      <c r="T37" s="116">
        <v>775000</v>
      </c>
      <c r="U37" s="116">
        <v>150000</v>
      </c>
      <c r="V37" s="116"/>
      <c r="W37" s="116"/>
      <c r="X37" s="116"/>
      <c r="Y37" s="116"/>
      <c r="Z37" s="116"/>
      <c r="AA37" s="700" t="s">
        <v>113</v>
      </c>
      <c r="AB37" s="712" t="s">
        <v>8612</v>
      </c>
      <c r="AC37" s="718">
        <v>1500000</v>
      </c>
      <c r="AD37" s="700" t="s">
        <v>8613</v>
      </c>
      <c r="AE37" s="101" t="s">
        <v>8846</v>
      </c>
      <c r="AF37" s="697" t="s">
        <v>8950</v>
      </c>
      <c r="AG37" s="1586" t="s">
        <v>8951</v>
      </c>
      <c r="AH37" s="1586" t="s">
        <v>8952</v>
      </c>
      <c r="AI37" s="221" t="s">
        <v>8953</v>
      </c>
      <c r="AJ37" s="221">
        <v>13000844806</v>
      </c>
      <c r="AK37" s="649" t="s">
        <v>8954</v>
      </c>
      <c r="AL37" s="723" t="s">
        <v>8955</v>
      </c>
      <c r="AM37" s="122" t="s">
        <v>8956</v>
      </c>
      <c r="AN37" s="221"/>
    </row>
    <row r="38" ht="31.5" spans="1:40">
      <c r="A38" s="1585" t="s">
        <v>424</v>
      </c>
      <c r="B38" s="100" t="s">
        <v>8957</v>
      </c>
      <c r="C38" s="697" t="s">
        <v>8958</v>
      </c>
      <c r="D38" s="697" t="s">
        <v>8959</v>
      </c>
      <c r="E38" s="700" t="s">
        <v>43</v>
      </c>
      <c r="F38" s="100" t="s">
        <v>60</v>
      </c>
      <c r="G38" s="697" t="s">
        <v>8834</v>
      </c>
      <c r="H38" s="697" t="s">
        <v>8835</v>
      </c>
      <c r="I38" s="697" t="s">
        <v>920</v>
      </c>
      <c r="J38" s="703">
        <v>42401</v>
      </c>
      <c r="K38" s="703">
        <v>42766</v>
      </c>
      <c r="L38" s="704">
        <v>43100</v>
      </c>
      <c r="M38" s="704">
        <v>43131</v>
      </c>
      <c r="N38" s="704"/>
      <c r="O38" s="704">
        <v>43132</v>
      </c>
      <c r="P38" s="704">
        <v>43465</v>
      </c>
      <c r="Q38" s="540">
        <f ca="1" t="shared" si="2"/>
        <v>192.61546296296</v>
      </c>
      <c r="R38" s="106" t="str">
        <f ca="1" t="shared" si="1"/>
        <v>ACTIVE</v>
      </c>
      <c r="S38" s="116">
        <v>2808750</v>
      </c>
      <c r="T38" s="116">
        <v>775000</v>
      </c>
      <c r="U38" s="116">
        <v>150000</v>
      </c>
      <c r="V38" s="116"/>
      <c r="W38" s="116"/>
      <c r="X38" s="116"/>
      <c r="Y38" s="116"/>
      <c r="Z38" s="116"/>
      <c r="AA38" s="700" t="s">
        <v>113</v>
      </c>
      <c r="AB38" s="712" t="s">
        <v>8612</v>
      </c>
      <c r="AC38" s="718">
        <v>2000000</v>
      </c>
      <c r="AD38" s="700" t="s">
        <v>8613</v>
      </c>
      <c r="AE38" s="101" t="s">
        <v>8846</v>
      </c>
      <c r="AF38" s="697" t="s">
        <v>8960</v>
      </c>
      <c r="AG38" s="1579" t="s">
        <v>8961</v>
      </c>
      <c r="AH38" s="1586" t="s">
        <v>8962</v>
      </c>
      <c r="AI38" s="122" t="s">
        <v>8963</v>
      </c>
      <c r="AJ38" s="221">
        <v>12047069377</v>
      </c>
      <c r="AK38" s="649" t="s">
        <v>8964</v>
      </c>
      <c r="AL38" s="723" t="s">
        <v>8965</v>
      </c>
      <c r="AM38" s="122" t="s">
        <v>8966</v>
      </c>
      <c r="AN38" s="221"/>
    </row>
    <row r="39" ht="31.5" spans="1:40">
      <c r="A39" s="1585" t="s">
        <v>438</v>
      </c>
      <c r="B39" s="100" t="s">
        <v>8967</v>
      </c>
      <c r="C39" s="697" t="s">
        <v>8968</v>
      </c>
      <c r="D39" s="697" t="s">
        <v>8969</v>
      </c>
      <c r="E39" s="700" t="s">
        <v>43</v>
      </c>
      <c r="F39" s="100" t="s">
        <v>60</v>
      </c>
      <c r="G39" s="697" t="s">
        <v>8970</v>
      </c>
      <c r="H39" s="697" t="s">
        <v>8835</v>
      </c>
      <c r="I39" s="697" t="s">
        <v>920</v>
      </c>
      <c r="J39" s="703">
        <v>42401</v>
      </c>
      <c r="K39" s="703">
        <v>42766</v>
      </c>
      <c r="L39" s="704">
        <v>43100</v>
      </c>
      <c r="M39" s="704">
        <v>43131</v>
      </c>
      <c r="N39" s="704"/>
      <c r="O39" s="704">
        <v>43132</v>
      </c>
      <c r="P39" s="704">
        <v>43465</v>
      </c>
      <c r="Q39" s="540">
        <f ca="1" t="shared" si="2"/>
        <v>192.61546296296</v>
      </c>
      <c r="R39" s="106" t="str">
        <f ca="1" t="shared" si="1"/>
        <v>ACTIVE</v>
      </c>
      <c r="S39" s="116">
        <v>2808750</v>
      </c>
      <c r="T39" s="116">
        <v>775000</v>
      </c>
      <c r="U39" s="116">
        <v>150000</v>
      </c>
      <c r="V39" s="116">
        <v>1500000</v>
      </c>
      <c r="W39" s="116"/>
      <c r="X39" s="116"/>
      <c r="Y39" s="116"/>
      <c r="Z39" s="116"/>
      <c r="AA39" s="700" t="s">
        <v>113</v>
      </c>
      <c r="AB39" s="712" t="s">
        <v>8612</v>
      </c>
      <c r="AC39" s="718">
        <v>2000000</v>
      </c>
      <c r="AD39" s="700" t="s">
        <v>8613</v>
      </c>
      <c r="AE39" s="101" t="s">
        <v>8971</v>
      </c>
      <c r="AF39" s="697" t="s">
        <v>8972</v>
      </c>
      <c r="AG39" s="1586" t="s">
        <v>8973</v>
      </c>
      <c r="AH39" s="1586" t="s">
        <v>8974</v>
      </c>
      <c r="AI39" s="221" t="s">
        <v>8975</v>
      </c>
      <c r="AJ39" s="221" t="s">
        <v>8619</v>
      </c>
      <c r="AK39" s="1579" t="s">
        <v>8976</v>
      </c>
      <c r="AL39" s="731" t="s">
        <v>8977</v>
      </c>
      <c r="AM39" s="122" t="s">
        <v>8978</v>
      </c>
      <c r="AN39" s="221"/>
    </row>
    <row r="40" ht="31.5" spans="1:40">
      <c r="A40" s="1585" t="s">
        <v>450</v>
      </c>
      <c r="B40" s="100" t="s">
        <v>8979</v>
      </c>
      <c r="C40" s="697" t="s">
        <v>8980</v>
      </c>
      <c r="D40" s="697" t="s">
        <v>8981</v>
      </c>
      <c r="E40" s="700" t="s">
        <v>43</v>
      </c>
      <c r="F40" s="100" t="s">
        <v>254</v>
      </c>
      <c r="G40" s="697" t="s">
        <v>8834</v>
      </c>
      <c r="H40" s="697" t="s">
        <v>8835</v>
      </c>
      <c r="I40" s="697" t="s">
        <v>920</v>
      </c>
      <c r="J40" s="703">
        <v>42401</v>
      </c>
      <c r="K40" s="703">
        <v>42766</v>
      </c>
      <c r="L40" s="704">
        <v>43100</v>
      </c>
      <c r="M40" s="704">
        <v>43131</v>
      </c>
      <c r="N40" s="704"/>
      <c r="O40" s="704">
        <v>43132</v>
      </c>
      <c r="P40" s="704">
        <v>43465</v>
      </c>
      <c r="Q40" s="540">
        <f ca="1" t="shared" si="2"/>
        <v>192.61546296296</v>
      </c>
      <c r="R40" s="106" t="str">
        <f ca="1" t="shared" si="1"/>
        <v>ACTIVE</v>
      </c>
      <c r="S40" s="116">
        <v>2808750</v>
      </c>
      <c r="T40" s="116">
        <v>775000</v>
      </c>
      <c r="U40" s="116">
        <v>150000</v>
      </c>
      <c r="V40" s="116"/>
      <c r="W40" s="116"/>
      <c r="X40" s="116"/>
      <c r="Y40" s="116"/>
      <c r="Z40" s="116"/>
      <c r="AA40" s="700" t="s">
        <v>113</v>
      </c>
      <c r="AB40" s="712" t="s">
        <v>8612</v>
      </c>
      <c r="AC40" s="718">
        <v>2250000</v>
      </c>
      <c r="AD40" s="700" t="s">
        <v>8613</v>
      </c>
      <c r="AE40" s="101" t="s">
        <v>8846</v>
      </c>
      <c r="AF40" s="697" t="s">
        <v>8982</v>
      </c>
      <c r="AG40" s="1586" t="s">
        <v>8983</v>
      </c>
      <c r="AH40" s="1586" t="s">
        <v>8984</v>
      </c>
      <c r="AI40" s="221" t="s">
        <v>112</v>
      </c>
      <c r="AJ40" s="221">
        <v>12006297811</v>
      </c>
      <c r="AK40" s="649" t="s">
        <v>8985</v>
      </c>
      <c r="AL40" s="723" t="s">
        <v>8986</v>
      </c>
      <c r="AM40" s="122" t="s">
        <v>8987</v>
      </c>
      <c r="AN40" s="221"/>
    </row>
    <row r="41" ht="31.5" spans="1:40">
      <c r="A41" s="1585" t="s">
        <v>463</v>
      </c>
      <c r="B41" s="100" t="s">
        <v>8988</v>
      </c>
      <c r="C41" s="697" t="s">
        <v>8989</v>
      </c>
      <c r="D41" s="697" t="s">
        <v>8990</v>
      </c>
      <c r="E41" s="700" t="s">
        <v>43</v>
      </c>
      <c r="F41" s="100" t="s">
        <v>404</v>
      </c>
      <c r="G41" s="697" t="s">
        <v>8834</v>
      </c>
      <c r="H41" s="697" t="s">
        <v>8835</v>
      </c>
      <c r="I41" s="697" t="s">
        <v>920</v>
      </c>
      <c r="J41" s="703">
        <v>42401</v>
      </c>
      <c r="K41" s="703">
        <v>42766</v>
      </c>
      <c r="L41" s="704">
        <v>43100</v>
      </c>
      <c r="M41" s="704">
        <v>43131</v>
      </c>
      <c r="N41" s="704"/>
      <c r="O41" s="704">
        <v>43132</v>
      </c>
      <c r="P41" s="704">
        <v>43465</v>
      </c>
      <c r="Q41" s="540">
        <f ca="1" t="shared" si="2"/>
        <v>192.61546296296</v>
      </c>
      <c r="R41" s="106" t="str">
        <f ca="1" t="shared" si="1"/>
        <v>ACTIVE</v>
      </c>
      <c r="S41" s="116">
        <v>2835000</v>
      </c>
      <c r="T41" s="116">
        <v>775000</v>
      </c>
      <c r="U41" s="116">
        <v>150000</v>
      </c>
      <c r="V41" s="116"/>
      <c r="W41" s="116"/>
      <c r="X41" s="116"/>
      <c r="Y41" s="116"/>
      <c r="Z41" s="116"/>
      <c r="AA41" s="700" t="s">
        <v>113</v>
      </c>
      <c r="AB41" s="712" t="s">
        <v>8612</v>
      </c>
      <c r="AC41" s="718">
        <v>1750000</v>
      </c>
      <c r="AD41" s="700" t="s">
        <v>8613</v>
      </c>
      <c r="AE41" s="101" t="s">
        <v>8836</v>
      </c>
      <c r="AF41" s="697" t="s">
        <v>8991</v>
      </c>
      <c r="AG41" s="1586" t="s">
        <v>8992</v>
      </c>
      <c r="AH41" s="1586" t="s">
        <v>8993</v>
      </c>
      <c r="AI41" s="221" t="s">
        <v>8994</v>
      </c>
      <c r="AJ41" s="221">
        <v>11038446537</v>
      </c>
      <c r="AK41" s="649" t="s">
        <v>8995</v>
      </c>
      <c r="AL41" s="723" t="s">
        <v>8996</v>
      </c>
      <c r="AM41" s="122" t="s">
        <v>8997</v>
      </c>
      <c r="AN41" s="221"/>
    </row>
    <row r="42" ht="31.5" spans="1:40">
      <c r="A42" s="1585" t="s">
        <v>473</v>
      </c>
      <c r="B42" s="100" t="s">
        <v>8998</v>
      </c>
      <c r="C42" s="697" t="s">
        <v>8999</v>
      </c>
      <c r="D42" s="697" t="s">
        <v>9000</v>
      </c>
      <c r="E42" s="700" t="s">
        <v>43</v>
      </c>
      <c r="F42" s="100" t="s">
        <v>60</v>
      </c>
      <c r="G42" s="697" t="s">
        <v>8834</v>
      </c>
      <c r="H42" s="697" t="s">
        <v>8835</v>
      </c>
      <c r="I42" s="697" t="s">
        <v>920</v>
      </c>
      <c r="J42" s="703">
        <v>42401</v>
      </c>
      <c r="K42" s="703">
        <v>42766</v>
      </c>
      <c r="L42" s="704">
        <v>43100</v>
      </c>
      <c r="M42" s="704">
        <v>43131</v>
      </c>
      <c r="N42" s="704"/>
      <c r="O42" s="704">
        <v>43132</v>
      </c>
      <c r="P42" s="704">
        <v>43465</v>
      </c>
      <c r="Q42" s="540">
        <f ca="1" t="shared" si="2"/>
        <v>192.61546296296</v>
      </c>
      <c r="R42" s="106" t="str">
        <f ca="1" t="shared" si="1"/>
        <v>ACTIVE</v>
      </c>
      <c r="S42" s="116">
        <v>2808750</v>
      </c>
      <c r="T42" s="116">
        <v>775000</v>
      </c>
      <c r="U42" s="116">
        <v>150000</v>
      </c>
      <c r="V42" s="116"/>
      <c r="W42" s="116"/>
      <c r="X42" s="116"/>
      <c r="Y42" s="116"/>
      <c r="Z42" s="116"/>
      <c r="AA42" s="700" t="s">
        <v>113</v>
      </c>
      <c r="AB42" s="712" t="s">
        <v>8612</v>
      </c>
      <c r="AC42" s="718">
        <v>2000000</v>
      </c>
      <c r="AD42" s="700" t="s">
        <v>8613</v>
      </c>
      <c r="AE42" s="101" t="s">
        <v>8836</v>
      </c>
      <c r="AF42" s="697" t="s">
        <v>9001</v>
      </c>
      <c r="AG42" s="1586" t="s">
        <v>9002</v>
      </c>
      <c r="AH42" s="1586" t="s">
        <v>9003</v>
      </c>
      <c r="AI42" s="221" t="s">
        <v>9004</v>
      </c>
      <c r="AJ42" s="221">
        <v>11039342735</v>
      </c>
      <c r="AK42" s="649" t="s">
        <v>9005</v>
      </c>
      <c r="AL42" s="723" t="s">
        <v>9006</v>
      </c>
      <c r="AM42" s="122" t="s">
        <v>9007</v>
      </c>
      <c r="AN42" s="221"/>
    </row>
    <row r="43" ht="31.5" spans="1:40">
      <c r="A43" s="1585" t="s">
        <v>483</v>
      </c>
      <c r="B43" s="100" t="s">
        <v>9008</v>
      </c>
      <c r="C43" s="697" t="s">
        <v>9009</v>
      </c>
      <c r="D43" s="697" t="s">
        <v>9010</v>
      </c>
      <c r="E43" s="700" t="s">
        <v>43</v>
      </c>
      <c r="F43" s="100" t="s">
        <v>44</v>
      </c>
      <c r="G43" s="697" t="s">
        <v>8834</v>
      </c>
      <c r="H43" s="697" t="s">
        <v>8835</v>
      </c>
      <c r="I43" s="697" t="s">
        <v>920</v>
      </c>
      <c r="J43" s="703">
        <v>42401</v>
      </c>
      <c r="K43" s="703">
        <v>42766</v>
      </c>
      <c r="L43" s="704">
        <v>43100</v>
      </c>
      <c r="M43" s="704">
        <v>43131</v>
      </c>
      <c r="N43" s="704"/>
      <c r="O43" s="704">
        <v>43132</v>
      </c>
      <c r="P43" s="704">
        <v>43465</v>
      </c>
      <c r="Q43" s="540">
        <f ca="1" t="shared" si="2"/>
        <v>192.61546296296</v>
      </c>
      <c r="R43" s="106" t="str">
        <f ca="1" t="shared" si="1"/>
        <v>ACTIVE</v>
      </c>
      <c r="S43" s="116">
        <v>2808750</v>
      </c>
      <c r="T43" s="116">
        <v>775000</v>
      </c>
      <c r="U43" s="116">
        <v>150000</v>
      </c>
      <c r="V43" s="116"/>
      <c r="W43" s="116"/>
      <c r="X43" s="116"/>
      <c r="Y43" s="116"/>
      <c r="Z43" s="116"/>
      <c r="AA43" s="700" t="s">
        <v>113</v>
      </c>
      <c r="AB43" s="712" t="s">
        <v>8612</v>
      </c>
      <c r="AC43" s="718">
        <v>1500000</v>
      </c>
      <c r="AD43" s="700" t="s">
        <v>8613</v>
      </c>
      <c r="AE43" s="101" t="s">
        <v>8846</v>
      </c>
      <c r="AF43" s="697" t="s">
        <v>9011</v>
      </c>
      <c r="AG43" s="1586" t="s">
        <v>9012</v>
      </c>
      <c r="AH43" s="1586" t="s">
        <v>9013</v>
      </c>
      <c r="AI43" s="221" t="s">
        <v>9014</v>
      </c>
      <c r="AJ43" s="221">
        <v>12046770975</v>
      </c>
      <c r="AK43" s="649" t="s">
        <v>9015</v>
      </c>
      <c r="AL43" s="723" t="s">
        <v>9016</v>
      </c>
      <c r="AM43" s="122" t="s">
        <v>9017</v>
      </c>
      <c r="AN43" s="221"/>
    </row>
    <row r="44" ht="31.5" spans="1:40">
      <c r="A44" s="1585" t="s">
        <v>494</v>
      </c>
      <c r="B44" s="100" t="s">
        <v>9018</v>
      </c>
      <c r="C44" s="697" t="s">
        <v>9019</v>
      </c>
      <c r="D44" s="697" t="s">
        <v>9020</v>
      </c>
      <c r="E44" s="700" t="s">
        <v>43</v>
      </c>
      <c r="F44" s="100" t="s">
        <v>60</v>
      </c>
      <c r="G44" s="697" t="s">
        <v>8834</v>
      </c>
      <c r="H44" s="697" t="s">
        <v>8835</v>
      </c>
      <c r="I44" s="697" t="s">
        <v>920</v>
      </c>
      <c r="J44" s="703">
        <v>42401</v>
      </c>
      <c r="K44" s="703">
        <v>42766</v>
      </c>
      <c r="L44" s="704">
        <v>43100</v>
      </c>
      <c r="M44" s="704">
        <v>43131</v>
      </c>
      <c r="N44" s="704"/>
      <c r="O44" s="704">
        <v>43132</v>
      </c>
      <c r="P44" s="704">
        <v>43465</v>
      </c>
      <c r="Q44" s="540">
        <f ca="1" t="shared" si="2"/>
        <v>192.61546296296</v>
      </c>
      <c r="R44" s="106" t="str">
        <f ca="1" t="shared" si="1"/>
        <v>ACTIVE</v>
      </c>
      <c r="S44" s="116">
        <v>2808750</v>
      </c>
      <c r="T44" s="116">
        <v>775000</v>
      </c>
      <c r="U44" s="116">
        <v>150000</v>
      </c>
      <c r="V44" s="116"/>
      <c r="W44" s="116"/>
      <c r="X44" s="116"/>
      <c r="Y44" s="116"/>
      <c r="Z44" s="116"/>
      <c r="AA44" s="700" t="s">
        <v>113</v>
      </c>
      <c r="AB44" s="712" t="s">
        <v>8612</v>
      </c>
      <c r="AC44" s="718">
        <v>2000000</v>
      </c>
      <c r="AD44" s="700" t="s">
        <v>8613</v>
      </c>
      <c r="AE44" s="101" t="s">
        <v>8846</v>
      </c>
      <c r="AF44" s="697" t="s">
        <v>9021</v>
      </c>
      <c r="AG44" s="1586" t="s">
        <v>9022</v>
      </c>
      <c r="AH44" s="1586" t="s">
        <v>9023</v>
      </c>
      <c r="AI44" s="221" t="s">
        <v>9024</v>
      </c>
      <c r="AJ44" s="1586" t="s">
        <v>9025</v>
      </c>
      <c r="AK44" s="649" t="s">
        <v>9026</v>
      </c>
      <c r="AL44" s="723" t="s">
        <v>9027</v>
      </c>
      <c r="AM44" s="122" t="s">
        <v>9028</v>
      </c>
      <c r="AN44" s="221"/>
    </row>
    <row r="45" ht="31.5" spans="1:40">
      <c r="A45" s="1585" t="s">
        <v>504</v>
      </c>
      <c r="B45" s="100" t="s">
        <v>9029</v>
      </c>
      <c r="C45" s="697" t="s">
        <v>663</v>
      </c>
      <c r="D45" s="697" t="s">
        <v>9030</v>
      </c>
      <c r="E45" s="700" t="s">
        <v>43</v>
      </c>
      <c r="F45" s="100" t="s">
        <v>60</v>
      </c>
      <c r="G45" s="697" t="s">
        <v>8834</v>
      </c>
      <c r="H45" s="697" t="s">
        <v>8835</v>
      </c>
      <c r="I45" s="697" t="s">
        <v>920</v>
      </c>
      <c r="J45" s="703">
        <v>42401</v>
      </c>
      <c r="K45" s="703">
        <v>42766</v>
      </c>
      <c r="L45" s="704">
        <v>43100</v>
      </c>
      <c r="M45" s="704">
        <v>43131</v>
      </c>
      <c r="N45" s="704"/>
      <c r="O45" s="704">
        <v>43132</v>
      </c>
      <c r="P45" s="704">
        <v>43465</v>
      </c>
      <c r="Q45" s="540">
        <f ca="1" t="shared" si="2"/>
        <v>192.61546296296</v>
      </c>
      <c r="R45" s="106" t="str">
        <f ca="1" t="shared" si="1"/>
        <v>ACTIVE</v>
      </c>
      <c r="S45" s="116">
        <v>2808750</v>
      </c>
      <c r="T45" s="116">
        <v>775000</v>
      </c>
      <c r="U45" s="116">
        <v>150000</v>
      </c>
      <c r="V45" s="116"/>
      <c r="W45" s="116"/>
      <c r="X45" s="116"/>
      <c r="Y45" s="116"/>
      <c r="Z45" s="116"/>
      <c r="AA45" s="700" t="s">
        <v>113</v>
      </c>
      <c r="AB45" s="712" t="s">
        <v>8612</v>
      </c>
      <c r="AC45" s="718">
        <v>2000000</v>
      </c>
      <c r="AD45" s="700" t="s">
        <v>8613</v>
      </c>
      <c r="AE45" s="101" t="s">
        <v>8836</v>
      </c>
      <c r="AF45" s="697" t="s">
        <v>9031</v>
      </c>
      <c r="AG45" s="1586" t="s">
        <v>9032</v>
      </c>
      <c r="AH45" s="1586" t="s">
        <v>9033</v>
      </c>
      <c r="AI45" s="221"/>
      <c r="AJ45" s="221" t="s">
        <v>112</v>
      </c>
      <c r="AK45" s="649" t="s">
        <v>9034</v>
      </c>
      <c r="AL45" s="723" t="s">
        <v>9035</v>
      </c>
      <c r="AM45" s="122" t="s">
        <v>9036</v>
      </c>
      <c r="AN45" s="221"/>
    </row>
    <row r="46" ht="31.5" spans="1:40">
      <c r="A46" s="1585" t="s">
        <v>514</v>
      </c>
      <c r="B46" s="100" t="s">
        <v>9037</v>
      </c>
      <c r="C46" s="697" t="s">
        <v>9038</v>
      </c>
      <c r="D46" s="697" t="s">
        <v>9039</v>
      </c>
      <c r="E46" s="700" t="s">
        <v>43</v>
      </c>
      <c r="F46" s="100" t="s">
        <v>404</v>
      </c>
      <c r="G46" s="697" t="s">
        <v>8834</v>
      </c>
      <c r="H46" s="697" t="s">
        <v>8835</v>
      </c>
      <c r="I46" s="697" t="s">
        <v>920</v>
      </c>
      <c r="J46" s="703">
        <v>42401</v>
      </c>
      <c r="K46" s="703">
        <v>42766</v>
      </c>
      <c r="L46" s="704">
        <v>43100</v>
      </c>
      <c r="M46" s="704">
        <v>43131</v>
      </c>
      <c r="N46" s="704"/>
      <c r="O46" s="704">
        <v>43132</v>
      </c>
      <c r="P46" s="704">
        <v>43465</v>
      </c>
      <c r="Q46" s="540">
        <f ca="1" t="shared" si="2"/>
        <v>192.61546296296</v>
      </c>
      <c r="R46" s="106" t="str">
        <f ca="1" t="shared" si="1"/>
        <v>ACTIVE</v>
      </c>
      <c r="S46" s="116">
        <v>2808750</v>
      </c>
      <c r="T46" s="116">
        <v>775000</v>
      </c>
      <c r="U46" s="116">
        <v>150000</v>
      </c>
      <c r="V46" s="116"/>
      <c r="W46" s="116"/>
      <c r="X46" s="116"/>
      <c r="Y46" s="116"/>
      <c r="Z46" s="116"/>
      <c r="AA46" s="700" t="s">
        <v>113</v>
      </c>
      <c r="AB46" s="712" t="s">
        <v>8612</v>
      </c>
      <c r="AC46" s="718">
        <v>1750000</v>
      </c>
      <c r="AD46" s="700" t="s">
        <v>8613</v>
      </c>
      <c r="AE46" s="101" t="s">
        <v>8846</v>
      </c>
      <c r="AF46" s="697" t="s">
        <v>9040</v>
      </c>
      <c r="AG46" s="1586" t="s">
        <v>9041</v>
      </c>
      <c r="AH46" s="1586" t="s">
        <v>9042</v>
      </c>
      <c r="AI46" s="221" t="s">
        <v>9043</v>
      </c>
      <c r="AJ46" s="221" t="s">
        <v>8619</v>
      </c>
      <c r="AK46" s="649" t="s">
        <v>9044</v>
      </c>
      <c r="AL46" s="723" t="s">
        <v>9045</v>
      </c>
      <c r="AM46" s="122" t="s">
        <v>9046</v>
      </c>
      <c r="AN46" s="221"/>
    </row>
    <row r="47" ht="31.5" spans="1:40">
      <c r="A47" s="1585" t="s">
        <v>525</v>
      </c>
      <c r="B47" s="100" t="s">
        <v>9047</v>
      </c>
      <c r="C47" s="697" t="s">
        <v>9048</v>
      </c>
      <c r="D47" s="697" t="s">
        <v>9049</v>
      </c>
      <c r="E47" s="700" t="s">
        <v>43</v>
      </c>
      <c r="F47" s="100" t="s">
        <v>60</v>
      </c>
      <c r="G47" s="697" t="s">
        <v>8834</v>
      </c>
      <c r="H47" s="697" t="s">
        <v>8835</v>
      </c>
      <c r="I47" s="697" t="s">
        <v>920</v>
      </c>
      <c r="J47" s="703">
        <v>42401</v>
      </c>
      <c r="K47" s="703">
        <v>42766</v>
      </c>
      <c r="L47" s="704">
        <v>43100</v>
      </c>
      <c r="M47" s="704">
        <v>43131</v>
      </c>
      <c r="N47" s="704"/>
      <c r="O47" s="704">
        <v>43132</v>
      </c>
      <c r="P47" s="704">
        <v>43465</v>
      </c>
      <c r="Q47" s="540">
        <f ca="1" t="shared" si="2"/>
        <v>192.61546296296</v>
      </c>
      <c r="R47" s="106" t="str">
        <f ca="1" t="shared" si="1"/>
        <v>ACTIVE</v>
      </c>
      <c r="S47" s="116">
        <v>2808750</v>
      </c>
      <c r="T47" s="116">
        <v>775000</v>
      </c>
      <c r="U47" s="116">
        <v>150000</v>
      </c>
      <c r="V47" s="116"/>
      <c r="W47" s="116"/>
      <c r="X47" s="116"/>
      <c r="Y47" s="116"/>
      <c r="Z47" s="116"/>
      <c r="AA47" s="700" t="s">
        <v>113</v>
      </c>
      <c r="AB47" s="712" t="s">
        <v>8612</v>
      </c>
      <c r="AC47" s="718">
        <v>2000000</v>
      </c>
      <c r="AD47" s="700" t="s">
        <v>8613</v>
      </c>
      <c r="AE47" s="101" t="s">
        <v>8846</v>
      </c>
      <c r="AF47" s="697" t="s">
        <v>9050</v>
      </c>
      <c r="AG47" s="1586" t="s">
        <v>9051</v>
      </c>
      <c r="AH47" s="1586" t="s">
        <v>9052</v>
      </c>
      <c r="AI47" s="221" t="s">
        <v>9053</v>
      </c>
      <c r="AJ47" s="221">
        <v>11039342784</v>
      </c>
      <c r="AK47" s="649" t="s">
        <v>9054</v>
      </c>
      <c r="AL47" s="723" t="s">
        <v>9055</v>
      </c>
      <c r="AM47" s="122" t="s">
        <v>9056</v>
      </c>
      <c r="AN47" s="221"/>
    </row>
    <row r="48" ht="31.5" spans="1:40">
      <c r="A48" s="1585" t="s">
        <v>533</v>
      </c>
      <c r="B48" s="100" t="s">
        <v>9057</v>
      </c>
      <c r="C48" s="697" t="s">
        <v>9058</v>
      </c>
      <c r="D48" s="697" t="s">
        <v>9059</v>
      </c>
      <c r="E48" s="700" t="s">
        <v>43</v>
      </c>
      <c r="F48" s="100" t="s">
        <v>404</v>
      </c>
      <c r="G48" s="697" t="s">
        <v>8834</v>
      </c>
      <c r="H48" s="697" t="s">
        <v>8835</v>
      </c>
      <c r="I48" s="697" t="s">
        <v>920</v>
      </c>
      <c r="J48" s="703">
        <v>42401</v>
      </c>
      <c r="K48" s="703">
        <v>42766</v>
      </c>
      <c r="L48" s="704">
        <v>43100</v>
      </c>
      <c r="M48" s="704">
        <v>43131</v>
      </c>
      <c r="N48" s="704"/>
      <c r="O48" s="704">
        <v>43132</v>
      </c>
      <c r="P48" s="704">
        <v>43465</v>
      </c>
      <c r="Q48" s="540">
        <f ca="1" t="shared" si="2"/>
        <v>192.61546296296</v>
      </c>
      <c r="R48" s="106" t="str">
        <f ca="1" t="shared" si="1"/>
        <v>ACTIVE</v>
      </c>
      <c r="S48" s="116">
        <v>2808750</v>
      </c>
      <c r="T48" s="116">
        <v>775000</v>
      </c>
      <c r="U48" s="116">
        <v>150000</v>
      </c>
      <c r="V48" s="116"/>
      <c r="W48" s="116"/>
      <c r="X48" s="116"/>
      <c r="Y48" s="116"/>
      <c r="Z48" s="116"/>
      <c r="AA48" s="700" t="s">
        <v>113</v>
      </c>
      <c r="AB48" s="712" t="s">
        <v>8612</v>
      </c>
      <c r="AC48" s="718">
        <v>1750000</v>
      </c>
      <c r="AD48" s="700" t="s">
        <v>8613</v>
      </c>
      <c r="AE48" s="101" t="s">
        <v>8846</v>
      </c>
      <c r="AF48" s="697" t="s">
        <v>9060</v>
      </c>
      <c r="AG48" s="1586" t="s">
        <v>9061</v>
      </c>
      <c r="AH48" s="1586" t="s">
        <v>9062</v>
      </c>
      <c r="AI48" s="221" t="s">
        <v>9063</v>
      </c>
      <c r="AJ48" s="221">
        <v>11021701971</v>
      </c>
      <c r="AK48" s="649" t="s">
        <v>9064</v>
      </c>
      <c r="AL48" s="723" t="s">
        <v>9065</v>
      </c>
      <c r="AM48" s="122" t="s">
        <v>9066</v>
      </c>
      <c r="AN48" s="221"/>
    </row>
    <row r="49" ht="31.5" spans="1:40">
      <c r="A49" s="1585" t="s">
        <v>542</v>
      </c>
      <c r="B49" s="100" t="s">
        <v>9067</v>
      </c>
      <c r="C49" s="697" t="s">
        <v>9068</v>
      </c>
      <c r="D49" s="697" t="s">
        <v>9069</v>
      </c>
      <c r="E49" s="700" t="s">
        <v>43</v>
      </c>
      <c r="F49" s="100" t="s">
        <v>44</v>
      </c>
      <c r="G49" s="697" t="s">
        <v>8834</v>
      </c>
      <c r="H49" s="697" t="s">
        <v>8835</v>
      </c>
      <c r="I49" s="697" t="s">
        <v>920</v>
      </c>
      <c r="J49" s="703">
        <v>42401</v>
      </c>
      <c r="K49" s="703">
        <v>42766</v>
      </c>
      <c r="L49" s="704">
        <v>43100</v>
      </c>
      <c r="M49" s="704">
        <v>43131</v>
      </c>
      <c r="N49" s="704"/>
      <c r="O49" s="704">
        <v>43132</v>
      </c>
      <c r="P49" s="704">
        <v>43465</v>
      </c>
      <c r="Q49" s="540">
        <f ca="1" t="shared" si="2"/>
        <v>192.61546296296</v>
      </c>
      <c r="R49" s="106" t="str">
        <f ca="1" t="shared" si="1"/>
        <v>ACTIVE</v>
      </c>
      <c r="S49" s="116">
        <v>2808750</v>
      </c>
      <c r="T49" s="116">
        <v>775000</v>
      </c>
      <c r="U49" s="116">
        <v>150000</v>
      </c>
      <c r="V49" s="116"/>
      <c r="W49" s="116"/>
      <c r="X49" s="116"/>
      <c r="Y49" s="116"/>
      <c r="Z49" s="116"/>
      <c r="AA49" s="700" t="s">
        <v>113</v>
      </c>
      <c r="AB49" s="712" t="s">
        <v>8612</v>
      </c>
      <c r="AC49" s="718">
        <v>1500000</v>
      </c>
      <c r="AD49" s="700" t="s">
        <v>8613</v>
      </c>
      <c r="AE49" s="101" t="s">
        <v>8846</v>
      </c>
      <c r="AF49" s="697" t="s">
        <v>9070</v>
      </c>
      <c r="AG49" s="1586" t="s">
        <v>9071</v>
      </c>
      <c r="AH49" s="1586" t="s">
        <v>9072</v>
      </c>
      <c r="AI49" s="221" t="s">
        <v>9073</v>
      </c>
      <c r="AJ49" s="221">
        <v>11021701997</v>
      </c>
      <c r="AK49" s="649" t="s">
        <v>9074</v>
      </c>
      <c r="AL49" s="723" t="s">
        <v>9075</v>
      </c>
      <c r="AM49" s="122" t="s">
        <v>9076</v>
      </c>
      <c r="AN49" s="221"/>
    </row>
    <row r="50" ht="31.5" spans="1:40">
      <c r="A50" s="1585" t="s">
        <v>550</v>
      </c>
      <c r="B50" s="100" t="s">
        <v>9077</v>
      </c>
      <c r="C50" s="697" t="s">
        <v>9078</v>
      </c>
      <c r="D50" s="697" t="s">
        <v>9079</v>
      </c>
      <c r="E50" s="700" t="s">
        <v>43</v>
      </c>
      <c r="F50" s="100" t="s">
        <v>404</v>
      </c>
      <c r="G50" s="697" t="s">
        <v>8834</v>
      </c>
      <c r="H50" s="697" t="s">
        <v>8835</v>
      </c>
      <c r="I50" s="697" t="s">
        <v>920</v>
      </c>
      <c r="J50" s="703">
        <v>42401</v>
      </c>
      <c r="K50" s="703">
        <v>42766</v>
      </c>
      <c r="L50" s="704">
        <v>43100</v>
      </c>
      <c r="M50" s="704">
        <v>43131</v>
      </c>
      <c r="N50" s="704"/>
      <c r="O50" s="704">
        <v>43132</v>
      </c>
      <c r="P50" s="704">
        <v>43465</v>
      </c>
      <c r="Q50" s="540">
        <f ca="1" t="shared" si="2"/>
        <v>192.61546296296</v>
      </c>
      <c r="R50" s="106" t="str">
        <f ca="1" t="shared" si="1"/>
        <v>ACTIVE</v>
      </c>
      <c r="S50" s="116">
        <v>2808750</v>
      </c>
      <c r="T50" s="116">
        <v>775000</v>
      </c>
      <c r="U50" s="116">
        <v>150000</v>
      </c>
      <c r="V50" s="116"/>
      <c r="W50" s="116"/>
      <c r="X50" s="116"/>
      <c r="Y50" s="116"/>
      <c r="Z50" s="116"/>
      <c r="AA50" s="700" t="s">
        <v>113</v>
      </c>
      <c r="AB50" s="712" t="s">
        <v>8612</v>
      </c>
      <c r="AC50" s="718">
        <v>1750000</v>
      </c>
      <c r="AD50" s="700" t="s">
        <v>8613</v>
      </c>
      <c r="AE50" s="101" t="s">
        <v>8846</v>
      </c>
      <c r="AF50" s="697" t="s">
        <v>9080</v>
      </c>
      <c r="AG50" s="1586" t="s">
        <v>9081</v>
      </c>
      <c r="AH50" s="1586" t="s">
        <v>9082</v>
      </c>
      <c r="AI50" s="221" t="s">
        <v>9083</v>
      </c>
      <c r="AJ50" s="221">
        <v>13034686249</v>
      </c>
      <c r="AK50" s="649" t="s">
        <v>9084</v>
      </c>
      <c r="AL50" s="723" t="s">
        <v>9085</v>
      </c>
      <c r="AM50" s="122" t="s">
        <v>9086</v>
      </c>
      <c r="AN50" s="221"/>
    </row>
    <row r="51" ht="42" spans="1:40">
      <c r="A51" s="1585" t="s">
        <v>559</v>
      </c>
      <c r="B51" s="100" t="s">
        <v>9087</v>
      </c>
      <c r="C51" s="697" t="s">
        <v>9088</v>
      </c>
      <c r="D51" s="697" t="s">
        <v>9089</v>
      </c>
      <c r="E51" s="700" t="s">
        <v>43</v>
      </c>
      <c r="F51" s="100" t="s">
        <v>44</v>
      </c>
      <c r="G51" s="697" t="s">
        <v>9090</v>
      </c>
      <c r="H51" s="697" t="s">
        <v>8835</v>
      </c>
      <c r="I51" s="697" t="s">
        <v>920</v>
      </c>
      <c r="J51" s="703">
        <v>42401</v>
      </c>
      <c r="K51" s="703">
        <v>42766</v>
      </c>
      <c r="L51" s="704">
        <v>43100</v>
      </c>
      <c r="M51" s="704">
        <v>43131</v>
      </c>
      <c r="N51" s="704"/>
      <c r="O51" s="704">
        <v>43132</v>
      </c>
      <c r="P51" s="704">
        <v>43465</v>
      </c>
      <c r="Q51" s="540">
        <f ca="1" t="shared" si="2"/>
        <v>192.61546296296</v>
      </c>
      <c r="R51" s="106" t="str">
        <f ca="1" t="shared" si="1"/>
        <v>ACTIVE</v>
      </c>
      <c r="S51" s="116">
        <v>2873036</v>
      </c>
      <c r="T51" s="116">
        <v>775000</v>
      </c>
      <c r="U51" s="116" t="s">
        <v>583</v>
      </c>
      <c r="V51" s="116"/>
      <c r="W51" s="116"/>
      <c r="X51" s="116"/>
      <c r="Y51" s="116"/>
      <c r="Z51" s="116"/>
      <c r="AA51" s="700" t="s">
        <v>113</v>
      </c>
      <c r="AB51" s="712" t="s">
        <v>8612</v>
      </c>
      <c r="AC51" s="718">
        <v>1500000</v>
      </c>
      <c r="AD51" s="700" t="s">
        <v>8613</v>
      </c>
      <c r="AE51" s="101" t="s">
        <v>8719</v>
      </c>
      <c r="AF51" s="697" t="s">
        <v>9091</v>
      </c>
      <c r="AG51" s="1586" t="s">
        <v>9092</v>
      </c>
      <c r="AH51" s="1586" t="s">
        <v>9093</v>
      </c>
      <c r="AI51" s="221" t="s">
        <v>9094</v>
      </c>
      <c r="AJ51" s="1586" t="s">
        <v>9095</v>
      </c>
      <c r="AK51" s="122" t="s">
        <v>9096</v>
      </c>
      <c r="AL51" s="723" t="s">
        <v>9097</v>
      </c>
      <c r="AM51" s="122" t="s">
        <v>9098</v>
      </c>
      <c r="AN51" s="221"/>
    </row>
    <row r="52" ht="31.5" spans="1:40">
      <c r="A52" s="1585" t="s">
        <v>569</v>
      </c>
      <c r="B52" s="100" t="s">
        <v>9099</v>
      </c>
      <c r="C52" s="697" t="s">
        <v>9100</v>
      </c>
      <c r="D52" s="697" t="s">
        <v>9101</v>
      </c>
      <c r="E52" s="700" t="s">
        <v>125</v>
      </c>
      <c r="F52" s="100" t="s">
        <v>60</v>
      </c>
      <c r="G52" s="697" t="s">
        <v>9102</v>
      </c>
      <c r="H52" s="697" t="s">
        <v>9103</v>
      </c>
      <c r="I52" s="697" t="s">
        <v>920</v>
      </c>
      <c r="J52" s="703">
        <v>42401</v>
      </c>
      <c r="K52" s="703">
        <v>42766</v>
      </c>
      <c r="L52" s="704">
        <v>43100</v>
      </c>
      <c r="M52" s="704">
        <v>43131</v>
      </c>
      <c r="N52" s="704"/>
      <c r="O52" s="704">
        <v>43132</v>
      </c>
      <c r="P52" s="704">
        <v>43465</v>
      </c>
      <c r="Q52" s="540">
        <f ca="1" t="shared" si="2"/>
        <v>192.61546296296</v>
      </c>
      <c r="R52" s="106" t="str">
        <f ca="1" t="shared" si="1"/>
        <v>ACTIVE</v>
      </c>
      <c r="S52" s="116">
        <v>2873036</v>
      </c>
      <c r="T52" s="116">
        <v>775000</v>
      </c>
      <c r="U52" s="116" t="s">
        <v>583</v>
      </c>
      <c r="V52" s="116"/>
      <c r="W52" s="116"/>
      <c r="X52" s="116"/>
      <c r="Y52" s="116"/>
      <c r="Z52" s="116"/>
      <c r="AA52" s="700" t="s">
        <v>113</v>
      </c>
      <c r="AB52" s="712" t="s">
        <v>8612</v>
      </c>
      <c r="AC52" s="718">
        <v>2000000</v>
      </c>
      <c r="AD52" s="700" t="s">
        <v>8613</v>
      </c>
      <c r="AE52" s="101" t="s">
        <v>8671</v>
      </c>
      <c r="AF52" s="697" t="s">
        <v>9104</v>
      </c>
      <c r="AG52" s="1586" t="s">
        <v>9105</v>
      </c>
      <c r="AH52" s="1586" t="s">
        <v>9106</v>
      </c>
      <c r="AI52" s="221" t="s">
        <v>9107</v>
      </c>
      <c r="AJ52" s="221">
        <v>12030703842</v>
      </c>
      <c r="AK52" s="649" t="s">
        <v>9108</v>
      </c>
      <c r="AL52" s="723" t="s">
        <v>9109</v>
      </c>
      <c r="AM52" s="122" t="s">
        <v>9110</v>
      </c>
      <c r="AN52" s="221"/>
    </row>
    <row r="53" ht="31.5" spans="1:40">
      <c r="A53" s="1585" t="s">
        <v>579</v>
      </c>
      <c r="B53" s="100" t="s">
        <v>9111</v>
      </c>
      <c r="C53" s="697" t="s">
        <v>9112</v>
      </c>
      <c r="D53" s="697" t="s">
        <v>9113</v>
      </c>
      <c r="E53" s="700" t="s">
        <v>125</v>
      </c>
      <c r="F53" s="100" t="s">
        <v>44</v>
      </c>
      <c r="G53" s="697" t="s">
        <v>9114</v>
      </c>
      <c r="H53" s="697" t="s">
        <v>9103</v>
      </c>
      <c r="I53" s="697" t="s">
        <v>920</v>
      </c>
      <c r="J53" s="703">
        <v>42401</v>
      </c>
      <c r="K53" s="703">
        <v>42766</v>
      </c>
      <c r="L53" s="704">
        <v>43100</v>
      </c>
      <c r="M53" s="704">
        <v>43131</v>
      </c>
      <c r="N53" s="704"/>
      <c r="O53" s="704">
        <v>43132</v>
      </c>
      <c r="P53" s="704">
        <v>43465</v>
      </c>
      <c r="Q53" s="540">
        <f ca="1" t="shared" si="2"/>
        <v>192.61546296296</v>
      </c>
      <c r="R53" s="106" t="str">
        <f ca="1" t="shared" si="1"/>
        <v>ACTIVE</v>
      </c>
      <c r="S53" s="116">
        <v>2873036</v>
      </c>
      <c r="T53" s="116">
        <v>775000</v>
      </c>
      <c r="U53" s="116" t="s">
        <v>583</v>
      </c>
      <c r="V53" s="116"/>
      <c r="W53" s="116"/>
      <c r="X53" s="116"/>
      <c r="Y53" s="116"/>
      <c r="Z53" s="116"/>
      <c r="AA53" s="700" t="s">
        <v>113</v>
      </c>
      <c r="AB53" s="712" t="s">
        <v>8612</v>
      </c>
      <c r="AC53" s="718">
        <v>1500000</v>
      </c>
      <c r="AD53" s="700" t="s">
        <v>8613</v>
      </c>
      <c r="AE53" s="101" t="s">
        <v>8671</v>
      </c>
      <c r="AF53" s="697" t="s">
        <v>9115</v>
      </c>
      <c r="AG53" s="1586" t="s">
        <v>9116</v>
      </c>
      <c r="AH53" s="1586" t="s">
        <v>9117</v>
      </c>
      <c r="AI53" s="221" t="s">
        <v>9118</v>
      </c>
      <c r="AJ53" s="221" t="s">
        <v>112</v>
      </c>
      <c r="AK53" s="649" t="s">
        <v>9119</v>
      </c>
      <c r="AL53" s="723" t="s">
        <v>9120</v>
      </c>
      <c r="AM53" s="122" t="s">
        <v>9121</v>
      </c>
      <c r="AN53" s="221"/>
    </row>
    <row r="54" ht="31.5" spans="1:40">
      <c r="A54" s="1585" t="s">
        <v>588</v>
      </c>
      <c r="B54" s="100" t="s">
        <v>9122</v>
      </c>
      <c r="C54" s="697" t="s">
        <v>9123</v>
      </c>
      <c r="D54" s="697" t="s">
        <v>9124</v>
      </c>
      <c r="E54" s="700" t="s">
        <v>43</v>
      </c>
      <c r="F54" s="100" t="s">
        <v>96</v>
      </c>
      <c r="G54" s="697" t="s">
        <v>9114</v>
      </c>
      <c r="H54" s="697" t="s">
        <v>9103</v>
      </c>
      <c r="I54" s="697" t="s">
        <v>920</v>
      </c>
      <c r="J54" s="703">
        <v>42401</v>
      </c>
      <c r="K54" s="703">
        <v>42766</v>
      </c>
      <c r="L54" s="704">
        <v>43100</v>
      </c>
      <c r="M54" s="704"/>
      <c r="N54" s="704"/>
      <c r="O54" s="704">
        <v>43101</v>
      </c>
      <c r="P54" s="704">
        <v>43465</v>
      </c>
      <c r="Q54" s="540">
        <f ca="1" t="shared" si="2"/>
        <v>192.61546296296</v>
      </c>
      <c r="R54" s="106" t="str">
        <f ca="1" t="shared" si="1"/>
        <v>ACTIVE</v>
      </c>
      <c r="S54" s="116">
        <v>3855960</v>
      </c>
      <c r="T54" s="116">
        <v>775000</v>
      </c>
      <c r="U54" s="116" t="s">
        <v>583</v>
      </c>
      <c r="V54" s="116"/>
      <c r="W54" s="116"/>
      <c r="X54" s="116"/>
      <c r="Y54" s="116"/>
      <c r="Z54" s="116"/>
      <c r="AA54" s="700" t="s">
        <v>113</v>
      </c>
      <c r="AB54" s="712" t="s">
        <v>8612</v>
      </c>
      <c r="AC54" s="718">
        <v>2500000</v>
      </c>
      <c r="AD54" s="700" t="s">
        <v>8613</v>
      </c>
      <c r="AE54" s="101" t="s">
        <v>9125</v>
      </c>
      <c r="AF54" s="697" t="s">
        <v>9126</v>
      </c>
      <c r="AG54" s="1586" t="s">
        <v>9127</v>
      </c>
      <c r="AH54" s="1586" t="s">
        <v>9128</v>
      </c>
      <c r="AI54" s="221" t="s">
        <v>9129</v>
      </c>
      <c r="AJ54" s="221" t="s">
        <v>8619</v>
      </c>
      <c r="AK54" s="649" t="s">
        <v>9130</v>
      </c>
      <c r="AL54" s="723" t="s">
        <v>9131</v>
      </c>
      <c r="AM54" s="122" t="s">
        <v>9132</v>
      </c>
      <c r="AN54" s="221"/>
    </row>
    <row r="55" ht="31.5" spans="1:40">
      <c r="A55" s="1585" t="s">
        <v>598</v>
      </c>
      <c r="B55" s="100" t="s">
        <v>9133</v>
      </c>
      <c r="C55" s="697" t="s">
        <v>9134</v>
      </c>
      <c r="D55" s="697" t="s">
        <v>9135</v>
      </c>
      <c r="E55" s="700" t="s">
        <v>125</v>
      </c>
      <c r="F55" s="100" t="s">
        <v>404</v>
      </c>
      <c r="G55" s="697" t="s">
        <v>9136</v>
      </c>
      <c r="H55" s="697" t="s">
        <v>9103</v>
      </c>
      <c r="I55" s="697" t="s">
        <v>920</v>
      </c>
      <c r="J55" s="703">
        <v>42401</v>
      </c>
      <c r="K55" s="703">
        <v>42766</v>
      </c>
      <c r="L55" s="704">
        <v>43100</v>
      </c>
      <c r="M55" s="704">
        <v>43131</v>
      </c>
      <c r="N55" s="704"/>
      <c r="O55" s="704">
        <v>43132</v>
      </c>
      <c r="P55" s="704">
        <v>43465</v>
      </c>
      <c r="Q55" s="540">
        <f ca="1" t="shared" si="2"/>
        <v>192.61546296296</v>
      </c>
      <c r="R55" s="106" t="str">
        <f ca="1" t="shared" si="1"/>
        <v>ACTIVE</v>
      </c>
      <c r="S55" s="116">
        <v>2873036</v>
      </c>
      <c r="T55" s="116">
        <v>775000</v>
      </c>
      <c r="U55" s="116" t="s">
        <v>583</v>
      </c>
      <c r="V55" s="116"/>
      <c r="W55" s="116"/>
      <c r="X55" s="116"/>
      <c r="Y55" s="116"/>
      <c r="Z55" s="116"/>
      <c r="AA55" s="700" t="s">
        <v>113</v>
      </c>
      <c r="AB55" s="712" t="s">
        <v>8612</v>
      </c>
      <c r="AC55" s="718">
        <v>1750000</v>
      </c>
      <c r="AD55" s="700" t="s">
        <v>8613</v>
      </c>
      <c r="AE55" s="101" t="s">
        <v>8671</v>
      </c>
      <c r="AF55" s="697" t="s">
        <v>9137</v>
      </c>
      <c r="AG55" s="1586" t="s">
        <v>9138</v>
      </c>
      <c r="AH55" s="1586" t="s">
        <v>9139</v>
      </c>
      <c r="AI55" s="1586" t="s">
        <v>9140</v>
      </c>
      <c r="AJ55" s="1586" t="s">
        <v>9141</v>
      </c>
      <c r="AK55" s="649" t="s">
        <v>9142</v>
      </c>
      <c r="AL55" s="723" t="s">
        <v>9143</v>
      </c>
      <c r="AM55" s="122" t="s">
        <v>9144</v>
      </c>
      <c r="AN55" s="221"/>
    </row>
    <row r="56" ht="31.5" spans="1:40">
      <c r="A56" s="1585" t="s">
        <v>609</v>
      </c>
      <c r="B56" s="100" t="s">
        <v>9145</v>
      </c>
      <c r="C56" s="697" t="s">
        <v>9146</v>
      </c>
      <c r="D56" s="697" t="s">
        <v>9147</v>
      </c>
      <c r="E56" s="700" t="s">
        <v>125</v>
      </c>
      <c r="F56" s="100" t="s">
        <v>44</v>
      </c>
      <c r="G56" s="697" t="s">
        <v>9114</v>
      </c>
      <c r="H56" s="697" t="s">
        <v>9103</v>
      </c>
      <c r="I56" s="697" t="s">
        <v>920</v>
      </c>
      <c r="J56" s="703">
        <v>42401</v>
      </c>
      <c r="K56" s="703">
        <v>42766</v>
      </c>
      <c r="L56" s="704">
        <v>43100</v>
      </c>
      <c r="M56" s="704">
        <v>43131</v>
      </c>
      <c r="N56" s="704"/>
      <c r="O56" s="704">
        <v>43132</v>
      </c>
      <c r="P56" s="704">
        <v>43465</v>
      </c>
      <c r="Q56" s="540">
        <f ca="1" t="shared" si="2"/>
        <v>192.61546296296</v>
      </c>
      <c r="R56" s="106" t="str">
        <f ca="1" t="shared" si="1"/>
        <v>ACTIVE</v>
      </c>
      <c r="S56" s="116">
        <v>2873036</v>
      </c>
      <c r="T56" s="116">
        <v>775000</v>
      </c>
      <c r="U56" s="116" t="s">
        <v>583</v>
      </c>
      <c r="V56" s="116"/>
      <c r="W56" s="116"/>
      <c r="X56" s="116"/>
      <c r="Y56" s="116"/>
      <c r="Z56" s="116"/>
      <c r="AA56" s="700" t="s">
        <v>113</v>
      </c>
      <c r="AB56" s="712" t="s">
        <v>8612</v>
      </c>
      <c r="AC56" s="718">
        <v>1500000</v>
      </c>
      <c r="AD56" s="700" t="s">
        <v>8613</v>
      </c>
      <c r="AE56" s="101" t="s">
        <v>8671</v>
      </c>
      <c r="AF56" s="697" t="s">
        <v>9148</v>
      </c>
      <c r="AG56" s="1586" t="s">
        <v>9149</v>
      </c>
      <c r="AH56" s="1586" t="s">
        <v>9150</v>
      </c>
      <c r="AI56" s="221" t="s">
        <v>9151</v>
      </c>
      <c r="AJ56" s="221">
        <v>13016700414</v>
      </c>
      <c r="AK56" s="649" t="s">
        <v>9152</v>
      </c>
      <c r="AL56" s="723" t="s">
        <v>9153</v>
      </c>
      <c r="AM56" s="122" t="s">
        <v>9154</v>
      </c>
      <c r="AN56" s="221"/>
    </row>
    <row r="57" ht="31.5" spans="1:40">
      <c r="A57" s="1585" t="s">
        <v>619</v>
      </c>
      <c r="B57" s="100" t="s">
        <v>9155</v>
      </c>
      <c r="C57" s="697" t="s">
        <v>9156</v>
      </c>
      <c r="D57" s="697" t="s">
        <v>9157</v>
      </c>
      <c r="E57" s="700" t="s">
        <v>125</v>
      </c>
      <c r="F57" s="100" t="s">
        <v>44</v>
      </c>
      <c r="G57" s="697" t="s">
        <v>9114</v>
      </c>
      <c r="H57" s="697" t="s">
        <v>9103</v>
      </c>
      <c r="I57" s="697" t="s">
        <v>920</v>
      </c>
      <c r="J57" s="703">
        <v>42401</v>
      </c>
      <c r="K57" s="703">
        <v>42766</v>
      </c>
      <c r="L57" s="704">
        <v>43100</v>
      </c>
      <c r="M57" s="704">
        <v>43131</v>
      </c>
      <c r="N57" s="704"/>
      <c r="O57" s="704">
        <v>43132</v>
      </c>
      <c r="P57" s="704">
        <v>43465</v>
      </c>
      <c r="Q57" s="540">
        <f ca="1" t="shared" si="2"/>
        <v>192.61546296296</v>
      </c>
      <c r="R57" s="106" t="str">
        <f ca="1" t="shared" si="1"/>
        <v>ACTIVE</v>
      </c>
      <c r="S57" s="116">
        <v>2873036</v>
      </c>
      <c r="T57" s="116">
        <v>775000</v>
      </c>
      <c r="U57" s="116" t="s">
        <v>583</v>
      </c>
      <c r="V57" s="116"/>
      <c r="W57" s="116"/>
      <c r="X57" s="116"/>
      <c r="Y57" s="116"/>
      <c r="Z57" s="116"/>
      <c r="AA57" s="700" t="s">
        <v>113</v>
      </c>
      <c r="AB57" s="712" t="s">
        <v>8612</v>
      </c>
      <c r="AC57" s="718">
        <v>1500000</v>
      </c>
      <c r="AD57" s="700" t="s">
        <v>8613</v>
      </c>
      <c r="AE57" s="101" t="s">
        <v>8671</v>
      </c>
      <c r="AF57" s="697" t="s">
        <v>9158</v>
      </c>
      <c r="AG57" s="1586" t="s">
        <v>9159</v>
      </c>
      <c r="AH57" s="1586" t="s">
        <v>9160</v>
      </c>
      <c r="AI57" s="221" t="s">
        <v>9161</v>
      </c>
      <c r="AJ57" s="221" t="s">
        <v>9162</v>
      </c>
      <c r="AK57" s="649" t="s">
        <v>9163</v>
      </c>
      <c r="AL57" s="723" t="s">
        <v>9164</v>
      </c>
      <c r="AM57" s="122" t="s">
        <v>9165</v>
      </c>
      <c r="AN57" s="221"/>
    </row>
    <row r="58" ht="31.5" spans="1:40">
      <c r="A58" s="1585" t="s">
        <v>631</v>
      </c>
      <c r="B58" s="100" t="s">
        <v>9166</v>
      </c>
      <c r="C58" s="697" t="s">
        <v>9167</v>
      </c>
      <c r="D58" s="697" t="s">
        <v>9168</v>
      </c>
      <c r="E58" s="700" t="s">
        <v>125</v>
      </c>
      <c r="F58" s="100" t="s">
        <v>60</v>
      </c>
      <c r="G58" s="697" t="s">
        <v>9114</v>
      </c>
      <c r="H58" s="697" t="s">
        <v>9103</v>
      </c>
      <c r="I58" s="697" t="s">
        <v>920</v>
      </c>
      <c r="J58" s="703">
        <v>42401</v>
      </c>
      <c r="K58" s="703">
        <v>42766</v>
      </c>
      <c r="L58" s="704">
        <v>43100</v>
      </c>
      <c r="M58" s="704">
        <v>43131</v>
      </c>
      <c r="N58" s="704"/>
      <c r="O58" s="704">
        <v>43132</v>
      </c>
      <c r="P58" s="704">
        <v>43465</v>
      </c>
      <c r="Q58" s="540">
        <f ca="1" t="shared" si="2"/>
        <v>192.61546296296</v>
      </c>
      <c r="R58" s="106" t="str">
        <f ca="1" t="shared" si="1"/>
        <v>ACTIVE</v>
      </c>
      <c r="S58" s="116">
        <v>2873036</v>
      </c>
      <c r="T58" s="116">
        <v>775000</v>
      </c>
      <c r="U58" s="116" t="s">
        <v>583</v>
      </c>
      <c r="V58" s="116"/>
      <c r="W58" s="116"/>
      <c r="X58" s="116"/>
      <c r="Y58" s="116"/>
      <c r="Z58" s="116"/>
      <c r="AA58" s="700" t="s">
        <v>113</v>
      </c>
      <c r="AB58" s="712" t="s">
        <v>8612</v>
      </c>
      <c r="AC58" s="718">
        <v>2000000</v>
      </c>
      <c r="AD58" s="700" t="s">
        <v>8613</v>
      </c>
      <c r="AE58" s="101" t="s">
        <v>8671</v>
      </c>
      <c r="AF58" s="697" t="s">
        <v>9169</v>
      </c>
      <c r="AG58" s="1586" t="s">
        <v>9170</v>
      </c>
      <c r="AH58" s="1586" t="s">
        <v>9171</v>
      </c>
      <c r="AI58" s="221" t="s">
        <v>9172</v>
      </c>
      <c r="AJ58" s="221">
        <v>1200885035</v>
      </c>
      <c r="AK58" s="649" t="s">
        <v>9173</v>
      </c>
      <c r="AL58" s="723" t="s">
        <v>9174</v>
      </c>
      <c r="AM58" s="122" t="s">
        <v>9175</v>
      </c>
      <c r="AN58" s="221"/>
    </row>
    <row r="59" ht="31.5" spans="1:40">
      <c r="A59" s="1585" t="s">
        <v>642</v>
      </c>
      <c r="B59" s="100" t="s">
        <v>9176</v>
      </c>
      <c r="C59" s="697" t="s">
        <v>9177</v>
      </c>
      <c r="D59" s="698" t="s">
        <v>9178</v>
      </c>
      <c r="E59" s="700" t="s">
        <v>43</v>
      </c>
      <c r="F59" s="432" t="s">
        <v>44</v>
      </c>
      <c r="G59" s="702" t="s">
        <v>9179</v>
      </c>
      <c r="H59" s="697" t="s">
        <v>8611</v>
      </c>
      <c r="I59" s="697" t="s">
        <v>920</v>
      </c>
      <c r="J59" s="705">
        <v>42473</v>
      </c>
      <c r="K59" s="705">
        <v>42582</v>
      </c>
      <c r="L59" s="704">
        <v>42766</v>
      </c>
      <c r="M59" s="704">
        <v>43100</v>
      </c>
      <c r="N59" s="704">
        <v>43202</v>
      </c>
      <c r="O59" s="121">
        <v>43203</v>
      </c>
      <c r="P59" s="704">
        <v>43465</v>
      </c>
      <c r="Q59" s="540">
        <f ca="1" t="shared" si="2"/>
        <v>192.61546296296</v>
      </c>
      <c r="R59" s="106" t="str">
        <f ca="1" t="shared" si="1"/>
        <v>ACTIVE</v>
      </c>
      <c r="S59" s="116">
        <v>2873036</v>
      </c>
      <c r="T59" s="116">
        <v>775000</v>
      </c>
      <c r="U59" s="116"/>
      <c r="V59" s="116"/>
      <c r="W59" s="116"/>
      <c r="X59" s="116"/>
      <c r="Y59" s="116"/>
      <c r="Z59" s="116"/>
      <c r="AA59" s="700" t="s">
        <v>112</v>
      </c>
      <c r="AB59" s="712" t="s">
        <v>8612</v>
      </c>
      <c r="AC59" s="718">
        <v>1500000</v>
      </c>
      <c r="AD59" s="700" t="s">
        <v>8613</v>
      </c>
      <c r="AE59" s="101" t="s">
        <v>9180</v>
      </c>
      <c r="AF59" s="719" t="s">
        <v>9181</v>
      </c>
      <c r="AG59" s="1579" t="s">
        <v>9182</v>
      </c>
      <c r="AH59" s="1579" t="s">
        <v>9183</v>
      </c>
      <c r="AI59" s="1579" t="s">
        <v>9184</v>
      </c>
      <c r="AJ59" s="1579" t="s">
        <v>9185</v>
      </c>
      <c r="AK59" s="122" t="s">
        <v>9186</v>
      </c>
      <c r="AL59" s="723" t="s">
        <v>9187</v>
      </c>
      <c r="AM59" s="122" t="s">
        <v>9188</v>
      </c>
      <c r="AN59" s="221"/>
    </row>
    <row r="60" ht="31.5" spans="1:40">
      <c r="A60" s="1585" t="s">
        <v>651</v>
      </c>
      <c r="B60" s="100" t="s">
        <v>9189</v>
      </c>
      <c r="C60" s="697" t="s">
        <v>9190</v>
      </c>
      <c r="D60" s="698" t="s">
        <v>9191</v>
      </c>
      <c r="E60" s="700" t="s">
        <v>43</v>
      </c>
      <c r="F60" s="432" t="s">
        <v>44</v>
      </c>
      <c r="G60" s="702" t="s">
        <v>9179</v>
      </c>
      <c r="H60" s="697" t="s">
        <v>8611</v>
      </c>
      <c r="I60" s="697" t="s">
        <v>920</v>
      </c>
      <c r="J60" s="705">
        <v>42473</v>
      </c>
      <c r="K60" s="705">
        <v>42582</v>
      </c>
      <c r="L60" s="704">
        <v>42766</v>
      </c>
      <c r="M60" s="704">
        <v>43100</v>
      </c>
      <c r="N60" s="704">
        <v>43202</v>
      </c>
      <c r="O60" s="121">
        <v>43203</v>
      </c>
      <c r="P60" s="704">
        <v>43465</v>
      </c>
      <c r="Q60" s="540">
        <f ca="1" t="shared" si="2"/>
        <v>192.61546296296</v>
      </c>
      <c r="R60" s="106" t="str">
        <f ca="1" t="shared" si="1"/>
        <v>ACTIVE</v>
      </c>
      <c r="S60" s="116">
        <v>2873036</v>
      </c>
      <c r="T60" s="116">
        <v>775000</v>
      </c>
      <c r="U60" s="116"/>
      <c r="V60" s="116"/>
      <c r="W60" s="116"/>
      <c r="X60" s="116"/>
      <c r="Y60" s="116"/>
      <c r="Z60" s="116"/>
      <c r="AA60" s="700" t="s">
        <v>112</v>
      </c>
      <c r="AB60" s="712" t="s">
        <v>8612</v>
      </c>
      <c r="AC60" s="718">
        <v>1500000</v>
      </c>
      <c r="AD60" s="700" t="s">
        <v>8613</v>
      </c>
      <c r="AE60" s="101" t="s">
        <v>9192</v>
      </c>
      <c r="AF60" s="719" t="s">
        <v>9193</v>
      </c>
      <c r="AG60" s="122" t="s">
        <v>9194</v>
      </c>
      <c r="AH60" s="1579" t="s">
        <v>9195</v>
      </c>
      <c r="AI60" s="122" t="s">
        <v>9196</v>
      </c>
      <c r="AJ60" s="122"/>
      <c r="AK60" s="122" t="s">
        <v>9197</v>
      </c>
      <c r="AL60" s="723" t="s">
        <v>9198</v>
      </c>
      <c r="AM60" s="122" t="s">
        <v>9199</v>
      </c>
      <c r="AN60" s="221"/>
    </row>
    <row r="61" ht="31.5" spans="1:40">
      <c r="A61" s="1585" t="s">
        <v>661</v>
      </c>
      <c r="B61" s="100" t="s">
        <v>9200</v>
      </c>
      <c r="C61" s="697" t="s">
        <v>9201</v>
      </c>
      <c r="D61" s="698" t="s">
        <v>9202</v>
      </c>
      <c r="E61" s="700" t="s">
        <v>43</v>
      </c>
      <c r="F61" s="432" t="s">
        <v>44</v>
      </c>
      <c r="G61" s="702" t="s">
        <v>9203</v>
      </c>
      <c r="H61" s="697" t="s">
        <v>8835</v>
      </c>
      <c r="I61" s="697" t="s">
        <v>920</v>
      </c>
      <c r="J61" s="705">
        <v>42515</v>
      </c>
      <c r="K61" s="705">
        <v>42606</v>
      </c>
      <c r="L61" s="704">
        <v>42766</v>
      </c>
      <c r="M61" s="704">
        <v>43100</v>
      </c>
      <c r="N61" s="704">
        <v>43244</v>
      </c>
      <c r="O61" s="121">
        <v>43245</v>
      </c>
      <c r="P61" s="704">
        <v>43465</v>
      </c>
      <c r="Q61" s="540">
        <f ca="1" t="shared" si="2"/>
        <v>192.61546296296</v>
      </c>
      <c r="R61" s="106" t="str">
        <f ca="1" t="shared" si="1"/>
        <v>ACTIVE</v>
      </c>
      <c r="S61" s="116">
        <v>2782500</v>
      </c>
      <c r="T61" s="116">
        <v>775000</v>
      </c>
      <c r="U61" s="116">
        <v>150000</v>
      </c>
      <c r="V61" s="116"/>
      <c r="W61" s="116"/>
      <c r="X61" s="116"/>
      <c r="Y61" s="116"/>
      <c r="Z61" s="116"/>
      <c r="AA61" s="700" t="s">
        <v>113</v>
      </c>
      <c r="AB61" s="712" t="s">
        <v>8612</v>
      </c>
      <c r="AC61" s="718">
        <v>1500000</v>
      </c>
      <c r="AD61" s="700" t="s">
        <v>8613</v>
      </c>
      <c r="AE61" s="432" t="s">
        <v>9204</v>
      </c>
      <c r="AF61" s="719" t="s">
        <v>9205</v>
      </c>
      <c r="AG61" s="122" t="s">
        <v>9206</v>
      </c>
      <c r="AH61" s="122" t="s">
        <v>9207</v>
      </c>
      <c r="AI61" s="122" t="s">
        <v>9208</v>
      </c>
      <c r="AJ61" s="122" t="s">
        <v>9209</v>
      </c>
      <c r="AK61" s="122" t="s">
        <v>9210</v>
      </c>
      <c r="AL61" s="723" t="s">
        <v>9211</v>
      </c>
      <c r="AM61" s="122" t="s">
        <v>9212</v>
      </c>
      <c r="AN61" s="221"/>
    </row>
    <row r="62" ht="31.5" spans="1:40">
      <c r="A62" s="1585" t="s">
        <v>671</v>
      </c>
      <c r="B62" s="100" t="s">
        <v>9213</v>
      </c>
      <c r="C62" s="697" t="s">
        <v>9214</v>
      </c>
      <c r="D62" s="698" t="s">
        <v>9215</v>
      </c>
      <c r="E62" s="700" t="s">
        <v>43</v>
      </c>
      <c r="F62" s="432" t="s">
        <v>44</v>
      </c>
      <c r="G62" s="702" t="s">
        <v>9203</v>
      </c>
      <c r="H62" s="697" t="s">
        <v>8835</v>
      </c>
      <c r="I62" s="697" t="s">
        <v>920</v>
      </c>
      <c r="J62" s="705">
        <v>42515</v>
      </c>
      <c r="K62" s="705">
        <v>42766</v>
      </c>
      <c r="L62" s="704">
        <v>43100</v>
      </c>
      <c r="M62" s="704">
        <v>43244</v>
      </c>
      <c r="N62" s="704"/>
      <c r="O62" s="121">
        <v>43245</v>
      </c>
      <c r="P62" s="704">
        <v>43465</v>
      </c>
      <c r="Q62" s="540">
        <f ca="1" t="shared" si="2"/>
        <v>192.61546296296</v>
      </c>
      <c r="R62" s="106" t="str">
        <f ca="1" t="shared" si="1"/>
        <v>ACTIVE</v>
      </c>
      <c r="S62" s="116">
        <v>2782500</v>
      </c>
      <c r="T62" s="116">
        <v>775000</v>
      </c>
      <c r="U62" s="116">
        <v>150000</v>
      </c>
      <c r="V62" s="116"/>
      <c r="W62" s="116"/>
      <c r="X62" s="116"/>
      <c r="Y62" s="116"/>
      <c r="Z62" s="116"/>
      <c r="AA62" s="700" t="s">
        <v>113</v>
      </c>
      <c r="AB62" s="712" t="s">
        <v>8612</v>
      </c>
      <c r="AC62" s="718">
        <v>1500000</v>
      </c>
      <c r="AD62" s="700" t="s">
        <v>8613</v>
      </c>
      <c r="AE62" s="208" t="s">
        <v>9216</v>
      </c>
      <c r="AF62" s="719" t="s">
        <v>9217</v>
      </c>
      <c r="AG62" s="122" t="s">
        <v>9218</v>
      </c>
      <c r="AH62" s="122" t="s">
        <v>9219</v>
      </c>
      <c r="AI62" s="122" t="s">
        <v>9220</v>
      </c>
      <c r="AJ62" s="122" t="s">
        <v>9221</v>
      </c>
      <c r="AK62" s="1589" t="s">
        <v>9222</v>
      </c>
      <c r="AL62" s="723" t="s">
        <v>9223</v>
      </c>
      <c r="AM62" s="122" t="s">
        <v>9224</v>
      </c>
      <c r="AN62" s="221"/>
    </row>
    <row r="63" ht="31.5" spans="1:40">
      <c r="A63" s="1585" t="s">
        <v>680</v>
      </c>
      <c r="B63" s="100" t="s">
        <v>9225</v>
      </c>
      <c r="C63" s="697" t="s">
        <v>9226</v>
      </c>
      <c r="D63" s="698" t="s">
        <v>9227</v>
      </c>
      <c r="E63" s="700" t="s">
        <v>43</v>
      </c>
      <c r="F63" s="432" t="s">
        <v>60</v>
      </c>
      <c r="G63" s="702" t="s">
        <v>9203</v>
      </c>
      <c r="H63" s="697" t="s">
        <v>8835</v>
      </c>
      <c r="I63" s="697" t="s">
        <v>920</v>
      </c>
      <c r="J63" s="705">
        <v>42517</v>
      </c>
      <c r="K63" s="705">
        <v>42608</v>
      </c>
      <c r="L63" s="704">
        <v>42766</v>
      </c>
      <c r="M63" s="704">
        <v>43100</v>
      </c>
      <c r="N63" s="704">
        <v>43246</v>
      </c>
      <c r="O63" s="121">
        <v>43247</v>
      </c>
      <c r="P63" s="704">
        <v>43465</v>
      </c>
      <c r="Q63" s="540">
        <f ca="1" t="shared" si="2"/>
        <v>192.61546296296</v>
      </c>
      <c r="R63" s="106" t="str">
        <f ca="1" t="shared" si="1"/>
        <v>ACTIVE</v>
      </c>
      <c r="S63" s="116">
        <v>2782500</v>
      </c>
      <c r="T63" s="116">
        <v>775000</v>
      </c>
      <c r="U63" s="116">
        <v>150000</v>
      </c>
      <c r="V63" s="116"/>
      <c r="W63" s="116"/>
      <c r="X63" s="116"/>
      <c r="Y63" s="116"/>
      <c r="Z63" s="116"/>
      <c r="AA63" s="700" t="s">
        <v>113</v>
      </c>
      <c r="AB63" s="712" t="s">
        <v>8612</v>
      </c>
      <c r="AC63" s="718">
        <v>2000000</v>
      </c>
      <c r="AD63" s="700" t="s">
        <v>8613</v>
      </c>
      <c r="AE63" s="432" t="s">
        <v>9228</v>
      </c>
      <c r="AF63" s="719" t="s">
        <v>9229</v>
      </c>
      <c r="AG63" s="122" t="s">
        <v>9230</v>
      </c>
      <c r="AH63" s="122" t="s">
        <v>9231</v>
      </c>
      <c r="AI63" s="122" t="s">
        <v>9232</v>
      </c>
      <c r="AJ63" s="122" t="s">
        <v>9233</v>
      </c>
      <c r="AK63" s="122" t="s">
        <v>9234</v>
      </c>
      <c r="AL63" s="723" t="s">
        <v>9235</v>
      </c>
      <c r="AM63" s="122" t="s">
        <v>9236</v>
      </c>
      <c r="AN63" s="221"/>
    </row>
    <row r="64" ht="31.5" spans="1:40">
      <c r="A64" s="1585" t="s">
        <v>690</v>
      </c>
      <c r="B64" s="100" t="s">
        <v>9237</v>
      </c>
      <c r="C64" s="697" t="s">
        <v>9238</v>
      </c>
      <c r="D64" s="698" t="s">
        <v>9239</v>
      </c>
      <c r="E64" s="700" t="s">
        <v>43</v>
      </c>
      <c r="F64" s="432" t="s">
        <v>404</v>
      </c>
      <c r="G64" s="702" t="s">
        <v>9203</v>
      </c>
      <c r="H64" s="697" t="s">
        <v>8835</v>
      </c>
      <c r="I64" s="697" t="s">
        <v>920</v>
      </c>
      <c r="J64" s="705">
        <v>42517</v>
      </c>
      <c r="K64" s="705">
        <v>42608</v>
      </c>
      <c r="L64" s="704">
        <v>42766</v>
      </c>
      <c r="M64" s="704">
        <v>43100</v>
      </c>
      <c r="N64" s="704">
        <v>43246</v>
      </c>
      <c r="O64" s="121">
        <v>43247</v>
      </c>
      <c r="P64" s="704">
        <v>43465</v>
      </c>
      <c r="Q64" s="540">
        <f ca="1" t="shared" si="2"/>
        <v>192.61546296296</v>
      </c>
      <c r="R64" s="106" t="str">
        <f ca="1" t="shared" si="1"/>
        <v>ACTIVE</v>
      </c>
      <c r="S64" s="116">
        <v>2808750</v>
      </c>
      <c r="T64" s="116">
        <v>775000</v>
      </c>
      <c r="U64" s="116">
        <v>150000</v>
      </c>
      <c r="V64" s="116"/>
      <c r="W64" s="116"/>
      <c r="X64" s="116"/>
      <c r="Y64" s="116"/>
      <c r="Z64" s="116"/>
      <c r="AA64" s="700" t="s">
        <v>113</v>
      </c>
      <c r="AB64" s="712" t="s">
        <v>8612</v>
      </c>
      <c r="AC64" s="718">
        <v>1750000</v>
      </c>
      <c r="AD64" s="700" t="s">
        <v>8613</v>
      </c>
      <c r="AE64" s="432" t="s">
        <v>9228</v>
      </c>
      <c r="AF64" s="719" t="s">
        <v>9240</v>
      </c>
      <c r="AG64" s="122" t="s">
        <v>9241</v>
      </c>
      <c r="AH64" s="122" t="s">
        <v>9242</v>
      </c>
      <c r="AI64" s="122" t="s">
        <v>9243</v>
      </c>
      <c r="AJ64" s="122" t="s">
        <v>2574</v>
      </c>
      <c r="AK64" s="1589" t="s">
        <v>9244</v>
      </c>
      <c r="AL64" s="723" t="s">
        <v>9245</v>
      </c>
      <c r="AM64" s="122" t="s">
        <v>9246</v>
      </c>
      <c r="AN64" s="221"/>
    </row>
    <row r="65" ht="31.5" spans="1:40">
      <c r="A65" s="1585" t="s">
        <v>699</v>
      </c>
      <c r="B65" s="100" t="s">
        <v>9247</v>
      </c>
      <c r="C65" s="697" t="s">
        <v>9248</v>
      </c>
      <c r="D65" s="698" t="s">
        <v>9249</v>
      </c>
      <c r="E65" s="700" t="s">
        <v>43</v>
      </c>
      <c r="F65" s="432" t="s">
        <v>44</v>
      </c>
      <c r="G65" s="702" t="s">
        <v>9203</v>
      </c>
      <c r="H65" s="697" t="s">
        <v>8835</v>
      </c>
      <c r="I65" s="697" t="s">
        <v>920</v>
      </c>
      <c r="J65" s="705">
        <v>42517</v>
      </c>
      <c r="K65" s="705">
        <v>42608</v>
      </c>
      <c r="L65" s="704">
        <v>42766</v>
      </c>
      <c r="M65" s="704">
        <v>43100</v>
      </c>
      <c r="N65" s="704">
        <v>43246</v>
      </c>
      <c r="O65" s="121">
        <v>43247</v>
      </c>
      <c r="P65" s="704">
        <v>43465</v>
      </c>
      <c r="Q65" s="540">
        <f ca="1" t="shared" si="2"/>
        <v>192.61546296296</v>
      </c>
      <c r="R65" s="106" t="str">
        <f ca="1" t="shared" si="1"/>
        <v>ACTIVE</v>
      </c>
      <c r="S65" s="116">
        <v>2782500</v>
      </c>
      <c r="T65" s="116">
        <v>775000</v>
      </c>
      <c r="U65" s="116">
        <v>150000</v>
      </c>
      <c r="V65" s="116"/>
      <c r="W65" s="116"/>
      <c r="X65" s="116"/>
      <c r="Y65" s="116"/>
      <c r="Z65" s="116"/>
      <c r="AA65" s="700" t="s">
        <v>113</v>
      </c>
      <c r="AB65" s="712" t="s">
        <v>8612</v>
      </c>
      <c r="AC65" s="718">
        <v>1500000</v>
      </c>
      <c r="AD65" s="700" t="s">
        <v>8613</v>
      </c>
      <c r="AE65" s="432" t="s">
        <v>9228</v>
      </c>
      <c r="AF65" s="719" t="s">
        <v>9250</v>
      </c>
      <c r="AG65" s="122" t="s">
        <v>9251</v>
      </c>
      <c r="AH65" s="122" t="s">
        <v>9252</v>
      </c>
      <c r="AI65" s="122" t="s">
        <v>9253</v>
      </c>
      <c r="AJ65" s="122" t="s">
        <v>9254</v>
      </c>
      <c r="AK65" s="122" t="s">
        <v>9255</v>
      </c>
      <c r="AL65" s="723" t="s">
        <v>9256</v>
      </c>
      <c r="AM65" s="122" t="s">
        <v>9257</v>
      </c>
      <c r="AN65" s="221"/>
    </row>
    <row r="66" ht="31.5" spans="1:40">
      <c r="A66" s="1585" t="s">
        <v>709</v>
      </c>
      <c r="B66" s="100" t="s">
        <v>9258</v>
      </c>
      <c r="C66" s="697" t="s">
        <v>9259</v>
      </c>
      <c r="D66" s="698" t="s">
        <v>9260</v>
      </c>
      <c r="E66" s="700" t="s">
        <v>43</v>
      </c>
      <c r="F66" s="432" t="s">
        <v>44</v>
      </c>
      <c r="G66" s="702" t="s">
        <v>9179</v>
      </c>
      <c r="H66" s="697" t="s">
        <v>8611</v>
      </c>
      <c r="I66" s="697" t="s">
        <v>920</v>
      </c>
      <c r="J66" s="705">
        <v>42527</v>
      </c>
      <c r="K66" s="705">
        <v>42618</v>
      </c>
      <c r="L66" s="704">
        <v>42766</v>
      </c>
      <c r="M66" s="704">
        <v>43100</v>
      </c>
      <c r="N66" s="704">
        <v>43256</v>
      </c>
      <c r="O66" s="121">
        <v>43257</v>
      </c>
      <c r="P66" s="704">
        <v>43465</v>
      </c>
      <c r="Q66" s="540">
        <f ca="1" t="shared" si="2"/>
        <v>192.61546296296</v>
      </c>
      <c r="R66" s="106" t="str">
        <f ca="1" t="shared" si="1"/>
        <v>ACTIVE</v>
      </c>
      <c r="S66" s="116">
        <v>2873036</v>
      </c>
      <c r="T66" s="116">
        <v>775000</v>
      </c>
      <c r="U66" s="116"/>
      <c r="V66" s="116"/>
      <c r="W66" s="116"/>
      <c r="X66" s="116"/>
      <c r="Y66" s="116"/>
      <c r="Z66" s="116"/>
      <c r="AA66" s="700" t="s">
        <v>112</v>
      </c>
      <c r="AB66" s="712" t="s">
        <v>8612</v>
      </c>
      <c r="AC66" s="718">
        <v>1500000</v>
      </c>
      <c r="AD66" s="700" t="s">
        <v>8613</v>
      </c>
      <c r="AE66" s="101" t="s">
        <v>8719</v>
      </c>
      <c r="AF66" s="719" t="s">
        <v>9261</v>
      </c>
      <c r="AG66" s="122" t="s">
        <v>9262</v>
      </c>
      <c r="AH66" s="122" t="s">
        <v>9263</v>
      </c>
      <c r="AI66" s="122" t="s">
        <v>9264</v>
      </c>
      <c r="AJ66" s="122" t="s">
        <v>9265</v>
      </c>
      <c r="AK66" s="1579" t="s">
        <v>9266</v>
      </c>
      <c r="AL66" s="723" t="s">
        <v>9267</v>
      </c>
      <c r="AM66" s="122" t="s">
        <v>9268</v>
      </c>
      <c r="AN66" s="221"/>
    </row>
    <row r="67" ht="31.5" spans="1:40">
      <c r="A67" s="1585" t="s">
        <v>718</v>
      </c>
      <c r="B67" s="100" t="s">
        <v>9269</v>
      </c>
      <c r="C67" s="697" t="s">
        <v>9270</v>
      </c>
      <c r="D67" s="698" t="s">
        <v>9271</v>
      </c>
      <c r="E67" s="700" t="s">
        <v>43</v>
      </c>
      <c r="F67" s="432" t="s">
        <v>44</v>
      </c>
      <c r="G67" s="702" t="s">
        <v>9179</v>
      </c>
      <c r="H67" s="697" t="s">
        <v>8611</v>
      </c>
      <c r="I67" s="697" t="s">
        <v>920</v>
      </c>
      <c r="J67" s="705">
        <v>42527</v>
      </c>
      <c r="K67" s="705">
        <v>42618</v>
      </c>
      <c r="L67" s="704">
        <v>42766</v>
      </c>
      <c r="M67" s="704">
        <v>43100</v>
      </c>
      <c r="N67" s="704">
        <v>43256</v>
      </c>
      <c r="O67" s="121">
        <v>43257</v>
      </c>
      <c r="P67" s="704">
        <v>43465</v>
      </c>
      <c r="Q67" s="540">
        <f ca="1" t="shared" si="2"/>
        <v>192.61546296296</v>
      </c>
      <c r="R67" s="106" t="str">
        <f ca="1" t="shared" si="1"/>
        <v>ACTIVE</v>
      </c>
      <c r="S67" s="116">
        <v>2873036</v>
      </c>
      <c r="T67" s="116">
        <v>775000</v>
      </c>
      <c r="U67" s="116"/>
      <c r="V67" s="116"/>
      <c r="W67" s="116"/>
      <c r="X67" s="116"/>
      <c r="Y67" s="116"/>
      <c r="Z67" s="116"/>
      <c r="AA67" s="700" t="s">
        <v>112</v>
      </c>
      <c r="AB67" s="712" t="s">
        <v>8612</v>
      </c>
      <c r="AC67" s="718">
        <v>1500000</v>
      </c>
      <c r="AD67" s="700" t="s">
        <v>8613</v>
      </c>
      <c r="AE67" s="101" t="s">
        <v>8719</v>
      </c>
      <c r="AF67" s="719" t="s">
        <v>9272</v>
      </c>
      <c r="AG67" s="122" t="s">
        <v>9273</v>
      </c>
      <c r="AH67" s="122" t="s">
        <v>9274</v>
      </c>
      <c r="AI67" s="122"/>
      <c r="AJ67" s="122"/>
      <c r="AK67" s="122" t="s">
        <v>9275</v>
      </c>
      <c r="AL67" s="723" t="s">
        <v>9276</v>
      </c>
      <c r="AM67" s="122" t="s">
        <v>9277</v>
      </c>
      <c r="AN67" s="221"/>
    </row>
    <row r="68" ht="31.5" spans="1:40">
      <c r="A68" s="1585" t="s">
        <v>730</v>
      </c>
      <c r="B68" s="100" t="s">
        <v>9278</v>
      </c>
      <c r="C68" s="697" t="s">
        <v>9279</v>
      </c>
      <c r="D68" s="698" t="s">
        <v>9280</v>
      </c>
      <c r="E68" s="700" t="s">
        <v>43</v>
      </c>
      <c r="F68" s="432" t="s">
        <v>60</v>
      </c>
      <c r="G68" s="702" t="s">
        <v>9281</v>
      </c>
      <c r="H68" s="697" t="s">
        <v>8611</v>
      </c>
      <c r="I68" s="697" t="s">
        <v>920</v>
      </c>
      <c r="J68" s="705">
        <v>42527</v>
      </c>
      <c r="K68" s="705">
        <v>42618</v>
      </c>
      <c r="L68" s="704">
        <v>42766</v>
      </c>
      <c r="M68" s="704">
        <v>43100</v>
      </c>
      <c r="N68" s="704">
        <v>43256</v>
      </c>
      <c r="O68" s="121">
        <v>43257</v>
      </c>
      <c r="P68" s="704">
        <v>43465</v>
      </c>
      <c r="Q68" s="540">
        <f ca="1" t="shared" ref="Q68:Q73" si="3">SUM(P68-NOW())</f>
        <v>192.61546296296</v>
      </c>
      <c r="R68" s="106" t="str">
        <f ca="1" t="shared" ref="R68:R118" si="4">IF(Q68&lt;=40,"WARNING","ACTIVE")</f>
        <v>ACTIVE</v>
      </c>
      <c r="S68" s="116">
        <v>2873036</v>
      </c>
      <c r="T68" s="116">
        <v>775000</v>
      </c>
      <c r="U68" s="116"/>
      <c r="V68" s="116"/>
      <c r="W68" s="116"/>
      <c r="X68" s="116"/>
      <c r="Y68" s="116"/>
      <c r="Z68" s="116"/>
      <c r="AA68" s="700" t="s">
        <v>112</v>
      </c>
      <c r="AB68" s="712" t="s">
        <v>8612</v>
      </c>
      <c r="AC68" s="718">
        <v>2000000</v>
      </c>
      <c r="AD68" s="700" t="s">
        <v>8613</v>
      </c>
      <c r="AE68" s="101" t="s">
        <v>8719</v>
      </c>
      <c r="AF68" s="719" t="s">
        <v>9282</v>
      </c>
      <c r="AG68" s="122" t="s">
        <v>9283</v>
      </c>
      <c r="AH68" s="122" t="s">
        <v>9284</v>
      </c>
      <c r="AI68" s="122" t="s">
        <v>9285</v>
      </c>
      <c r="AJ68" s="122" t="s">
        <v>9286</v>
      </c>
      <c r="AK68" s="122" t="s">
        <v>9287</v>
      </c>
      <c r="AL68" s="723" t="s">
        <v>9288</v>
      </c>
      <c r="AM68" s="122" t="s">
        <v>9289</v>
      </c>
      <c r="AN68" s="221"/>
    </row>
    <row r="69" ht="31.5" spans="1:40">
      <c r="A69" s="1585" t="s">
        <v>740</v>
      </c>
      <c r="B69" s="100" t="s">
        <v>9290</v>
      </c>
      <c r="C69" s="697" t="s">
        <v>9291</v>
      </c>
      <c r="D69" s="698" t="s">
        <v>9292</v>
      </c>
      <c r="E69" s="700" t="s">
        <v>43</v>
      </c>
      <c r="F69" s="432" t="s">
        <v>44</v>
      </c>
      <c r="G69" s="702" t="s">
        <v>9179</v>
      </c>
      <c r="H69" s="697" t="s">
        <v>8611</v>
      </c>
      <c r="I69" s="697" t="s">
        <v>920</v>
      </c>
      <c r="J69" s="705">
        <v>42527</v>
      </c>
      <c r="K69" s="705">
        <v>42618</v>
      </c>
      <c r="L69" s="704">
        <v>42766</v>
      </c>
      <c r="M69" s="704">
        <v>43100</v>
      </c>
      <c r="N69" s="704">
        <v>43256</v>
      </c>
      <c r="O69" s="121">
        <v>43257</v>
      </c>
      <c r="P69" s="704">
        <v>43465</v>
      </c>
      <c r="Q69" s="540">
        <f ca="1" t="shared" si="3"/>
        <v>192.61546296296</v>
      </c>
      <c r="R69" s="106" t="str">
        <f ca="1" t="shared" si="4"/>
        <v>ACTIVE</v>
      </c>
      <c r="S69" s="116">
        <v>2873036</v>
      </c>
      <c r="T69" s="116">
        <v>775000</v>
      </c>
      <c r="U69" s="116"/>
      <c r="V69" s="116"/>
      <c r="W69" s="116"/>
      <c r="X69" s="116"/>
      <c r="Y69" s="116"/>
      <c r="Z69" s="116"/>
      <c r="AA69" s="700" t="s">
        <v>112</v>
      </c>
      <c r="AB69" s="712" t="s">
        <v>8612</v>
      </c>
      <c r="AC69" s="718">
        <v>1500000</v>
      </c>
      <c r="AD69" s="700" t="s">
        <v>8613</v>
      </c>
      <c r="AE69" s="101" t="s">
        <v>8719</v>
      </c>
      <c r="AF69" s="719" t="s">
        <v>9293</v>
      </c>
      <c r="AG69" s="122" t="s">
        <v>9294</v>
      </c>
      <c r="AH69" s="122" t="s">
        <v>9295</v>
      </c>
      <c r="AI69" s="122"/>
      <c r="AJ69" s="122" t="s">
        <v>9296</v>
      </c>
      <c r="AK69" s="122" t="s">
        <v>9297</v>
      </c>
      <c r="AL69" s="723" t="s">
        <v>9298</v>
      </c>
      <c r="AM69" s="122" t="s">
        <v>9299</v>
      </c>
      <c r="AN69" s="221"/>
    </row>
    <row r="70" ht="31.5" spans="1:40">
      <c r="A70" s="1585" t="s">
        <v>753</v>
      </c>
      <c r="B70" s="100" t="s">
        <v>9300</v>
      </c>
      <c r="C70" s="697" t="s">
        <v>9301</v>
      </c>
      <c r="D70" s="698" t="s">
        <v>9302</v>
      </c>
      <c r="E70" s="700" t="s">
        <v>43</v>
      </c>
      <c r="F70" s="432" t="s">
        <v>44</v>
      </c>
      <c r="G70" s="702" t="s">
        <v>9203</v>
      </c>
      <c r="H70" s="697" t="s">
        <v>8835</v>
      </c>
      <c r="I70" s="697" t="s">
        <v>920</v>
      </c>
      <c r="J70" s="705">
        <v>42543</v>
      </c>
      <c r="K70" s="705">
        <v>42634</v>
      </c>
      <c r="L70" s="704">
        <v>42766</v>
      </c>
      <c r="M70" s="704">
        <v>43100</v>
      </c>
      <c r="N70" s="704">
        <v>43272</v>
      </c>
      <c r="O70" s="121">
        <v>43273</v>
      </c>
      <c r="P70" s="704">
        <v>43465</v>
      </c>
      <c r="Q70" s="540">
        <f ca="1" t="shared" si="3"/>
        <v>192.61546296296</v>
      </c>
      <c r="R70" s="106" t="str">
        <f ca="1" t="shared" si="4"/>
        <v>ACTIVE</v>
      </c>
      <c r="S70" s="116">
        <v>2782500</v>
      </c>
      <c r="T70" s="116">
        <v>775000</v>
      </c>
      <c r="U70" s="116">
        <v>150000</v>
      </c>
      <c r="V70" s="116"/>
      <c r="W70" s="116"/>
      <c r="X70" s="116"/>
      <c r="Y70" s="116"/>
      <c r="Z70" s="116"/>
      <c r="AA70" s="700" t="s">
        <v>113</v>
      </c>
      <c r="AB70" s="712" t="s">
        <v>8612</v>
      </c>
      <c r="AC70" s="718">
        <v>1500000</v>
      </c>
      <c r="AD70" s="700" t="s">
        <v>8613</v>
      </c>
      <c r="AE70" s="432" t="s">
        <v>9303</v>
      </c>
      <c r="AF70" s="719" t="s">
        <v>9304</v>
      </c>
      <c r="AG70" s="122" t="s">
        <v>9305</v>
      </c>
      <c r="AH70" s="1579" t="s">
        <v>9306</v>
      </c>
      <c r="AI70" s="122" t="s">
        <v>9307</v>
      </c>
      <c r="AJ70" s="122" t="s">
        <v>2574</v>
      </c>
      <c r="AK70" s="122" t="s">
        <v>9308</v>
      </c>
      <c r="AL70" s="723" t="s">
        <v>9309</v>
      </c>
      <c r="AM70" s="122" t="s">
        <v>9310</v>
      </c>
      <c r="AN70" s="221"/>
    </row>
    <row r="71" ht="31.5" spans="1:40">
      <c r="A71" s="1585" t="s">
        <v>766</v>
      </c>
      <c r="B71" s="100" t="s">
        <v>9311</v>
      </c>
      <c r="C71" s="697" t="s">
        <v>9312</v>
      </c>
      <c r="D71" s="698" t="s">
        <v>9313</v>
      </c>
      <c r="E71" s="700" t="s">
        <v>43</v>
      </c>
      <c r="F71" s="432" t="s">
        <v>60</v>
      </c>
      <c r="G71" s="702" t="s">
        <v>9203</v>
      </c>
      <c r="H71" s="697" t="s">
        <v>8835</v>
      </c>
      <c r="I71" s="697" t="s">
        <v>920</v>
      </c>
      <c r="J71" s="705">
        <v>42550</v>
      </c>
      <c r="K71" s="705">
        <v>42641</v>
      </c>
      <c r="L71" s="704">
        <v>42766</v>
      </c>
      <c r="M71" s="704">
        <v>43100</v>
      </c>
      <c r="N71" s="704">
        <v>43279</v>
      </c>
      <c r="O71" s="121">
        <v>43280</v>
      </c>
      <c r="P71" s="704">
        <v>43465</v>
      </c>
      <c r="Q71" s="540">
        <f ca="1" t="shared" si="3"/>
        <v>192.61546296296</v>
      </c>
      <c r="R71" s="106" t="str">
        <f ca="1" t="shared" si="4"/>
        <v>ACTIVE</v>
      </c>
      <c r="S71" s="116">
        <v>2782500</v>
      </c>
      <c r="T71" s="116">
        <v>775000</v>
      </c>
      <c r="U71" s="116">
        <v>150000</v>
      </c>
      <c r="V71" s="116"/>
      <c r="W71" s="116"/>
      <c r="X71" s="116"/>
      <c r="Y71" s="116"/>
      <c r="Z71" s="116"/>
      <c r="AA71" s="700"/>
      <c r="AB71" s="712" t="s">
        <v>8612</v>
      </c>
      <c r="AC71" s="718">
        <v>2000000</v>
      </c>
      <c r="AD71" s="700" t="s">
        <v>8613</v>
      </c>
      <c r="AE71" s="432" t="s">
        <v>9303</v>
      </c>
      <c r="AF71" s="719" t="s">
        <v>9314</v>
      </c>
      <c r="AG71" s="122" t="s">
        <v>9315</v>
      </c>
      <c r="AH71" s="122" t="s">
        <v>9316</v>
      </c>
      <c r="AI71" s="122" t="s">
        <v>9317</v>
      </c>
      <c r="AJ71" s="122"/>
      <c r="AK71" s="122" t="s">
        <v>3272</v>
      </c>
      <c r="AL71" s="723" t="s">
        <v>9318</v>
      </c>
      <c r="AM71" s="122" t="s">
        <v>9319</v>
      </c>
      <c r="AN71" s="221"/>
    </row>
    <row r="72" ht="31.5" spans="1:40">
      <c r="A72" s="1585" t="s">
        <v>777</v>
      </c>
      <c r="B72" s="100" t="s">
        <v>9320</v>
      </c>
      <c r="C72" s="697" t="s">
        <v>9321</v>
      </c>
      <c r="D72" s="698" t="s">
        <v>9322</v>
      </c>
      <c r="E72" s="700" t="s">
        <v>43</v>
      </c>
      <c r="F72" s="432" t="s">
        <v>44</v>
      </c>
      <c r="G72" s="702" t="s">
        <v>9203</v>
      </c>
      <c r="H72" s="697" t="s">
        <v>8835</v>
      </c>
      <c r="I72" s="697" t="s">
        <v>920</v>
      </c>
      <c r="J72" s="705">
        <v>42550</v>
      </c>
      <c r="K72" s="705">
        <v>42641</v>
      </c>
      <c r="L72" s="704">
        <v>42766</v>
      </c>
      <c r="M72" s="704">
        <v>43100</v>
      </c>
      <c r="N72" s="704">
        <v>43279</v>
      </c>
      <c r="O72" s="121">
        <v>43280</v>
      </c>
      <c r="P72" s="704">
        <v>43465</v>
      </c>
      <c r="Q72" s="540">
        <f ca="1" t="shared" si="3"/>
        <v>192.61546296296</v>
      </c>
      <c r="R72" s="106" t="str">
        <f ca="1" t="shared" si="4"/>
        <v>ACTIVE</v>
      </c>
      <c r="S72" s="116">
        <v>2782500</v>
      </c>
      <c r="T72" s="116">
        <v>775000</v>
      </c>
      <c r="U72" s="116">
        <v>150000</v>
      </c>
      <c r="V72" s="116"/>
      <c r="W72" s="116"/>
      <c r="X72" s="116"/>
      <c r="Y72" s="116"/>
      <c r="Z72" s="116"/>
      <c r="AA72" s="700"/>
      <c r="AB72" s="712" t="s">
        <v>8612</v>
      </c>
      <c r="AC72" s="718">
        <v>1500000</v>
      </c>
      <c r="AD72" s="700" t="s">
        <v>8613</v>
      </c>
      <c r="AE72" s="432" t="s">
        <v>9303</v>
      </c>
      <c r="AF72" s="719" t="s">
        <v>9323</v>
      </c>
      <c r="AG72" s="122" t="s">
        <v>9324</v>
      </c>
      <c r="AH72" s="122" t="s">
        <v>9325</v>
      </c>
      <c r="AI72" s="122" t="s">
        <v>9326</v>
      </c>
      <c r="AJ72" s="122" t="s">
        <v>9327</v>
      </c>
      <c r="AK72" s="122" t="s">
        <v>9328</v>
      </c>
      <c r="AL72" s="723" t="s">
        <v>9329</v>
      </c>
      <c r="AM72" s="122" t="s">
        <v>9330</v>
      </c>
      <c r="AN72" s="221"/>
    </row>
    <row r="73" ht="31.5" spans="1:40">
      <c r="A73" s="1585" t="s">
        <v>790</v>
      </c>
      <c r="B73" s="100" t="s">
        <v>9331</v>
      </c>
      <c r="C73" s="697" t="s">
        <v>9332</v>
      </c>
      <c r="D73" s="698" t="s">
        <v>9333</v>
      </c>
      <c r="E73" s="700" t="s">
        <v>43</v>
      </c>
      <c r="F73" s="432" t="s">
        <v>1110</v>
      </c>
      <c r="G73" s="702" t="s">
        <v>9334</v>
      </c>
      <c r="H73" s="697" t="s">
        <v>8611</v>
      </c>
      <c r="I73" s="697" t="s">
        <v>920</v>
      </c>
      <c r="J73" s="705">
        <v>42569</v>
      </c>
      <c r="K73" s="705">
        <v>42660</v>
      </c>
      <c r="L73" s="704">
        <v>42766</v>
      </c>
      <c r="M73" s="704">
        <v>43100</v>
      </c>
      <c r="N73" s="704">
        <v>43298</v>
      </c>
      <c r="O73" s="121">
        <v>43299</v>
      </c>
      <c r="P73" s="704">
        <v>43465</v>
      </c>
      <c r="Q73" s="540">
        <f ca="1" t="shared" si="3"/>
        <v>192.61546296296</v>
      </c>
      <c r="R73" s="106" t="str">
        <f ca="1" t="shared" si="4"/>
        <v>ACTIVE</v>
      </c>
      <c r="S73" s="116">
        <v>2873036</v>
      </c>
      <c r="T73" s="116">
        <v>775000</v>
      </c>
      <c r="U73" s="700"/>
      <c r="V73" s="700"/>
      <c r="W73" s="700"/>
      <c r="X73" s="700"/>
      <c r="Y73" s="700"/>
      <c r="Z73" s="700"/>
      <c r="AA73" s="700"/>
      <c r="AB73" s="712" t="s">
        <v>8612</v>
      </c>
      <c r="AC73" s="718">
        <v>2000000</v>
      </c>
      <c r="AD73" s="700" t="s">
        <v>8613</v>
      </c>
      <c r="AE73" s="101" t="s">
        <v>9335</v>
      </c>
      <c r="AF73" s="719" t="s">
        <v>9336</v>
      </c>
      <c r="AG73" s="122" t="s">
        <v>9337</v>
      </c>
      <c r="AH73" s="122" t="s">
        <v>9338</v>
      </c>
      <c r="AI73" s="122" t="s">
        <v>9339</v>
      </c>
      <c r="AJ73" s="122" t="s">
        <v>9340</v>
      </c>
      <c r="AK73" s="122"/>
      <c r="AL73" s="723" t="s">
        <v>9341</v>
      </c>
      <c r="AM73" s="122" t="s">
        <v>9342</v>
      </c>
      <c r="AN73" s="221"/>
    </row>
    <row r="74" ht="31.5" spans="1:40">
      <c r="A74" s="1585" t="s">
        <v>798</v>
      </c>
      <c r="B74" s="100" t="s">
        <v>9343</v>
      </c>
      <c r="C74" s="733" t="s">
        <v>9344</v>
      </c>
      <c r="D74" s="734" t="s">
        <v>9345</v>
      </c>
      <c r="E74" s="431" t="s">
        <v>43</v>
      </c>
      <c r="F74" s="432" t="s">
        <v>254</v>
      </c>
      <c r="G74" s="739" t="s">
        <v>9346</v>
      </c>
      <c r="H74" s="697" t="s">
        <v>9347</v>
      </c>
      <c r="I74" s="697" t="s">
        <v>9348</v>
      </c>
      <c r="J74" s="743">
        <v>42767</v>
      </c>
      <c r="K74" s="743">
        <v>43100</v>
      </c>
      <c r="L74" s="744">
        <v>43465</v>
      </c>
      <c r="M74" s="744"/>
      <c r="N74" s="744"/>
      <c r="O74" s="432"/>
      <c r="P74" s="432"/>
      <c r="Q74" s="540">
        <f ca="1" t="shared" ref="Q74:Q97" si="5">SUM(L74-NOW())</f>
        <v>192.61546296296</v>
      </c>
      <c r="R74" s="106" t="str">
        <f ca="1" t="shared" si="4"/>
        <v>ACTIVE</v>
      </c>
      <c r="S74" s="116">
        <v>2873036</v>
      </c>
      <c r="T74" s="747">
        <v>775000</v>
      </c>
      <c r="U74" s="747"/>
      <c r="V74" s="747"/>
      <c r="W74" s="747"/>
      <c r="X74" s="747"/>
      <c r="Y74" s="747"/>
      <c r="Z74" s="747"/>
      <c r="AA74" s="431" t="s">
        <v>113</v>
      </c>
      <c r="AB74" s="752" t="s">
        <v>8612</v>
      </c>
      <c r="AC74" s="718">
        <v>2250000</v>
      </c>
      <c r="AD74" s="700" t="s">
        <v>8613</v>
      </c>
      <c r="AE74" s="101" t="s">
        <v>9349</v>
      </c>
      <c r="AF74" s="754" t="s">
        <v>9350</v>
      </c>
      <c r="AG74" s="122" t="s">
        <v>9351</v>
      </c>
      <c r="AH74" s="122" t="s">
        <v>9352</v>
      </c>
      <c r="AI74" s="122" t="s">
        <v>9353</v>
      </c>
      <c r="AJ74" s="122" t="s">
        <v>5647</v>
      </c>
      <c r="AK74" s="122" t="s">
        <v>9354</v>
      </c>
      <c r="AL74" s="723" t="s">
        <v>9355</v>
      </c>
      <c r="AM74" s="122"/>
      <c r="AN74" s="221" t="s">
        <v>9356</v>
      </c>
    </row>
    <row r="75" s="693" customFormat="1" ht="31.5" spans="1:44">
      <c r="A75" s="1585" t="s">
        <v>806</v>
      </c>
      <c r="B75" s="735" t="s">
        <v>9357</v>
      </c>
      <c r="C75" s="736" t="s">
        <v>9358</v>
      </c>
      <c r="D75" s="737" t="s">
        <v>9359</v>
      </c>
      <c r="E75" s="740" t="s">
        <v>43</v>
      </c>
      <c r="F75" s="741" t="s">
        <v>96</v>
      </c>
      <c r="G75" s="742" t="s">
        <v>9360</v>
      </c>
      <c r="H75" s="697" t="s">
        <v>9347</v>
      </c>
      <c r="I75" s="697" t="s">
        <v>9361</v>
      </c>
      <c r="J75" s="745">
        <v>42767</v>
      </c>
      <c r="K75" s="745">
        <v>43100</v>
      </c>
      <c r="L75" s="746">
        <v>43465</v>
      </c>
      <c r="M75" s="746"/>
      <c r="N75" s="746"/>
      <c r="O75" s="741"/>
      <c r="P75" s="741"/>
      <c r="Q75" s="540">
        <f ca="1" t="shared" si="5"/>
        <v>192.61546296296</v>
      </c>
      <c r="R75" s="748" t="str">
        <f ca="1" t="shared" si="4"/>
        <v>ACTIVE</v>
      </c>
      <c r="S75" s="749">
        <v>3149431</v>
      </c>
      <c r="T75" s="749">
        <v>775000</v>
      </c>
      <c r="U75" s="749">
        <v>50000</v>
      </c>
      <c r="V75" s="749"/>
      <c r="W75" s="749">
        <v>500000</v>
      </c>
      <c r="X75" s="749">
        <v>1000000</v>
      </c>
      <c r="Y75" s="749">
        <v>150000</v>
      </c>
      <c r="Z75" s="749"/>
      <c r="AA75" s="749">
        <v>1500000</v>
      </c>
      <c r="AB75" s="753" t="s">
        <v>8612</v>
      </c>
      <c r="AC75" s="718">
        <v>2500000</v>
      </c>
      <c r="AD75" s="700" t="s">
        <v>8613</v>
      </c>
      <c r="AE75" s="741" t="s">
        <v>9362</v>
      </c>
      <c r="AF75" s="755" t="s">
        <v>9363</v>
      </c>
      <c r="AG75" s="756" t="s">
        <v>9364</v>
      </c>
      <c r="AH75" s="756" t="s">
        <v>9365</v>
      </c>
      <c r="AI75" s="756" t="s">
        <v>9366</v>
      </c>
      <c r="AJ75" s="756" t="s">
        <v>5647</v>
      </c>
      <c r="AK75" s="756"/>
      <c r="AL75" s="757" t="s">
        <v>9367</v>
      </c>
      <c r="AM75" s="758" t="s">
        <v>9368</v>
      </c>
      <c r="AN75" s="759"/>
      <c r="AO75" s="156"/>
      <c r="AP75" s="156"/>
      <c r="AQ75" s="156"/>
      <c r="AR75" s="156"/>
    </row>
    <row r="76" ht="31.5" spans="1:40">
      <c r="A76" s="1585" t="s">
        <v>816</v>
      </c>
      <c r="B76" s="100" t="s">
        <v>9369</v>
      </c>
      <c r="C76" s="697" t="s">
        <v>9370</v>
      </c>
      <c r="D76" s="738" t="s">
        <v>9371</v>
      </c>
      <c r="E76" s="700" t="s">
        <v>43</v>
      </c>
      <c r="F76" s="432" t="s">
        <v>60</v>
      </c>
      <c r="G76" s="702" t="s">
        <v>9372</v>
      </c>
      <c r="H76" s="697" t="s">
        <v>9373</v>
      </c>
      <c r="I76" s="697" t="s">
        <v>9361</v>
      </c>
      <c r="J76" s="705">
        <v>42767</v>
      </c>
      <c r="K76" s="705">
        <v>43100</v>
      </c>
      <c r="L76" s="704">
        <v>43465</v>
      </c>
      <c r="M76" s="704"/>
      <c r="N76" s="704"/>
      <c r="O76" s="432"/>
      <c r="P76" s="432"/>
      <c r="Q76" s="540">
        <f ca="1" t="shared" si="5"/>
        <v>192.61546296296</v>
      </c>
      <c r="R76" s="106" t="str">
        <f ca="1" t="shared" si="4"/>
        <v>ACTIVE</v>
      </c>
      <c r="S76" s="116">
        <v>2873036</v>
      </c>
      <c r="T76" s="750">
        <v>775000</v>
      </c>
      <c r="U76" s="750"/>
      <c r="V76" s="750"/>
      <c r="W76" s="750"/>
      <c r="X76" s="750"/>
      <c r="Y76" s="750"/>
      <c r="Z76" s="750"/>
      <c r="AA76" s="700" t="s">
        <v>113</v>
      </c>
      <c r="AB76" s="712" t="s">
        <v>8612</v>
      </c>
      <c r="AC76" s="718">
        <v>2000000</v>
      </c>
      <c r="AD76" s="700" t="s">
        <v>8613</v>
      </c>
      <c r="AE76" s="101" t="s">
        <v>9374</v>
      </c>
      <c r="AF76" s="719" t="s">
        <v>9375</v>
      </c>
      <c r="AG76" s="122" t="s">
        <v>9376</v>
      </c>
      <c r="AH76" s="122" t="s">
        <v>9377</v>
      </c>
      <c r="AI76" s="122" t="s">
        <v>9378</v>
      </c>
      <c r="AJ76" s="122" t="s">
        <v>9379</v>
      </c>
      <c r="AK76" s="122" t="s">
        <v>9380</v>
      </c>
      <c r="AL76" s="723" t="s">
        <v>9367</v>
      </c>
      <c r="AM76" s="122" t="s">
        <v>9381</v>
      </c>
      <c r="AN76" s="221"/>
    </row>
    <row r="77" ht="31.5" spans="1:40">
      <c r="A77" s="1585" t="s">
        <v>828</v>
      </c>
      <c r="B77" s="100" t="s">
        <v>9382</v>
      </c>
      <c r="C77" s="697" t="s">
        <v>9383</v>
      </c>
      <c r="D77" s="738">
        <v>31406</v>
      </c>
      <c r="E77" s="700" t="s">
        <v>43</v>
      </c>
      <c r="F77" s="432" t="s">
        <v>60</v>
      </c>
      <c r="G77" s="702" t="s">
        <v>9384</v>
      </c>
      <c r="H77" s="697" t="s">
        <v>9385</v>
      </c>
      <c r="I77" s="697" t="s">
        <v>9386</v>
      </c>
      <c r="J77" s="705">
        <v>42767</v>
      </c>
      <c r="K77" s="705">
        <v>43100</v>
      </c>
      <c r="L77" s="704">
        <v>43465</v>
      </c>
      <c r="M77" s="704"/>
      <c r="N77" s="704"/>
      <c r="O77" s="432"/>
      <c r="P77" s="432"/>
      <c r="Q77" s="540">
        <f ca="1" t="shared" si="5"/>
        <v>192.61546296296</v>
      </c>
      <c r="R77" s="106" t="str">
        <f ca="1" t="shared" si="4"/>
        <v>ACTIVE</v>
      </c>
      <c r="S77" s="116">
        <v>2873036</v>
      </c>
      <c r="T77" s="750">
        <v>775000</v>
      </c>
      <c r="U77" s="750"/>
      <c r="V77" s="750"/>
      <c r="W77" s="750"/>
      <c r="X77" s="750"/>
      <c r="Y77" s="750"/>
      <c r="Z77" s="750"/>
      <c r="AA77" s="700" t="s">
        <v>113</v>
      </c>
      <c r="AB77" s="712" t="s">
        <v>8612</v>
      </c>
      <c r="AC77" s="718">
        <v>2000000</v>
      </c>
      <c r="AD77" s="700" t="s">
        <v>8613</v>
      </c>
      <c r="AE77" s="101" t="s">
        <v>9349</v>
      </c>
      <c r="AF77" s="719" t="s">
        <v>9387</v>
      </c>
      <c r="AG77" s="122" t="s">
        <v>9388</v>
      </c>
      <c r="AH77" s="122" t="s">
        <v>9389</v>
      </c>
      <c r="AI77" s="122" t="s">
        <v>9390</v>
      </c>
      <c r="AJ77" s="122" t="s">
        <v>9391</v>
      </c>
      <c r="AK77" s="122" t="s">
        <v>9392</v>
      </c>
      <c r="AL77" s="723" t="s">
        <v>9393</v>
      </c>
      <c r="AM77" s="122" t="s">
        <v>9394</v>
      </c>
      <c r="AN77" s="221"/>
    </row>
    <row r="78" ht="31.5" spans="1:40">
      <c r="A78" s="1585" t="s">
        <v>837</v>
      </c>
      <c r="B78" s="100" t="s">
        <v>9395</v>
      </c>
      <c r="C78" s="697" t="s">
        <v>9396</v>
      </c>
      <c r="D78" s="738" t="s">
        <v>9397</v>
      </c>
      <c r="E78" s="700" t="s">
        <v>125</v>
      </c>
      <c r="F78" s="432" t="s">
        <v>60</v>
      </c>
      <c r="G78" s="702" t="s">
        <v>9398</v>
      </c>
      <c r="H78" s="697" t="s">
        <v>9347</v>
      </c>
      <c r="I78" s="697" t="s">
        <v>9361</v>
      </c>
      <c r="J78" s="705">
        <v>42767</v>
      </c>
      <c r="K78" s="705">
        <v>43100</v>
      </c>
      <c r="L78" s="704">
        <v>43465</v>
      </c>
      <c r="M78" s="704"/>
      <c r="N78" s="704"/>
      <c r="O78" s="432"/>
      <c r="P78" s="432"/>
      <c r="Q78" s="540">
        <f ca="1" t="shared" si="5"/>
        <v>192.61546296296</v>
      </c>
      <c r="R78" s="106" t="str">
        <f ca="1" t="shared" si="4"/>
        <v>ACTIVE</v>
      </c>
      <c r="S78" s="116">
        <v>2873036</v>
      </c>
      <c r="T78" s="750">
        <v>775000</v>
      </c>
      <c r="U78" s="750"/>
      <c r="V78" s="750"/>
      <c r="W78" s="750"/>
      <c r="X78" s="750"/>
      <c r="Y78" s="750"/>
      <c r="Z78" s="750"/>
      <c r="AA78" s="700" t="s">
        <v>113</v>
      </c>
      <c r="AB78" s="712" t="s">
        <v>8612</v>
      </c>
      <c r="AC78" s="718">
        <v>2000000</v>
      </c>
      <c r="AD78" s="700" t="s">
        <v>8613</v>
      </c>
      <c r="AE78" s="101" t="s">
        <v>9399</v>
      </c>
      <c r="AF78" s="719" t="s">
        <v>9400</v>
      </c>
      <c r="AG78" s="122" t="s">
        <v>9401</v>
      </c>
      <c r="AH78" s="122" t="s">
        <v>9402</v>
      </c>
      <c r="AI78" s="122" t="s">
        <v>9403</v>
      </c>
      <c r="AJ78" s="122" t="s">
        <v>5647</v>
      </c>
      <c r="AK78" s="122"/>
      <c r="AL78" s="723" t="s">
        <v>9404</v>
      </c>
      <c r="AM78" s="128" t="s">
        <v>9405</v>
      </c>
      <c r="AN78" s="221"/>
    </row>
    <row r="79" s="693" customFormat="1" ht="31.5" spans="1:44">
      <c r="A79" s="1585" t="s">
        <v>847</v>
      </c>
      <c r="B79" s="735" t="s">
        <v>9406</v>
      </c>
      <c r="C79" s="736" t="s">
        <v>9407</v>
      </c>
      <c r="D79" s="737" t="s">
        <v>9408</v>
      </c>
      <c r="E79" s="740" t="s">
        <v>43</v>
      </c>
      <c r="F79" s="741" t="s">
        <v>96</v>
      </c>
      <c r="G79" s="742" t="s">
        <v>9409</v>
      </c>
      <c r="H79" s="697" t="s">
        <v>9347</v>
      </c>
      <c r="I79" s="697" t="s">
        <v>9361</v>
      </c>
      <c r="J79" s="745">
        <v>42767</v>
      </c>
      <c r="K79" s="745">
        <v>43100</v>
      </c>
      <c r="L79" s="746">
        <v>43465</v>
      </c>
      <c r="M79" s="746"/>
      <c r="N79" s="746"/>
      <c r="O79" s="741"/>
      <c r="P79" s="741"/>
      <c r="Q79" s="540">
        <f ca="1" t="shared" si="5"/>
        <v>192.61546296296</v>
      </c>
      <c r="R79" s="748" t="str">
        <f ca="1" t="shared" si="4"/>
        <v>ACTIVE</v>
      </c>
      <c r="S79" s="749">
        <v>3149431</v>
      </c>
      <c r="T79" s="749">
        <v>775000</v>
      </c>
      <c r="U79" s="749">
        <v>50000</v>
      </c>
      <c r="V79" s="749"/>
      <c r="W79" s="749">
        <v>500000</v>
      </c>
      <c r="X79" s="749">
        <v>1000000</v>
      </c>
      <c r="Y79" s="749">
        <v>150000</v>
      </c>
      <c r="Z79" s="749"/>
      <c r="AA79" s="749">
        <v>1500000</v>
      </c>
      <c r="AB79" s="753" t="s">
        <v>8612</v>
      </c>
      <c r="AC79" s="718">
        <v>2500000</v>
      </c>
      <c r="AD79" s="700" t="s">
        <v>8613</v>
      </c>
      <c r="AE79" s="741" t="s">
        <v>9410</v>
      </c>
      <c r="AF79" s="755" t="s">
        <v>9411</v>
      </c>
      <c r="AG79" s="756" t="s">
        <v>9412</v>
      </c>
      <c r="AH79" s="756" t="s">
        <v>9413</v>
      </c>
      <c r="AI79" s="756" t="s">
        <v>9414</v>
      </c>
      <c r="AJ79" s="756" t="s">
        <v>5647</v>
      </c>
      <c r="AK79" s="756"/>
      <c r="AL79" s="757" t="s">
        <v>9367</v>
      </c>
      <c r="AM79" s="756" t="s">
        <v>9415</v>
      </c>
      <c r="AN79" s="759"/>
      <c r="AO79" s="156"/>
      <c r="AP79" s="156"/>
      <c r="AQ79" s="156"/>
      <c r="AR79" s="156"/>
    </row>
    <row r="80" ht="31.5" spans="1:40">
      <c r="A80" s="1585" t="s">
        <v>858</v>
      </c>
      <c r="B80" s="100" t="s">
        <v>9416</v>
      </c>
      <c r="C80" s="697" t="s">
        <v>9417</v>
      </c>
      <c r="D80" s="738" t="s">
        <v>9418</v>
      </c>
      <c r="E80" s="700" t="s">
        <v>43</v>
      </c>
      <c r="F80" s="432" t="s">
        <v>254</v>
      </c>
      <c r="G80" s="702" t="s">
        <v>9419</v>
      </c>
      <c r="H80" s="697" t="s">
        <v>9420</v>
      </c>
      <c r="I80" s="697" t="s">
        <v>9361</v>
      </c>
      <c r="J80" s="705">
        <v>42767</v>
      </c>
      <c r="K80" s="705">
        <v>43100</v>
      </c>
      <c r="L80" s="704">
        <v>43465</v>
      </c>
      <c r="M80" s="704"/>
      <c r="N80" s="704"/>
      <c r="O80" s="432"/>
      <c r="P80" s="432"/>
      <c r="Q80" s="540">
        <f ca="1" t="shared" si="5"/>
        <v>192.61546296296</v>
      </c>
      <c r="R80" s="106" t="str">
        <f ca="1" t="shared" si="4"/>
        <v>ACTIVE</v>
      </c>
      <c r="S80" s="750">
        <v>3741034</v>
      </c>
      <c r="T80" s="750">
        <v>775000</v>
      </c>
      <c r="U80" s="750">
        <v>150000</v>
      </c>
      <c r="V80" s="750"/>
      <c r="W80" s="750"/>
      <c r="X80" s="750"/>
      <c r="Y80" s="750"/>
      <c r="Z80" s="750"/>
      <c r="AA80" s="700" t="s">
        <v>113</v>
      </c>
      <c r="AB80" s="712" t="s">
        <v>8612</v>
      </c>
      <c r="AC80" s="718">
        <v>2250000</v>
      </c>
      <c r="AD80" s="700" t="s">
        <v>8613</v>
      </c>
      <c r="AE80" s="432"/>
      <c r="AF80" s="719" t="s">
        <v>9421</v>
      </c>
      <c r="AG80" s="122" t="s">
        <v>9422</v>
      </c>
      <c r="AH80" s="122" t="s">
        <v>9423</v>
      </c>
      <c r="AI80" s="122" t="s">
        <v>9424</v>
      </c>
      <c r="AJ80" s="122" t="s">
        <v>9425</v>
      </c>
      <c r="AK80" s="122"/>
      <c r="AL80" s="723" t="s">
        <v>9426</v>
      </c>
      <c r="AM80" s="122" t="s">
        <v>9427</v>
      </c>
      <c r="AN80" s="221"/>
    </row>
    <row r="81" ht="31.5" spans="1:40">
      <c r="A81" s="1585" t="s">
        <v>866</v>
      </c>
      <c r="B81" s="100" t="s">
        <v>9428</v>
      </c>
      <c r="C81" s="697" t="s">
        <v>9429</v>
      </c>
      <c r="D81" s="738" t="s">
        <v>9430</v>
      </c>
      <c r="E81" s="700" t="s">
        <v>43</v>
      </c>
      <c r="F81" s="432" t="s">
        <v>60</v>
      </c>
      <c r="G81" s="702" t="s">
        <v>9419</v>
      </c>
      <c r="H81" s="697" t="s">
        <v>9420</v>
      </c>
      <c r="I81" s="697" t="s">
        <v>9361</v>
      </c>
      <c r="J81" s="705">
        <v>42767</v>
      </c>
      <c r="K81" s="705">
        <v>43100</v>
      </c>
      <c r="L81" s="704">
        <v>43465</v>
      </c>
      <c r="M81" s="704"/>
      <c r="N81" s="704"/>
      <c r="O81" s="432"/>
      <c r="P81" s="432"/>
      <c r="Q81" s="540">
        <f ca="1" t="shared" si="5"/>
        <v>192.61546296296</v>
      </c>
      <c r="R81" s="106" t="str">
        <f ca="1" t="shared" si="4"/>
        <v>ACTIVE</v>
      </c>
      <c r="S81" s="750">
        <v>3741034</v>
      </c>
      <c r="T81" s="750">
        <v>775000</v>
      </c>
      <c r="U81" s="750">
        <v>150000</v>
      </c>
      <c r="V81" s="750"/>
      <c r="W81" s="750"/>
      <c r="X81" s="750"/>
      <c r="Y81" s="750"/>
      <c r="Z81" s="750"/>
      <c r="AA81" s="700" t="s">
        <v>113</v>
      </c>
      <c r="AB81" s="712" t="s">
        <v>8612</v>
      </c>
      <c r="AC81" s="718">
        <v>2000000</v>
      </c>
      <c r="AD81" s="700" t="s">
        <v>8613</v>
      </c>
      <c r="AE81" s="432"/>
      <c r="AF81" s="719" t="s">
        <v>9431</v>
      </c>
      <c r="AG81" s="122" t="s">
        <v>9432</v>
      </c>
      <c r="AH81" s="122" t="s">
        <v>9433</v>
      </c>
      <c r="AI81" s="122" t="s">
        <v>9434</v>
      </c>
      <c r="AJ81" s="122" t="s">
        <v>9435</v>
      </c>
      <c r="AK81" s="122" t="s">
        <v>9436</v>
      </c>
      <c r="AL81" s="723" t="s">
        <v>9437</v>
      </c>
      <c r="AM81" s="122" t="s">
        <v>9438</v>
      </c>
      <c r="AN81" s="221"/>
    </row>
    <row r="82" ht="31.5" spans="1:40">
      <c r="A82" s="1585" t="s">
        <v>876</v>
      </c>
      <c r="B82" s="100" t="s">
        <v>9439</v>
      </c>
      <c r="C82" s="697" t="s">
        <v>9440</v>
      </c>
      <c r="D82" s="738">
        <v>30875</v>
      </c>
      <c r="E82" s="700" t="s">
        <v>43</v>
      </c>
      <c r="F82" s="432" t="s">
        <v>60</v>
      </c>
      <c r="G82" s="702" t="s">
        <v>9384</v>
      </c>
      <c r="H82" s="697" t="s">
        <v>9385</v>
      </c>
      <c r="I82" s="697" t="s">
        <v>9386</v>
      </c>
      <c r="J82" s="705">
        <v>42767</v>
      </c>
      <c r="K82" s="705">
        <v>43100</v>
      </c>
      <c r="L82" s="704">
        <v>43465</v>
      </c>
      <c r="M82" s="704"/>
      <c r="N82" s="704"/>
      <c r="O82" s="432"/>
      <c r="P82" s="432"/>
      <c r="Q82" s="540">
        <f ca="1" t="shared" si="5"/>
        <v>192.61546296296</v>
      </c>
      <c r="R82" s="106" t="str">
        <f ca="1" t="shared" si="4"/>
        <v>ACTIVE</v>
      </c>
      <c r="S82" s="116">
        <v>2873036</v>
      </c>
      <c r="T82" s="750">
        <v>775000</v>
      </c>
      <c r="U82" s="750"/>
      <c r="V82" s="750"/>
      <c r="W82" s="750"/>
      <c r="X82" s="750"/>
      <c r="Y82" s="750"/>
      <c r="Z82" s="750"/>
      <c r="AA82" s="700" t="s">
        <v>113</v>
      </c>
      <c r="AB82" s="712" t="s">
        <v>8612</v>
      </c>
      <c r="AC82" s="718">
        <v>2000000</v>
      </c>
      <c r="AD82" s="700" t="s">
        <v>8613</v>
      </c>
      <c r="AE82" s="101" t="s">
        <v>9349</v>
      </c>
      <c r="AF82" s="719" t="s">
        <v>9441</v>
      </c>
      <c r="AG82" s="122" t="s">
        <v>9442</v>
      </c>
      <c r="AH82" s="122" t="s">
        <v>9443</v>
      </c>
      <c r="AI82" s="122"/>
      <c r="AJ82" s="122" t="s">
        <v>9444</v>
      </c>
      <c r="AK82" s="122"/>
      <c r="AL82" s="723" t="s">
        <v>9367</v>
      </c>
      <c r="AM82" s="122" t="s">
        <v>9445</v>
      </c>
      <c r="AN82" s="221"/>
    </row>
    <row r="83" s="693" customFormat="1" ht="31.5" spans="1:44">
      <c r="A83" s="1585" t="s">
        <v>888</v>
      </c>
      <c r="B83" s="735" t="s">
        <v>9446</v>
      </c>
      <c r="C83" s="736" t="s">
        <v>9447</v>
      </c>
      <c r="D83" s="737" t="s">
        <v>9448</v>
      </c>
      <c r="E83" s="740" t="s">
        <v>43</v>
      </c>
      <c r="F83" s="741" t="s">
        <v>254</v>
      </c>
      <c r="G83" s="742" t="s">
        <v>9409</v>
      </c>
      <c r="H83" s="697" t="s">
        <v>9347</v>
      </c>
      <c r="I83" s="697" t="s">
        <v>9361</v>
      </c>
      <c r="J83" s="745">
        <v>42767</v>
      </c>
      <c r="K83" s="745">
        <v>43100</v>
      </c>
      <c r="L83" s="746">
        <v>43465</v>
      </c>
      <c r="M83" s="746"/>
      <c r="N83" s="746"/>
      <c r="O83" s="741"/>
      <c r="P83" s="741"/>
      <c r="Q83" s="540">
        <f ca="1" t="shared" si="5"/>
        <v>192.61546296296</v>
      </c>
      <c r="R83" s="748" t="str">
        <f ca="1" t="shared" si="4"/>
        <v>ACTIVE</v>
      </c>
      <c r="S83" s="749">
        <v>3149431</v>
      </c>
      <c r="T83" s="749">
        <v>775000</v>
      </c>
      <c r="U83" s="749">
        <v>50000</v>
      </c>
      <c r="V83" s="749"/>
      <c r="W83" s="749">
        <v>500000</v>
      </c>
      <c r="X83" s="749">
        <v>1000000</v>
      </c>
      <c r="Y83" s="749">
        <v>150000</v>
      </c>
      <c r="Z83" s="749"/>
      <c r="AA83" s="749">
        <v>1500000</v>
      </c>
      <c r="AB83" s="753" t="s">
        <v>8612</v>
      </c>
      <c r="AC83" s="718">
        <v>2250000</v>
      </c>
      <c r="AD83" s="700" t="s">
        <v>8613</v>
      </c>
      <c r="AE83" s="741" t="s">
        <v>9362</v>
      </c>
      <c r="AF83" s="755" t="s">
        <v>9449</v>
      </c>
      <c r="AG83" s="756" t="s">
        <v>9450</v>
      </c>
      <c r="AH83" s="756" t="s">
        <v>9451</v>
      </c>
      <c r="AI83" s="756" t="s">
        <v>9452</v>
      </c>
      <c r="AJ83" s="756" t="s">
        <v>5647</v>
      </c>
      <c r="AK83" s="756"/>
      <c r="AL83" s="757" t="s">
        <v>9453</v>
      </c>
      <c r="AM83" s="756" t="s">
        <v>9454</v>
      </c>
      <c r="AN83" s="759"/>
      <c r="AO83" s="156"/>
      <c r="AP83" s="156"/>
      <c r="AQ83" s="156"/>
      <c r="AR83" s="156"/>
    </row>
    <row r="84" ht="31.5" spans="1:40">
      <c r="A84" s="1585" t="s">
        <v>899</v>
      </c>
      <c r="B84" s="100" t="s">
        <v>9455</v>
      </c>
      <c r="C84" s="697" t="s">
        <v>9456</v>
      </c>
      <c r="D84" s="738">
        <v>30374</v>
      </c>
      <c r="E84" s="700" t="s">
        <v>43</v>
      </c>
      <c r="F84" s="432" t="s">
        <v>404</v>
      </c>
      <c r="G84" s="702" t="s">
        <v>9457</v>
      </c>
      <c r="H84" s="697" t="s">
        <v>9458</v>
      </c>
      <c r="I84" s="697" t="s">
        <v>9386</v>
      </c>
      <c r="J84" s="705">
        <v>42767</v>
      </c>
      <c r="K84" s="705">
        <v>43100</v>
      </c>
      <c r="L84" s="704">
        <v>43465</v>
      </c>
      <c r="M84" s="704"/>
      <c r="N84" s="704"/>
      <c r="O84" s="432"/>
      <c r="P84" s="432"/>
      <c r="Q84" s="540">
        <f ca="1" t="shared" si="5"/>
        <v>192.61546296296</v>
      </c>
      <c r="R84" s="106" t="str">
        <f ca="1" t="shared" si="4"/>
        <v>ACTIVE</v>
      </c>
      <c r="S84" s="750">
        <v>3226646</v>
      </c>
      <c r="T84" s="750">
        <v>775000</v>
      </c>
      <c r="U84" s="750"/>
      <c r="V84" s="750"/>
      <c r="W84" s="750"/>
      <c r="X84" s="750"/>
      <c r="Y84" s="750"/>
      <c r="Z84" s="750"/>
      <c r="AA84" s="700" t="s">
        <v>113</v>
      </c>
      <c r="AB84" s="712" t="s">
        <v>8612</v>
      </c>
      <c r="AC84" s="718">
        <v>1750000</v>
      </c>
      <c r="AD84" s="700" t="s">
        <v>8613</v>
      </c>
      <c r="AE84" s="432"/>
      <c r="AF84" s="719" t="s">
        <v>9459</v>
      </c>
      <c r="AG84" s="122" t="s">
        <v>9460</v>
      </c>
      <c r="AH84" s="122" t="s">
        <v>9461</v>
      </c>
      <c r="AI84" s="122" t="s">
        <v>9462</v>
      </c>
      <c r="AJ84" s="122" t="s">
        <v>9463</v>
      </c>
      <c r="AK84" s="122"/>
      <c r="AL84" s="723" t="s">
        <v>9464</v>
      </c>
      <c r="AM84" s="122" t="s">
        <v>9465</v>
      </c>
      <c r="AN84" s="221"/>
    </row>
    <row r="85" ht="31.5" spans="1:40">
      <c r="A85" s="1585" t="s">
        <v>908</v>
      </c>
      <c r="B85" s="100" t="s">
        <v>9466</v>
      </c>
      <c r="C85" s="697" t="s">
        <v>9467</v>
      </c>
      <c r="D85" s="738" t="s">
        <v>9468</v>
      </c>
      <c r="E85" s="700" t="s">
        <v>43</v>
      </c>
      <c r="F85" s="432" t="s">
        <v>44</v>
      </c>
      <c r="G85" s="702" t="s">
        <v>9372</v>
      </c>
      <c r="H85" s="697" t="s">
        <v>9373</v>
      </c>
      <c r="I85" s="697" t="s">
        <v>9361</v>
      </c>
      <c r="J85" s="705">
        <v>42767</v>
      </c>
      <c r="K85" s="705">
        <v>43100</v>
      </c>
      <c r="L85" s="704">
        <v>43465</v>
      </c>
      <c r="M85" s="704"/>
      <c r="N85" s="704"/>
      <c r="O85" s="432"/>
      <c r="P85" s="432"/>
      <c r="Q85" s="540">
        <f ca="1" t="shared" si="5"/>
        <v>192.61546296296</v>
      </c>
      <c r="R85" s="106" t="str">
        <f ca="1" t="shared" si="4"/>
        <v>ACTIVE</v>
      </c>
      <c r="S85" s="116">
        <v>2873036</v>
      </c>
      <c r="T85" s="750">
        <v>775000</v>
      </c>
      <c r="U85" s="750"/>
      <c r="V85" s="750"/>
      <c r="W85" s="750"/>
      <c r="X85" s="750"/>
      <c r="Y85" s="750"/>
      <c r="Z85" s="750"/>
      <c r="AA85" s="700" t="s">
        <v>113</v>
      </c>
      <c r="AB85" s="712" t="s">
        <v>8612</v>
      </c>
      <c r="AC85" s="718">
        <v>1500000</v>
      </c>
      <c r="AD85" s="700" t="s">
        <v>8613</v>
      </c>
      <c r="AE85" s="101" t="s">
        <v>9374</v>
      </c>
      <c r="AF85" s="719" t="s">
        <v>9469</v>
      </c>
      <c r="AG85" s="122" t="s">
        <v>9470</v>
      </c>
      <c r="AH85" s="122" t="s">
        <v>9471</v>
      </c>
      <c r="AI85" s="122" t="s">
        <v>9472</v>
      </c>
      <c r="AJ85" s="122" t="s">
        <v>9473</v>
      </c>
      <c r="AK85" s="122"/>
      <c r="AL85" s="723" t="s">
        <v>9474</v>
      </c>
      <c r="AM85" s="122" t="s">
        <v>9475</v>
      </c>
      <c r="AN85" s="221"/>
    </row>
    <row r="86" ht="31.5" spans="1:40">
      <c r="A86" s="1585" t="s">
        <v>916</v>
      </c>
      <c r="B86" s="100" t="s">
        <v>9476</v>
      </c>
      <c r="C86" s="697" t="s">
        <v>9477</v>
      </c>
      <c r="D86" s="738">
        <v>29863</v>
      </c>
      <c r="E86" s="700" t="s">
        <v>43</v>
      </c>
      <c r="F86" s="432" t="s">
        <v>404</v>
      </c>
      <c r="G86" s="702" t="s">
        <v>9384</v>
      </c>
      <c r="H86" s="697" t="s">
        <v>9385</v>
      </c>
      <c r="I86" s="697" t="s">
        <v>9386</v>
      </c>
      <c r="J86" s="705">
        <v>42767</v>
      </c>
      <c r="K86" s="705">
        <v>43100</v>
      </c>
      <c r="L86" s="704">
        <v>43465</v>
      </c>
      <c r="M86" s="704"/>
      <c r="N86" s="704"/>
      <c r="O86" s="432"/>
      <c r="P86" s="432"/>
      <c r="Q86" s="540">
        <f ca="1" t="shared" si="5"/>
        <v>192.61546296296</v>
      </c>
      <c r="R86" s="106" t="str">
        <f ca="1" t="shared" si="4"/>
        <v>ACTIVE</v>
      </c>
      <c r="S86" s="750">
        <v>2703750</v>
      </c>
      <c r="T86" s="750">
        <v>775000</v>
      </c>
      <c r="U86" s="750"/>
      <c r="V86" s="750">
        <v>300000</v>
      </c>
      <c r="W86" s="750"/>
      <c r="X86" s="750"/>
      <c r="Y86" s="750"/>
      <c r="Z86" s="750"/>
      <c r="AA86" s="700" t="s">
        <v>113</v>
      </c>
      <c r="AB86" s="712" t="s">
        <v>8612</v>
      </c>
      <c r="AC86" s="718">
        <v>1750000</v>
      </c>
      <c r="AD86" s="700" t="s">
        <v>8613</v>
      </c>
      <c r="AE86" s="432" t="s">
        <v>9478</v>
      </c>
      <c r="AF86" s="719" t="s">
        <v>9479</v>
      </c>
      <c r="AG86" s="122" t="s">
        <v>9480</v>
      </c>
      <c r="AH86" s="122" t="s">
        <v>9481</v>
      </c>
      <c r="AI86" s="122" t="s">
        <v>9482</v>
      </c>
      <c r="AJ86" s="122" t="s">
        <v>5647</v>
      </c>
      <c r="AK86" s="122"/>
      <c r="AL86" s="723" t="s">
        <v>9483</v>
      </c>
      <c r="AM86" s="122" t="s">
        <v>9484</v>
      </c>
      <c r="AN86" s="221"/>
    </row>
    <row r="87" ht="31.5" spans="1:40">
      <c r="A87" s="1585" t="s">
        <v>926</v>
      </c>
      <c r="B87" s="100" t="s">
        <v>9485</v>
      </c>
      <c r="C87" s="697" t="s">
        <v>9486</v>
      </c>
      <c r="D87" s="738" t="s">
        <v>9487</v>
      </c>
      <c r="E87" s="700" t="s">
        <v>43</v>
      </c>
      <c r="F87" s="432" t="s">
        <v>60</v>
      </c>
      <c r="G87" s="702" t="s">
        <v>9372</v>
      </c>
      <c r="H87" s="697" t="s">
        <v>9373</v>
      </c>
      <c r="I87" s="697" t="s">
        <v>9361</v>
      </c>
      <c r="J87" s="705">
        <v>42767</v>
      </c>
      <c r="K87" s="705">
        <v>43100</v>
      </c>
      <c r="L87" s="704">
        <v>43465</v>
      </c>
      <c r="M87" s="704"/>
      <c r="N87" s="704"/>
      <c r="O87" s="432"/>
      <c r="P87" s="432"/>
      <c r="Q87" s="540">
        <f ca="1" t="shared" si="5"/>
        <v>192.61546296296</v>
      </c>
      <c r="R87" s="106" t="str">
        <f ca="1" t="shared" si="4"/>
        <v>ACTIVE</v>
      </c>
      <c r="S87" s="750">
        <v>2887500</v>
      </c>
      <c r="T87" s="750">
        <v>775000</v>
      </c>
      <c r="U87" s="750"/>
      <c r="V87" s="750"/>
      <c r="W87" s="750"/>
      <c r="X87" s="750"/>
      <c r="Y87" s="750"/>
      <c r="Z87" s="750"/>
      <c r="AA87" s="700" t="s">
        <v>113</v>
      </c>
      <c r="AB87" s="712" t="s">
        <v>8612</v>
      </c>
      <c r="AC87" s="718">
        <v>2000000</v>
      </c>
      <c r="AD87" s="700" t="s">
        <v>8613</v>
      </c>
      <c r="AE87" s="432"/>
      <c r="AF87" s="719" t="s">
        <v>9488</v>
      </c>
      <c r="AG87" s="122" t="s">
        <v>9489</v>
      </c>
      <c r="AH87" s="122" t="s">
        <v>9490</v>
      </c>
      <c r="AI87" s="122" t="s">
        <v>9491</v>
      </c>
      <c r="AJ87" s="122" t="s">
        <v>5647</v>
      </c>
      <c r="AK87" s="122"/>
      <c r="AL87" s="723" t="s">
        <v>9492</v>
      </c>
      <c r="AM87" s="122" t="s">
        <v>9493</v>
      </c>
      <c r="AN87" s="221"/>
    </row>
    <row r="88" ht="31.5" spans="1:40">
      <c r="A88" s="1585" t="s">
        <v>940</v>
      </c>
      <c r="B88" s="100" t="s">
        <v>9494</v>
      </c>
      <c r="C88" s="697" t="s">
        <v>9495</v>
      </c>
      <c r="D88" s="738" t="s">
        <v>9496</v>
      </c>
      <c r="E88" s="700" t="s">
        <v>125</v>
      </c>
      <c r="F88" s="432" t="s">
        <v>44</v>
      </c>
      <c r="G88" s="702" t="s">
        <v>9497</v>
      </c>
      <c r="H88" s="697" t="s">
        <v>9498</v>
      </c>
      <c r="I88" s="697" t="s">
        <v>9348</v>
      </c>
      <c r="J88" s="705">
        <v>42767</v>
      </c>
      <c r="K88" s="705">
        <v>43100</v>
      </c>
      <c r="L88" s="704">
        <v>43465</v>
      </c>
      <c r="M88" s="704"/>
      <c r="N88" s="704"/>
      <c r="O88" s="432"/>
      <c r="P88" s="432"/>
      <c r="Q88" s="540">
        <f ca="1" t="shared" si="5"/>
        <v>192.61546296296</v>
      </c>
      <c r="R88" s="106" t="str">
        <f ca="1" t="shared" si="4"/>
        <v>ACTIVE</v>
      </c>
      <c r="S88" s="750">
        <v>4520750</v>
      </c>
      <c r="T88" s="750">
        <v>775000</v>
      </c>
      <c r="U88" s="750"/>
      <c r="V88" s="750"/>
      <c r="W88" s="750"/>
      <c r="X88" s="750"/>
      <c r="Y88" s="750"/>
      <c r="Z88" s="750"/>
      <c r="AA88" s="700" t="s">
        <v>112</v>
      </c>
      <c r="AB88" s="712" t="s">
        <v>8612</v>
      </c>
      <c r="AC88" s="718">
        <v>1500000</v>
      </c>
      <c r="AD88" s="700" t="s">
        <v>8613</v>
      </c>
      <c r="AE88" s="432"/>
      <c r="AF88" s="719" t="s">
        <v>9499</v>
      </c>
      <c r="AG88" s="122" t="s">
        <v>9500</v>
      </c>
      <c r="AH88" s="122" t="s">
        <v>9501</v>
      </c>
      <c r="AI88" s="122" t="s">
        <v>9502</v>
      </c>
      <c r="AJ88" s="122" t="s">
        <v>5647</v>
      </c>
      <c r="AK88" s="122" t="s">
        <v>9503</v>
      </c>
      <c r="AL88" s="723" t="s">
        <v>9504</v>
      </c>
      <c r="AM88" s="122" t="s">
        <v>9505</v>
      </c>
      <c r="AN88" s="221"/>
    </row>
    <row r="89" ht="31.5" spans="1:40">
      <c r="A89" s="1585" t="s">
        <v>949</v>
      </c>
      <c r="B89" s="100" t="s">
        <v>9506</v>
      </c>
      <c r="C89" s="697" t="s">
        <v>9507</v>
      </c>
      <c r="D89" s="738">
        <v>30590</v>
      </c>
      <c r="E89" s="700" t="s">
        <v>43</v>
      </c>
      <c r="F89" s="432" t="s">
        <v>404</v>
      </c>
      <c r="G89" s="702" t="s">
        <v>9384</v>
      </c>
      <c r="H89" s="697" t="s">
        <v>9385</v>
      </c>
      <c r="I89" s="697" t="s">
        <v>9386</v>
      </c>
      <c r="J89" s="705">
        <v>42767</v>
      </c>
      <c r="K89" s="705">
        <v>43100</v>
      </c>
      <c r="L89" s="704">
        <v>43465</v>
      </c>
      <c r="M89" s="704"/>
      <c r="N89" s="704"/>
      <c r="O89" s="432"/>
      <c r="P89" s="432"/>
      <c r="Q89" s="540">
        <f ca="1" t="shared" si="5"/>
        <v>192.61546296296</v>
      </c>
      <c r="R89" s="106" t="str">
        <f ca="1" t="shared" si="4"/>
        <v>ACTIVE</v>
      </c>
      <c r="S89" s="116">
        <v>2873036</v>
      </c>
      <c r="T89" s="750">
        <v>775000</v>
      </c>
      <c r="U89" s="750"/>
      <c r="V89" s="750"/>
      <c r="W89" s="750"/>
      <c r="X89" s="750"/>
      <c r="Y89" s="750"/>
      <c r="Z89" s="750"/>
      <c r="AA89" s="700" t="s">
        <v>113</v>
      </c>
      <c r="AB89" s="712" t="s">
        <v>8612</v>
      </c>
      <c r="AC89" s="718">
        <v>1750000</v>
      </c>
      <c r="AD89" s="700" t="s">
        <v>8613</v>
      </c>
      <c r="AE89" s="101" t="s">
        <v>9349</v>
      </c>
      <c r="AF89" s="719" t="s">
        <v>9508</v>
      </c>
      <c r="AG89" s="122" t="s">
        <v>9509</v>
      </c>
      <c r="AH89" s="122" t="s">
        <v>9510</v>
      </c>
      <c r="AI89" s="122" t="s">
        <v>9511</v>
      </c>
      <c r="AJ89" s="122" t="s">
        <v>5647</v>
      </c>
      <c r="AK89" s="122" t="s">
        <v>9512</v>
      </c>
      <c r="AL89" s="723" t="s">
        <v>9513</v>
      </c>
      <c r="AM89" s="122" t="s">
        <v>9514</v>
      </c>
      <c r="AN89" s="221"/>
    </row>
    <row r="90" ht="31.5" spans="1:40">
      <c r="A90" s="1585" t="s">
        <v>961</v>
      </c>
      <c r="B90" s="100" t="s">
        <v>9515</v>
      </c>
      <c r="C90" s="697" t="s">
        <v>9516</v>
      </c>
      <c r="D90" s="738">
        <v>33031</v>
      </c>
      <c r="E90" s="700" t="s">
        <v>43</v>
      </c>
      <c r="F90" s="432" t="s">
        <v>44</v>
      </c>
      <c r="G90" s="702" t="s">
        <v>9372</v>
      </c>
      <c r="H90" s="697" t="s">
        <v>9373</v>
      </c>
      <c r="I90" s="697" t="s">
        <v>9361</v>
      </c>
      <c r="J90" s="705">
        <v>42767</v>
      </c>
      <c r="K90" s="705">
        <v>43100</v>
      </c>
      <c r="L90" s="704">
        <v>43465</v>
      </c>
      <c r="M90" s="704"/>
      <c r="N90" s="704"/>
      <c r="O90" s="432"/>
      <c r="P90" s="432"/>
      <c r="Q90" s="540">
        <f ca="1" t="shared" si="5"/>
        <v>192.61546296296</v>
      </c>
      <c r="R90" s="106" t="str">
        <f ca="1" t="shared" si="4"/>
        <v>ACTIVE</v>
      </c>
      <c r="S90" s="116">
        <v>2873036</v>
      </c>
      <c r="T90" s="750">
        <v>775000</v>
      </c>
      <c r="U90" s="750"/>
      <c r="V90" s="750"/>
      <c r="W90" s="750"/>
      <c r="X90" s="750"/>
      <c r="Y90" s="750"/>
      <c r="Z90" s="750"/>
      <c r="AA90" s="700" t="s">
        <v>113</v>
      </c>
      <c r="AB90" s="712" t="s">
        <v>8612</v>
      </c>
      <c r="AC90" s="718">
        <v>1500000</v>
      </c>
      <c r="AD90" s="700" t="s">
        <v>8613</v>
      </c>
      <c r="AE90" s="101" t="s">
        <v>9374</v>
      </c>
      <c r="AF90" s="719" t="s">
        <v>9517</v>
      </c>
      <c r="AG90" s="122" t="s">
        <v>9518</v>
      </c>
      <c r="AH90" s="122" t="s">
        <v>9519</v>
      </c>
      <c r="AI90" s="122" t="s">
        <v>9520</v>
      </c>
      <c r="AJ90" s="122" t="s">
        <v>9521</v>
      </c>
      <c r="AK90" s="122"/>
      <c r="AL90" s="723" t="s">
        <v>9522</v>
      </c>
      <c r="AM90" s="122" t="s">
        <v>9523</v>
      </c>
      <c r="AN90" s="221"/>
    </row>
    <row r="91" ht="31.5" spans="1:40">
      <c r="A91" s="1585" t="s">
        <v>970</v>
      </c>
      <c r="B91" s="100" t="s">
        <v>9524</v>
      </c>
      <c r="C91" s="697" t="s">
        <v>9525</v>
      </c>
      <c r="D91" s="738">
        <v>28310</v>
      </c>
      <c r="E91" s="700" t="s">
        <v>43</v>
      </c>
      <c r="F91" s="432" t="s">
        <v>60</v>
      </c>
      <c r="G91" s="702" t="s">
        <v>9384</v>
      </c>
      <c r="H91" s="697" t="s">
        <v>9385</v>
      </c>
      <c r="I91" s="697" t="s">
        <v>9386</v>
      </c>
      <c r="J91" s="705">
        <v>42767</v>
      </c>
      <c r="K91" s="705">
        <v>43100</v>
      </c>
      <c r="L91" s="704">
        <v>43465</v>
      </c>
      <c r="M91" s="704"/>
      <c r="N91" s="704"/>
      <c r="O91" s="432"/>
      <c r="P91" s="432"/>
      <c r="Q91" s="540">
        <f ca="1" t="shared" si="5"/>
        <v>192.61546296296</v>
      </c>
      <c r="R91" s="106" t="str">
        <f ca="1" t="shared" si="4"/>
        <v>ACTIVE</v>
      </c>
      <c r="S91" s="750">
        <v>2808750</v>
      </c>
      <c r="T91" s="750">
        <v>775000</v>
      </c>
      <c r="U91" s="750"/>
      <c r="V91" s="750">
        <v>300000</v>
      </c>
      <c r="W91" s="750"/>
      <c r="X91" s="750"/>
      <c r="Y91" s="750"/>
      <c r="Z91" s="750"/>
      <c r="AA91" s="700" t="s">
        <v>113</v>
      </c>
      <c r="AB91" s="712" t="s">
        <v>8612</v>
      </c>
      <c r="AC91" s="718">
        <v>2000000</v>
      </c>
      <c r="AD91" s="700" t="s">
        <v>8613</v>
      </c>
      <c r="AE91" s="432"/>
      <c r="AF91" s="719" t="s">
        <v>9526</v>
      </c>
      <c r="AG91" s="122" t="s">
        <v>9527</v>
      </c>
      <c r="AH91" s="122" t="s">
        <v>9528</v>
      </c>
      <c r="AI91" s="122" t="s">
        <v>9529</v>
      </c>
      <c r="AJ91" s="122" t="s">
        <v>5647</v>
      </c>
      <c r="AK91" s="122" t="s">
        <v>9530</v>
      </c>
      <c r="AL91" s="723" t="s">
        <v>9531</v>
      </c>
      <c r="AM91" s="122" t="s">
        <v>9532</v>
      </c>
      <c r="AN91" s="221"/>
    </row>
    <row r="92" ht="31.5" spans="1:40">
      <c r="A92" s="1585" t="s">
        <v>3214</v>
      </c>
      <c r="B92" s="100" t="s">
        <v>9533</v>
      </c>
      <c r="C92" s="697" t="s">
        <v>9534</v>
      </c>
      <c r="D92" s="738">
        <v>25659</v>
      </c>
      <c r="E92" s="700" t="s">
        <v>43</v>
      </c>
      <c r="F92" s="432" t="s">
        <v>254</v>
      </c>
      <c r="G92" s="702" t="s">
        <v>9384</v>
      </c>
      <c r="H92" s="697" t="s">
        <v>9385</v>
      </c>
      <c r="I92" s="697" t="s">
        <v>9386</v>
      </c>
      <c r="J92" s="705">
        <v>42767</v>
      </c>
      <c r="K92" s="705">
        <v>43100</v>
      </c>
      <c r="L92" s="704">
        <v>43465</v>
      </c>
      <c r="M92" s="704"/>
      <c r="N92" s="704"/>
      <c r="O92" s="432"/>
      <c r="P92" s="432"/>
      <c r="Q92" s="540">
        <f ca="1" t="shared" si="5"/>
        <v>192.61546296296</v>
      </c>
      <c r="R92" s="106" t="str">
        <f ca="1" t="shared" si="4"/>
        <v>ACTIVE</v>
      </c>
      <c r="S92" s="116">
        <v>2873036</v>
      </c>
      <c r="T92" s="750">
        <v>775000</v>
      </c>
      <c r="U92" s="750"/>
      <c r="V92" s="750">
        <v>0</v>
      </c>
      <c r="W92" s="750"/>
      <c r="X92" s="750"/>
      <c r="Y92" s="750"/>
      <c r="Z92" s="750"/>
      <c r="AA92" s="700" t="s">
        <v>113</v>
      </c>
      <c r="AB92" s="712" t="s">
        <v>8612</v>
      </c>
      <c r="AC92" s="718">
        <v>2250000</v>
      </c>
      <c r="AD92" s="700" t="s">
        <v>8613</v>
      </c>
      <c r="AE92" s="101" t="s">
        <v>9535</v>
      </c>
      <c r="AF92" s="719" t="s">
        <v>9536</v>
      </c>
      <c r="AG92" s="122" t="s">
        <v>9537</v>
      </c>
      <c r="AH92" s="122" t="s">
        <v>9538</v>
      </c>
      <c r="AI92" s="122" t="s">
        <v>9539</v>
      </c>
      <c r="AJ92" s="122" t="s">
        <v>5647</v>
      </c>
      <c r="AK92" s="122" t="s">
        <v>9540</v>
      </c>
      <c r="AL92" s="723" t="s">
        <v>9541</v>
      </c>
      <c r="AM92" s="128" t="s">
        <v>9542</v>
      </c>
      <c r="AN92" s="221"/>
    </row>
    <row r="93" s="693" customFormat="1" ht="31.5" spans="1:44">
      <c r="A93" s="1585" t="s">
        <v>979</v>
      </c>
      <c r="B93" s="735" t="s">
        <v>9543</v>
      </c>
      <c r="C93" s="736" t="s">
        <v>9544</v>
      </c>
      <c r="D93" s="737" t="s">
        <v>9545</v>
      </c>
      <c r="E93" s="740" t="s">
        <v>43</v>
      </c>
      <c r="F93" s="741" t="s">
        <v>404</v>
      </c>
      <c r="G93" s="742" t="s">
        <v>9409</v>
      </c>
      <c r="H93" s="697" t="s">
        <v>9347</v>
      </c>
      <c r="I93" s="697" t="s">
        <v>9361</v>
      </c>
      <c r="J93" s="745">
        <v>42767</v>
      </c>
      <c r="K93" s="745">
        <v>43100</v>
      </c>
      <c r="L93" s="746">
        <v>43465</v>
      </c>
      <c r="M93" s="746"/>
      <c r="N93" s="746"/>
      <c r="O93" s="741"/>
      <c r="P93" s="741"/>
      <c r="Q93" s="540">
        <f ca="1" t="shared" si="5"/>
        <v>192.61546296296</v>
      </c>
      <c r="R93" s="748" t="str">
        <f ca="1" t="shared" si="4"/>
        <v>ACTIVE</v>
      </c>
      <c r="S93" s="749">
        <v>3149431</v>
      </c>
      <c r="T93" s="749">
        <v>775000</v>
      </c>
      <c r="U93" s="749">
        <v>50000</v>
      </c>
      <c r="V93" s="749"/>
      <c r="W93" s="749">
        <v>500000</v>
      </c>
      <c r="X93" s="749">
        <v>1000000</v>
      </c>
      <c r="Y93" s="749">
        <v>150000</v>
      </c>
      <c r="Z93" s="749"/>
      <c r="AA93" s="749">
        <v>1500000</v>
      </c>
      <c r="AB93" s="753" t="s">
        <v>8612</v>
      </c>
      <c r="AC93" s="718">
        <v>1750000</v>
      </c>
      <c r="AD93" s="700" t="s">
        <v>8613</v>
      </c>
      <c r="AE93" s="741" t="s">
        <v>9410</v>
      </c>
      <c r="AF93" s="755" t="s">
        <v>9546</v>
      </c>
      <c r="AG93" s="756" t="s">
        <v>9547</v>
      </c>
      <c r="AH93" s="756" t="s">
        <v>9548</v>
      </c>
      <c r="AI93" s="756" t="s">
        <v>9549</v>
      </c>
      <c r="AJ93" s="756" t="s">
        <v>5647</v>
      </c>
      <c r="AK93" s="756" t="s">
        <v>9550</v>
      </c>
      <c r="AL93" s="757" t="s">
        <v>9367</v>
      </c>
      <c r="AM93" s="756" t="s">
        <v>9551</v>
      </c>
      <c r="AN93" s="759"/>
      <c r="AO93" s="156"/>
      <c r="AP93" s="156"/>
      <c r="AQ93" s="156"/>
      <c r="AR93" s="156"/>
    </row>
    <row r="94" ht="31.5" spans="1:40">
      <c r="A94" s="1585" t="s">
        <v>988</v>
      </c>
      <c r="B94" s="100" t="s">
        <v>9552</v>
      </c>
      <c r="C94" s="697" t="s">
        <v>9553</v>
      </c>
      <c r="D94" s="738">
        <v>31672</v>
      </c>
      <c r="E94" s="700" t="s">
        <v>43</v>
      </c>
      <c r="F94" s="487" t="s">
        <v>254</v>
      </c>
      <c r="G94" s="702" t="s">
        <v>9372</v>
      </c>
      <c r="H94" s="697" t="s">
        <v>9373</v>
      </c>
      <c r="I94" s="697" t="s">
        <v>9361</v>
      </c>
      <c r="J94" s="705">
        <v>42767</v>
      </c>
      <c r="K94" s="705">
        <v>43100</v>
      </c>
      <c r="L94" s="704">
        <v>43465</v>
      </c>
      <c r="M94" s="704"/>
      <c r="N94" s="704"/>
      <c r="O94" s="432"/>
      <c r="P94" s="432"/>
      <c r="Q94" s="540">
        <f ca="1" t="shared" si="5"/>
        <v>192.61546296296</v>
      </c>
      <c r="R94" s="106" t="str">
        <f ca="1" t="shared" si="4"/>
        <v>ACTIVE</v>
      </c>
      <c r="S94" s="116">
        <v>2873036</v>
      </c>
      <c r="T94" s="750">
        <v>775000</v>
      </c>
      <c r="U94" s="750"/>
      <c r="V94" s="750"/>
      <c r="W94" s="750"/>
      <c r="X94" s="750"/>
      <c r="Y94" s="750"/>
      <c r="Z94" s="750"/>
      <c r="AA94" s="700" t="s">
        <v>113</v>
      </c>
      <c r="AB94" s="712" t="s">
        <v>8612</v>
      </c>
      <c r="AC94" s="718">
        <v>2000000</v>
      </c>
      <c r="AD94" s="700" t="s">
        <v>8613</v>
      </c>
      <c r="AE94" s="101" t="s">
        <v>9399</v>
      </c>
      <c r="AF94" s="719" t="s">
        <v>9554</v>
      </c>
      <c r="AG94" s="122" t="s">
        <v>9555</v>
      </c>
      <c r="AH94" s="122" t="s">
        <v>9556</v>
      </c>
      <c r="AI94" s="122" t="s">
        <v>9557</v>
      </c>
      <c r="AJ94" s="122" t="s">
        <v>9558</v>
      </c>
      <c r="AK94" s="122"/>
      <c r="AL94" s="723" t="s">
        <v>9559</v>
      </c>
      <c r="AM94" s="122" t="s">
        <v>9560</v>
      </c>
      <c r="AN94" s="221"/>
    </row>
    <row r="95" ht="31.5" spans="1:40">
      <c r="A95" s="1585" t="s">
        <v>1006</v>
      </c>
      <c r="B95" s="100" t="s">
        <v>9561</v>
      </c>
      <c r="C95" s="697" t="s">
        <v>9562</v>
      </c>
      <c r="D95" s="738">
        <v>26740</v>
      </c>
      <c r="E95" s="700" t="s">
        <v>43</v>
      </c>
      <c r="F95" s="432" t="s">
        <v>60</v>
      </c>
      <c r="G95" s="702" t="s">
        <v>9384</v>
      </c>
      <c r="H95" s="697" t="s">
        <v>9385</v>
      </c>
      <c r="I95" s="697" t="s">
        <v>9386</v>
      </c>
      <c r="J95" s="705">
        <v>42767</v>
      </c>
      <c r="K95" s="705">
        <v>43100</v>
      </c>
      <c r="L95" s="704">
        <v>43465</v>
      </c>
      <c r="M95" s="704"/>
      <c r="N95" s="704"/>
      <c r="O95" s="432"/>
      <c r="P95" s="432"/>
      <c r="Q95" s="540">
        <f ca="1" t="shared" si="5"/>
        <v>192.61546296296</v>
      </c>
      <c r="R95" s="106" t="str">
        <f ca="1" t="shared" si="4"/>
        <v>ACTIVE</v>
      </c>
      <c r="S95" s="750">
        <v>2835000</v>
      </c>
      <c r="T95" s="750">
        <v>775000</v>
      </c>
      <c r="U95" s="750"/>
      <c r="V95" s="750">
        <v>700000</v>
      </c>
      <c r="W95" s="750"/>
      <c r="X95" s="750"/>
      <c r="Y95" s="750"/>
      <c r="Z95" s="750"/>
      <c r="AA95" s="700" t="s">
        <v>113</v>
      </c>
      <c r="AB95" s="712" t="s">
        <v>8612</v>
      </c>
      <c r="AC95" s="718">
        <v>2000000</v>
      </c>
      <c r="AD95" s="700" t="s">
        <v>8613</v>
      </c>
      <c r="AE95" s="432"/>
      <c r="AF95" s="719" t="s">
        <v>9563</v>
      </c>
      <c r="AG95" s="122" t="s">
        <v>9564</v>
      </c>
      <c r="AH95" s="122" t="s">
        <v>9565</v>
      </c>
      <c r="AI95" s="122" t="s">
        <v>9566</v>
      </c>
      <c r="AJ95" s="122" t="s">
        <v>9567</v>
      </c>
      <c r="AK95" s="122" t="s">
        <v>9568</v>
      </c>
      <c r="AL95" s="723" t="s">
        <v>9569</v>
      </c>
      <c r="AM95" s="122" t="s">
        <v>9570</v>
      </c>
      <c r="AN95" s="221"/>
    </row>
    <row r="96" ht="31.5" spans="1:40">
      <c r="A96" s="1585" t="s">
        <v>1016</v>
      </c>
      <c r="B96" s="100" t="s">
        <v>9571</v>
      </c>
      <c r="C96" s="697" t="s">
        <v>9572</v>
      </c>
      <c r="D96" s="738" t="s">
        <v>9573</v>
      </c>
      <c r="E96" s="700" t="s">
        <v>43</v>
      </c>
      <c r="F96" s="432" t="s">
        <v>44</v>
      </c>
      <c r="G96" s="702" t="s">
        <v>9574</v>
      </c>
      <c r="H96" s="697" t="s">
        <v>9103</v>
      </c>
      <c r="I96" s="697" t="s">
        <v>9348</v>
      </c>
      <c r="J96" s="705">
        <v>42767</v>
      </c>
      <c r="K96" s="705">
        <v>43100</v>
      </c>
      <c r="L96" s="704">
        <v>43465</v>
      </c>
      <c r="M96" s="704"/>
      <c r="N96" s="704"/>
      <c r="O96" s="432"/>
      <c r="P96" s="432"/>
      <c r="Q96" s="540">
        <f ca="1" t="shared" si="5"/>
        <v>192.61546296296</v>
      </c>
      <c r="R96" s="106" t="str">
        <f ca="1" t="shared" si="4"/>
        <v>ACTIVE</v>
      </c>
      <c r="S96" s="750">
        <v>3478140</v>
      </c>
      <c r="T96" s="750">
        <v>775000</v>
      </c>
      <c r="U96" s="750"/>
      <c r="V96" s="750"/>
      <c r="W96" s="750"/>
      <c r="X96" s="750"/>
      <c r="Y96" s="750"/>
      <c r="Z96" s="750"/>
      <c r="AA96" s="700" t="s">
        <v>112</v>
      </c>
      <c r="AB96" s="712" t="s">
        <v>8612</v>
      </c>
      <c r="AC96" s="718">
        <v>1500000</v>
      </c>
      <c r="AD96" s="700" t="s">
        <v>8613</v>
      </c>
      <c r="AE96" s="432"/>
      <c r="AF96" s="719" t="s">
        <v>9575</v>
      </c>
      <c r="AG96" s="122" t="s">
        <v>9576</v>
      </c>
      <c r="AH96" s="122" t="s">
        <v>9577</v>
      </c>
      <c r="AI96" s="122" t="s">
        <v>9578</v>
      </c>
      <c r="AJ96" s="122" t="s">
        <v>5647</v>
      </c>
      <c r="AK96" s="122"/>
      <c r="AL96" s="723" t="s">
        <v>9579</v>
      </c>
      <c r="AM96" s="122" t="s">
        <v>9580</v>
      </c>
      <c r="AN96" s="221"/>
    </row>
    <row r="97" ht="31.5" spans="1:40">
      <c r="A97" s="1585" t="s">
        <v>1026</v>
      </c>
      <c r="B97" s="100" t="s">
        <v>9581</v>
      </c>
      <c r="C97" s="697" t="s">
        <v>9582</v>
      </c>
      <c r="D97" s="738" t="s">
        <v>9583</v>
      </c>
      <c r="E97" s="700" t="s">
        <v>43</v>
      </c>
      <c r="F97" s="432" t="s">
        <v>60</v>
      </c>
      <c r="G97" s="702" t="s">
        <v>9419</v>
      </c>
      <c r="H97" s="697" t="s">
        <v>9420</v>
      </c>
      <c r="I97" s="697" t="s">
        <v>9361</v>
      </c>
      <c r="J97" s="705">
        <v>42767</v>
      </c>
      <c r="K97" s="705">
        <v>43100</v>
      </c>
      <c r="L97" s="704">
        <v>43465</v>
      </c>
      <c r="M97" s="704"/>
      <c r="N97" s="704"/>
      <c r="O97" s="432"/>
      <c r="P97" s="432"/>
      <c r="Q97" s="540">
        <f ca="1" t="shared" si="5"/>
        <v>192.61546296296</v>
      </c>
      <c r="R97" s="106" t="str">
        <f ca="1" t="shared" si="4"/>
        <v>ACTIVE</v>
      </c>
      <c r="S97" s="750">
        <v>3741034</v>
      </c>
      <c r="T97" s="750">
        <v>775000</v>
      </c>
      <c r="U97" s="750">
        <v>150000</v>
      </c>
      <c r="V97" s="750"/>
      <c r="W97" s="750"/>
      <c r="X97" s="750"/>
      <c r="Y97" s="750"/>
      <c r="Z97" s="750"/>
      <c r="AA97" s="700" t="s">
        <v>113</v>
      </c>
      <c r="AB97" s="712" t="s">
        <v>8612</v>
      </c>
      <c r="AC97" s="718">
        <v>2000000</v>
      </c>
      <c r="AD97" s="700" t="s">
        <v>8613</v>
      </c>
      <c r="AE97" s="432"/>
      <c r="AF97" s="719" t="s">
        <v>9584</v>
      </c>
      <c r="AG97" s="122" t="s">
        <v>9585</v>
      </c>
      <c r="AH97" s="122" t="s">
        <v>9586</v>
      </c>
      <c r="AI97" s="122" t="s">
        <v>9587</v>
      </c>
      <c r="AJ97" s="122" t="s">
        <v>9588</v>
      </c>
      <c r="AK97" s="122" t="s">
        <v>9589</v>
      </c>
      <c r="AL97" s="723" t="s">
        <v>9367</v>
      </c>
      <c r="AM97" s="122" t="s">
        <v>9590</v>
      </c>
      <c r="AN97" s="221"/>
    </row>
    <row r="98" ht="31.5" spans="1:40">
      <c r="A98" s="1585" t="s">
        <v>1035</v>
      </c>
      <c r="B98" s="100" t="s">
        <v>9591</v>
      </c>
      <c r="C98" s="697" t="s">
        <v>9592</v>
      </c>
      <c r="D98" s="738" t="s">
        <v>9593</v>
      </c>
      <c r="E98" s="700" t="s">
        <v>125</v>
      </c>
      <c r="F98" s="432" t="s">
        <v>60</v>
      </c>
      <c r="G98" s="702" t="s">
        <v>9372</v>
      </c>
      <c r="H98" s="697" t="s">
        <v>9373</v>
      </c>
      <c r="I98" s="697" t="s">
        <v>9361</v>
      </c>
      <c r="J98" s="705">
        <v>42767</v>
      </c>
      <c r="K98" s="705">
        <v>43100</v>
      </c>
      <c r="L98" s="704">
        <v>43465</v>
      </c>
      <c r="M98" s="704"/>
      <c r="N98" s="704"/>
      <c r="O98" s="432"/>
      <c r="P98" s="432"/>
      <c r="Q98" s="540">
        <f ca="1" t="shared" ref="Q98:Q126" si="6">SUM(L98-NOW())</f>
        <v>192.61546296296</v>
      </c>
      <c r="R98" s="106" t="str">
        <f ca="1" t="shared" si="4"/>
        <v>ACTIVE</v>
      </c>
      <c r="S98" s="750">
        <v>3768070</v>
      </c>
      <c r="T98" s="750">
        <v>775000</v>
      </c>
      <c r="U98" s="750"/>
      <c r="V98" s="750"/>
      <c r="W98" s="750"/>
      <c r="X98" s="750"/>
      <c r="Y98" s="750"/>
      <c r="Z98" s="750"/>
      <c r="AA98" s="700" t="s">
        <v>113</v>
      </c>
      <c r="AB98" s="712" t="s">
        <v>8612</v>
      </c>
      <c r="AC98" s="718">
        <v>2000000</v>
      </c>
      <c r="AD98" s="700" t="s">
        <v>8613</v>
      </c>
      <c r="AE98" s="432"/>
      <c r="AF98" s="719" t="s">
        <v>9594</v>
      </c>
      <c r="AG98" s="122" t="s">
        <v>9595</v>
      </c>
      <c r="AH98" s="122" t="s">
        <v>9596</v>
      </c>
      <c r="AI98" s="122" t="s">
        <v>9597</v>
      </c>
      <c r="AJ98" s="122" t="s">
        <v>5647</v>
      </c>
      <c r="AK98" s="122" t="s">
        <v>9598</v>
      </c>
      <c r="AL98" s="723" t="s">
        <v>9599</v>
      </c>
      <c r="AM98" s="122" t="s">
        <v>9600</v>
      </c>
      <c r="AN98" s="221"/>
    </row>
    <row r="99" ht="31.5" spans="1:40">
      <c r="A99" s="1585" t="s">
        <v>1044</v>
      </c>
      <c r="B99" s="100" t="s">
        <v>9601</v>
      </c>
      <c r="C99" s="697" t="s">
        <v>9602</v>
      </c>
      <c r="D99" s="738" t="s">
        <v>9603</v>
      </c>
      <c r="E99" s="700" t="s">
        <v>125</v>
      </c>
      <c r="F99" s="432" t="s">
        <v>60</v>
      </c>
      <c r="G99" s="702" t="s">
        <v>9604</v>
      </c>
      <c r="H99" s="697" t="s">
        <v>9347</v>
      </c>
      <c r="I99" s="697" t="s">
        <v>9361</v>
      </c>
      <c r="J99" s="705">
        <v>42767</v>
      </c>
      <c r="K99" s="705">
        <v>43100</v>
      </c>
      <c r="L99" s="704">
        <v>43465</v>
      </c>
      <c r="M99" s="704"/>
      <c r="N99" s="704"/>
      <c r="O99" s="432"/>
      <c r="P99" s="432"/>
      <c r="Q99" s="540">
        <f ca="1" t="shared" si="6"/>
        <v>192.61546296296</v>
      </c>
      <c r="R99" s="106" t="str">
        <f ca="1" t="shared" si="4"/>
        <v>ACTIVE</v>
      </c>
      <c r="S99" s="750">
        <v>4225000</v>
      </c>
      <c r="T99" s="750">
        <v>775000</v>
      </c>
      <c r="U99" s="750"/>
      <c r="V99" s="750"/>
      <c r="W99" s="750"/>
      <c r="X99" s="750"/>
      <c r="Y99" s="750"/>
      <c r="Z99" s="750"/>
      <c r="AA99" s="700" t="s">
        <v>112</v>
      </c>
      <c r="AB99" s="712" t="s">
        <v>8612</v>
      </c>
      <c r="AC99" s="718">
        <v>2000000</v>
      </c>
      <c r="AD99" s="700" t="s">
        <v>8613</v>
      </c>
      <c r="AE99" s="432" t="s">
        <v>9605</v>
      </c>
      <c r="AF99" s="719" t="s">
        <v>9606</v>
      </c>
      <c r="AG99" s="122" t="s">
        <v>9607</v>
      </c>
      <c r="AH99" s="122" t="s">
        <v>9608</v>
      </c>
      <c r="AI99" s="122" t="s">
        <v>9609</v>
      </c>
      <c r="AJ99" s="122" t="s">
        <v>5647</v>
      </c>
      <c r="AK99" s="122" t="s">
        <v>9610</v>
      </c>
      <c r="AL99" s="723" t="s">
        <v>9611</v>
      </c>
      <c r="AM99" s="122" t="s">
        <v>9612</v>
      </c>
      <c r="AN99" s="221"/>
    </row>
    <row r="100" ht="31.5" spans="1:40">
      <c r="A100" s="1585" t="s">
        <v>1053</v>
      </c>
      <c r="B100" s="100" t="s">
        <v>9613</v>
      </c>
      <c r="C100" s="697" t="s">
        <v>9614</v>
      </c>
      <c r="D100" s="738">
        <v>31404</v>
      </c>
      <c r="E100" s="700" t="s">
        <v>43</v>
      </c>
      <c r="F100" s="432" t="s">
        <v>254</v>
      </c>
      <c r="G100" s="702" t="s">
        <v>9419</v>
      </c>
      <c r="H100" s="697" t="s">
        <v>9420</v>
      </c>
      <c r="I100" s="697" t="s">
        <v>9361</v>
      </c>
      <c r="J100" s="705">
        <v>42767</v>
      </c>
      <c r="K100" s="705">
        <v>43100</v>
      </c>
      <c r="L100" s="704">
        <v>43465</v>
      </c>
      <c r="M100" s="704"/>
      <c r="N100" s="704"/>
      <c r="O100" s="432"/>
      <c r="P100" s="432"/>
      <c r="Q100" s="540">
        <f ca="1" t="shared" si="6"/>
        <v>192.61546296296</v>
      </c>
      <c r="R100" s="106" t="str">
        <f ca="1" t="shared" si="4"/>
        <v>ACTIVE</v>
      </c>
      <c r="S100" s="750">
        <v>3810312</v>
      </c>
      <c r="T100" s="750">
        <v>775000</v>
      </c>
      <c r="U100" s="750">
        <v>150000</v>
      </c>
      <c r="V100" s="750"/>
      <c r="W100" s="750"/>
      <c r="X100" s="750"/>
      <c r="Y100" s="750"/>
      <c r="Z100" s="750"/>
      <c r="AA100" s="700" t="s">
        <v>113</v>
      </c>
      <c r="AB100" s="712" t="s">
        <v>8612</v>
      </c>
      <c r="AC100" s="718">
        <v>2250000</v>
      </c>
      <c r="AD100" s="700" t="s">
        <v>8613</v>
      </c>
      <c r="AE100" s="432"/>
      <c r="AF100" s="719" t="s">
        <v>9615</v>
      </c>
      <c r="AG100" s="122" t="s">
        <v>9616</v>
      </c>
      <c r="AH100" s="122" t="s">
        <v>9617</v>
      </c>
      <c r="AI100" s="122" t="s">
        <v>9618</v>
      </c>
      <c r="AJ100" s="122" t="s">
        <v>5647</v>
      </c>
      <c r="AK100" s="122" t="s">
        <v>9619</v>
      </c>
      <c r="AL100" s="723" t="s">
        <v>9620</v>
      </c>
      <c r="AM100" s="122" t="s">
        <v>9621</v>
      </c>
      <c r="AN100" s="221"/>
    </row>
    <row r="101" ht="31.5" spans="1:40">
      <c r="A101" s="1585" t="s">
        <v>1064</v>
      </c>
      <c r="B101" s="100" t="s">
        <v>9622</v>
      </c>
      <c r="C101" s="697" t="s">
        <v>9623</v>
      </c>
      <c r="D101" s="738">
        <v>28171</v>
      </c>
      <c r="E101" s="700" t="s">
        <v>43</v>
      </c>
      <c r="F101" s="432" t="s">
        <v>254</v>
      </c>
      <c r="G101" s="702" t="s">
        <v>9384</v>
      </c>
      <c r="H101" s="697" t="s">
        <v>9385</v>
      </c>
      <c r="I101" s="697" t="s">
        <v>9386</v>
      </c>
      <c r="J101" s="705">
        <v>42767</v>
      </c>
      <c r="K101" s="705">
        <v>43100</v>
      </c>
      <c r="L101" s="704">
        <v>43465</v>
      </c>
      <c r="M101" s="704"/>
      <c r="N101" s="704"/>
      <c r="O101" s="432"/>
      <c r="P101" s="432"/>
      <c r="Q101" s="540">
        <f ca="1" t="shared" si="6"/>
        <v>192.61546296296</v>
      </c>
      <c r="R101" s="106" t="str">
        <f ca="1" t="shared" si="4"/>
        <v>ACTIVE</v>
      </c>
      <c r="S101" s="116">
        <v>2873036</v>
      </c>
      <c r="T101" s="750">
        <v>775000</v>
      </c>
      <c r="U101" s="750"/>
      <c r="V101" s="750"/>
      <c r="W101" s="750"/>
      <c r="X101" s="750"/>
      <c r="Y101" s="750"/>
      <c r="Z101" s="750"/>
      <c r="AA101" s="700" t="s">
        <v>113</v>
      </c>
      <c r="AB101" s="712" t="s">
        <v>8612</v>
      </c>
      <c r="AC101" s="718">
        <v>2250000</v>
      </c>
      <c r="AD101" s="700" t="s">
        <v>8613</v>
      </c>
      <c r="AE101" s="101" t="s">
        <v>9349</v>
      </c>
      <c r="AF101" s="719" t="s">
        <v>9624</v>
      </c>
      <c r="AG101" s="122" t="s">
        <v>9625</v>
      </c>
      <c r="AH101" s="122" t="s">
        <v>9626</v>
      </c>
      <c r="AI101" s="122" t="s">
        <v>9627</v>
      </c>
      <c r="AJ101" s="122" t="s">
        <v>5647</v>
      </c>
      <c r="AK101" s="122"/>
      <c r="AL101" s="723" t="s">
        <v>9628</v>
      </c>
      <c r="AM101" s="122" t="s">
        <v>9629</v>
      </c>
      <c r="AN101" s="221"/>
    </row>
    <row r="102" ht="31.5" spans="1:40">
      <c r="A102" s="1585" t="s">
        <v>1077</v>
      </c>
      <c r="B102" s="100" t="s">
        <v>9630</v>
      </c>
      <c r="C102" s="697" t="s">
        <v>9631</v>
      </c>
      <c r="D102" s="738">
        <v>31146</v>
      </c>
      <c r="E102" s="700" t="s">
        <v>43</v>
      </c>
      <c r="F102" s="432" t="s">
        <v>96</v>
      </c>
      <c r="G102" s="702" t="s">
        <v>9384</v>
      </c>
      <c r="H102" s="697" t="s">
        <v>9385</v>
      </c>
      <c r="I102" s="697" t="s">
        <v>9386</v>
      </c>
      <c r="J102" s="705">
        <v>42767</v>
      </c>
      <c r="K102" s="705">
        <v>43100</v>
      </c>
      <c r="L102" s="704">
        <v>43465</v>
      </c>
      <c r="M102" s="704"/>
      <c r="N102" s="704"/>
      <c r="O102" s="432"/>
      <c r="P102" s="432"/>
      <c r="Q102" s="540">
        <f ca="1" t="shared" si="6"/>
        <v>192.61546296296</v>
      </c>
      <c r="R102" s="106" t="str">
        <f ca="1" t="shared" si="4"/>
        <v>ACTIVE</v>
      </c>
      <c r="S102" s="116">
        <v>2873036</v>
      </c>
      <c r="T102" s="750">
        <v>775000</v>
      </c>
      <c r="U102" s="750"/>
      <c r="V102" s="750"/>
      <c r="W102" s="750"/>
      <c r="X102" s="750"/>
      <c r="Y102" s="750"/>
      <c r="Z102" s="750"/>
      <c r="AA102" s="700" t="s">
        <v>113</v>
      </c>
      <c r="AB102" s="712" t="s">
        <v>8612</v>
      </c>
      <c r="AC102" s="718">
        <v>2500000</v>
      </c>
      <c r="AD102" s="700" t="s">
        <v>8613</v>
      </c>
      <c r="AE102" s="101" t="s">
        <v>9349</v>
      </c>
      <c r="AF102" s="719" t="s">
        <v>9632</v>
      </c>
      <c r="AG102" s="122" t="s">
        <v>9633</v>
      </c>
      <c r="AH102" s="122" t="s">
        <v>9634</v>
      </c>
      <c r="AI102" s="122" t="s">
        <v>9635</v>
      </c>
      <c r="AJ102" s="122" t="s">
        <v>9636</v>
      </c>
      <c r="AK102" s="122" t="s">
        <v>9637</v>
      </c>
      <c r="AL102" s="723" t="s">
        <v>9638</v>
      </c>
      <c r="AM102" s="122" t="s">
        <v>9639</v>
      </c>
      <c r="AN102" s="221"/>
    </row>
    <row r="103" ht="31.5" spans="1:40">
      <c r="A103" s="1585" t="s">
        <v>1086</v>
      </c>
      <c r="B103" s="100" t="s">
        <v>9640</v>
      </c>
      <c r="C103" s="697" t="s">
        <v>9641</v>
      </c>
      <c r="D103" s="738" t="s">
        <v>9642</v>
      </c>
      <c r="E103" s="700" t="s">
        <v>43</v>
      </c>
      <c r="F103" s="432" t="s">
        <v>254</v>
      </c>
      <c r="G103" s="702" t="s">
        <v>9419</v>
      </c>
      <c r="H103" s="697" t="s">
        <v>9420</v>
      </c>
      <c r="I103" s="697" t="s">
        <v>9361</v>
      </c>
      <c r="J103" s="705">
        <v>42767</v>
      </c>
      <c r="K103" s="705">
        <v>43100</v>
      </c>
      <c r="L103" s="704">
        <v>43465</v>
      </c>
      <c r="M103" s="704"/>
      <c r="N103" s="704"/>
      <c r="O103" s="432"/>
      <c r="P103" s="432"/>
      <c r="Q103" s="540">
        <f ca="1" t="shared" si="6"/>
        <v>192.61546296296</v>
      </c>
      <c r="R103" s="106" t="str">
        <f ca="1" t="shared" si="4"/>
        <v>ACTIVE</v>
      </c>
      <c r="S103" s="750">
        <v>4163205</v>
      </c>
      <c r="T103" s="750">
        <v>775000</v>
      </c>
      <c r="U103" s="750">
        <v>150000</v>
      </c>
      <c r="V103" s="750"/>
      <c r="W103" s="750"/>
      <c r="X103" s="750"/>
      <c r="Y103" s="750"/>
      <c r="Z103" s="750"/>
      <c r="AA103" s="700" t="s">
        <v>113</v>
      </c>
      <c r="AB103" s="712" t="s">
        <v>8612</v>
      </c>
      <c r="AC103" s="718">
        <v>2250000</v>
      </c>
      <c r="AD103" s="700" t="s">
        <v>8613</v>
      </c>
      <c r="AE103" s="432"/>
      <c r="AF103" s="719" t="s">
        <v>9643</v>
      </c>
      <c r="AG103" s="122" t="s">
        <v>9644</v>
      </c>
      <c r="AH103" s="122" t="s">
        <v>9645</v>
      </c>
      <c r="AI103" s="122" t="s">
        <v>9646</v>
      </c>
      <c r="AJ103" s="122" t="s">
        <v>5647</v>
      </c>
      <c r="AK103" s="122" t="s">
        <v>9647</v>
      </c>
      <c r="AL103" s="723" t="s">
        <v>9648</v>
      </c>
      <c r="AM103" s="122" t="s">
        <v>9649</v>
      </c>
      <c r="AN103" s="221"/>
    </row>
    <row r="104" s="693" customFormat="1" ht="31.5" spans="1:44">
      <c r="A104" s="1585" t="s">
        <v>1097</v>
      </c>
      <c r="B104" s="735" t="s">
        <v>9650</v>
      </c>
      <c r="C104" s="736" t="s">
        <v>9651</v>
      </c>
      <c r="D104" s="737" t="s">
        <v>9652</v>
      </c>
      <c r="E104" s="740" t="s">
        <v>43</v>
      </c>
      <c r="F104" s="741" t="s">
        <v>254</v>
      </c>
      <c r="G104" s="742" t="s">
        <v>9409</v>
      </c>
      <c r="H104" s="697" t="s">
        <v>9347</v>
      </c>
      <c r="I104" s="697" t="s">
        <v>9361</v>
      </c>
      <c r="J104" s="745">
        <v>42767</v>
      </c>
      <c r="K104" s="745">
        <v>43100</v>
      </c>
      <c r="L104" s="746">
        <v>43465</v>
      </c>
      <c r="M104" s="746"/>
      <c r="N104" s="746"/>
      <c r="O104" s="741"/>
      <c r="P104" s="741"/>
      <c r="Q104" s="540">
        <f ca="1" t="shared" si="6"/>
        <v>192.61546296296</v>
      </c>
      <c r="R104" s="748" t="str">
        <f ca="1" t="shared" si="4"/>
        <v>ACTIVE</v>
      </c>
      <c r="S104" s="749">
        <v>3149431</v>
      </c>
      <c r="T104" s="749">
        <v>775000</v>
      </c>
      <c r="U104" s="749">
        <v>50000</v>
      </c>
      <c r="V104" s="749"/>
      <c r="W104" s="749">
        <v>500000</v>
      </c>
      <c r="X104" s="749">
        <v>1000000</v>
      </c>
      <c r="Y104" s="749">
        <v>150000</v>
      </c>
      <c r="Z104" s="749"/>
      <c r="AA104" s="749">
        <v>1500000</v>
      </c>
      <c r="AB104" s="753" t="s">
        <v>8612</v>
      </c>
      <c r="AC104" s="718">
        <v>2250000</v>
      </c>
      <c r="AD104" s="700" t="s">
        <v>8613</v>
      </c>
      <c r="AE104" s="741" t="s">
        <v>9410</v>
      </c>
      <c r="AF104" s="755" t="s">
        <v>9653</v>
      </c>
      <c r="AG104" s="756" t="s">
        <v>9654</v>
      </c>
      <c r="AH104" s="756" t="s">
        <v>9655</v>
      </c>
      <c r="AI104" s="756" t="s">
        <v>9656</v>
      </c>
      <c r="AJ104" s="756" t="s">
        <v>5647</v>
      </c>
      <c r="AK104" s="756"/>
      <c r="AL104" s="757" t="s">
        <v>9657</v>
      </c>
      <c r="AM104" s="756" t="s">
        <v>9658</v>
      </c>
      <c r="AN104" s="759"/>
      <c r="AO104" s="156"/>
      <c r="AP104" s="156"/>
      <c r="AQ104" s="156"/>
      <c r="AR104" s="156"/>
    </row>
    <row r="105" ht="31.5" spans="1:40">
      <c r="A105" s="1585" t="s">
        <v>1106</v>
      </c>
      <c r="B105" s="100" t="s">
        <v>9659</v>
      </c>
      <c r="C105" s="697" t="s">
        <v>3123</v>
      </c>
      <c r="D105" s="738" t="s">
        <v>9660</v>
      </c>
      <c r="E105" s="700" t="s">
        <v>43</v>
      </c>
      <c r="F105" s="432" t="s">
        <v>254</v>
      </c>
      <c r="G105" s="702" t="s">
        <v>9419</v>
      </c>
      <c r="H105" s="697" t="s">
        <v>9420</v>
      </c>
      <c r="I105" s="697" t="s">
        <v>9361</v>
      </c>
      <c r="J105" s="705">
        <v>42767</v>
      </c>
      <c r="K105" s="705">
        <v>43100</v>
      </c>
      <c r="L105" s="704">
        <v>43465</v>
      </c>
      <c r="M105" s="704"/>
      <c r="N105" s="704"/>
      <c r="O105" s="432"/>
      <c r="P105" s="432"/>
      <c r="Q105" s="540">
        <f ca="1" t="shared" si="6"/>
        <v>192.61546296296</v>
      </c>
      <c r="R105" s="106" t="str">
        <f ca="1" t="shared" si="4"/>
        <v>ACTIVE</v>
      </c>
      <c r="S105" s="750">
        <v>4209277</v>
      </c>
      <c r="T105" s="750">
        <v>775000</v>
      </c>
      <c r="U105" s="750">
        <v>150000</v>
      </c>
      <c r="V105" s="750"/>
      <c r="W105" s="750"/>
      <c r="X105" s="750"/>
      <c r="Y105" s="750"/>
      <c r="Z105" s="750"/>
      <c r="AA105" s="700" t="s">
        <v>113</v>
      </c>
      <c r="AB105" s="712" t="s">
        <v>8612</v>
      </c>
      <c r="AC105" s="718">
        <v>2250000</v>
      </c>
      <c r="AD105" s="700" t="s">
        <v>8613</v>
      </c>
      <c r="AE105" s="432"/>
      <c r="AF105" s="719" t="s">
        <v>9661</v>
      </c>
      <c r="AG105" s="122" t="s">
        <v>9662</v>
      </c>
      <c r="AH105" s="122" t="s">
        <v>9663</v>
      </c>
      <c r="AI105" s="122" t="s">
        <v>9664</v>
      </c>
      <c r="AJ105" s="122" t="s">
        <v>5647</v>
      </c>
      <c r="AK105" s="122"/>
      <c r="AL105" s="723" t="s">
        <v>9665</v>
      </c>
      <c r="AM105" s="122" t="s">
        <v>9666</v>
      </c>
      <c r="AN105" s="221"/>
    </row>
    <row r="106" ht="31.5" spans="1:40">
      <c r="A106" s="1585" t="s">
        <v>1120</v>
      </c>
      <c r="B106" s="100" t="s">
        <v>9667</v>
      </c>
      <c r="C106" s="697" t="s">
        <v>9668</v>
      </c>
      <c r="D106" s="738" t="s">
        <v>9669</v>
      </c>
      <c r="E106" s="700" t="s">
        <v>125</v>
      </c>
      <c r="F106" s="432" t="s">
        <v>60</v>
      </c>
      <c r="G106" s="702" t="s">
        <v>9372</v>
      </c>
      <c r="H106" s="697" t="s">
        <v>9373</v>
      </c>
      <c r="I106" s="697" t="s">
        <v>9361</v>
      </c>
      <c r="J106" s="705">
        <v>42767</v>
      </c>
      <c r="K106" s="705">
        <v>43100</v>
      </c>
      <c r="L106" s="704">
        <v>43465</v>
      </c>
      <c r="M106" s="704"/>
      <c r="N106" s="704"/>
      <c r="O106" s="432"/>
      <c r="P106" s="432"/>
      <c r="Q106" s="540">
        <f ca="1" t="shared" si="6"/>
        <v>192.61546296296</v>
      </c>
      <c r="R106" s="106" t="str">
        <f ca="1" t="shared" si="4"/>
        <v>ACTIVE</v>
      </c>
      <c r="S106" s="116">
        <v>2873036</v>
      </c>
      <c r="T106" s="750">
        <v>775000</v>
      </c>
      <c r="U106" s="750"/>
      <c r="V106" s="750"/>
      <c r="W106" s="750"/>
      <c r="X106" s="750"/>
      <c r="Y106" s="750"/>
      <c r="Z106" s="750"/>
      <c r="AA106" s="700" t="s">
        <v>113</v>
      </c>
      <c r="AB106" s="712" t="s">
        <v>8612</v>
      </c>
      <c r="AC106" s="718">
        <v>2000000</v>
      </c>
      <c r="AD106" s="700" t="s">
        <v>8613</v>
      </c>
      <c r="AE106" s="101" t="s">
        <v>9374</v>
      </c>
      <c r="AF106" s="719" t="s">
        <v>9670</v>
      </c>
      <c r="AG106" s="122" t="s">
        <v>9671</v>
      </c>
      <c r="AH106" s="122" t="s">
        <v>9672</v>
      </c>
      <c r="AI106" s="122" t="s">
        <v>9673</v>
      </c>
      <c r="AJ106" s="122" t="s">
        <v>5647</v>
      </c>
      <c r="AK106" s="122" t="s">
        <v>9674</v>
      </c>
      <c r="AL106" s="723" t="s">
        <v>9367</v>
      </c>
      <c r="AM106" s="122" t="s">
        <v>9675</v>
      </c>
      <c r="AN106" s="221"/>
    </row>
    <row r="107" ht="31.5" spans="1:40">
      <c r="A107" s="1585" t="s">
        <v>5959</v>
      </c>
      <c r="B107" s="100" t="s">
        <v>9676</v>
      </c>
      <c r="C107" s="697" t="s">
        <v>9677</v>
      </c>
      <c r="D107" s="738" t="s">
        <v>9678</v>
      </c>
      <c r="E107" s="700" t="s">
        <v>43</v>
      </c>
      <c r="F107" s="432" t="s">
        <v>60</v>
      </c>
      <c r="G107" s="702" t="s">
        <v>9419</v>
      </c>
      <c r="H107" s="697" t="s">
        <v>9420</v>
      </c>
      <c r="I107" s="697" t="s">
        <v>9361</v>
      </c>
      <c r="J107" s="705">
        <v>42767</v>
      </c>
      <c r="K107" s="705">
        <v>43100</v>
      </c>
      <c r="L107" s="704">
        <v>43465</v>
      </c>
      <c r="M107" s="704"/>
      <c r="N107" s="704"/>
      <c r="O107" s="432"/>
      <c r="P107" s="432"/>
      <c r="Q107" s="540">
        <f ca="1" t="shared" si="6"/>
        <v>192.61546296296</v>
      </c>
      <c r="R107" s="106" t="str">
        <f ca="1" t="shared" si="4"/>
        <v>ACTIVE</v>
      </c>
      <c r="S107" s="750">
        <v>3741034</v>
      </c>
      <c r="T107" s="750">
        <v>775000</v>
      </c>
      <c r="U107" s="750">
        <v>150000</v>
      </c>
      <c r="V107" s="750"/>
      <c r="W107" s="750"/>
      <c r="X107" s="750"/>
      <c r="Y107" s="750"/>
      <c r="Z107" s="750"/>
      <c r="AA107" s="700" t="s">
        <v>113</v>
      </c>
      <c r="AB107" s="712" t="s">
        <v>8612</v>
      </c>
      <c r="AC107" s="718">
        <v>2000000</v>
      </c>
      <c r="AD107" s="700" t="s">
        <v>8613</v>
      </c>
      <c r="AE107" s="432"/>
      <c r="AF107" s="719" t="s">
        <v>9679</v>
      </c>
      <c r="AG107" s="122" t="s">
        <v>9680</v>
      </c>
      <c r="AH107" s="122" t="s">
        <v>9681</v>
      </c>
      <c r="AI107" s="122" t="s">
        <v>9682</v>
      </c>
      <c r="AJ107" s="122" t="s">
        <v>9683</v>
      </c>
      <c r="AK107" s="122" t="s">
        <v>9684</v>
      </c>
      <c r="AL107" s="723" t="s">
        <v>9685</v>
      </c>
      <c r="AM107" s="122" t="s">
        <v>9686</v>
      </c>
      <c r="AN107" s="221"/>
    </row>
    <row r="108" s="693" customFormat="1" ht="31.5" spans="1:44">
      <c r="A108" s="1585" t="s">
        <v>1132</v>
      </c>
      <c r="B108" s="735" t="s">
        <v>9687</v>
      </c>
      <c r="C108" s="736" t="s">
        <v>9688</v>
      </c>
      <c r="D108" s="737" t="s">
        <v>9689</v>
      </c>
      <c r="E108" s="740" t="s">
        <v>43</v>
      </c>
      <c r="F108" s="741" t="s">
        <v>96</v>
      </c>
      <c r="G108" s="742" t="s">
        <v>9384</v>
      </c>
      <c r="H108" s="697" t="s">
        <v>9458</v>
      </c>
      <c r="I108" s="697" t="s">
        <v>9348</v>
      </c>
      <c r="J108" s="745">
        <v>42767</v>
      </c>
      <c r="K108" s="745">
        <v>43100</v>
      </c>
      <c r="L108" s="704">
        <v>43465</v>
      </c>
      <c r="M108" s="746"/>
      <c r="N108" s="746"/>
      <c r="O108" s="741"/>
      <c r="P108" s="741"/>
      <c r="Q108" s="751">
        <f ca="1" t="shared" si="6"/>
        <v>192.61546296296</v>
      </c>
      <c r="R108" s="748" t="str">
        <f ca="1" t="shared" si="4"/>
        <v>ACTIVE</v>
      </c>
      <c r="S108" s="749">
        <v>3149431</v>
      </c>
      <c r="T108" s="749">
        <v>775000</v>
      </c>
      <c r="U108" s="749">
        <v>50000</v>
      </c>
      <c r="V108" s="749"/>
      <c r="W108" s="749">
        <v>500000</v>
      </c>
      <c r="X108" s="749">
        <v>1000000</v>
      </c>
      <c r="Y108" s="749">
        <v>150000</v>
      </c>
      <c r="Z108" s="749"/>
      <c r="AA108" s="749">
        <v>1500000</v>
      </c>
      <c r="AB108" s="753" t="s">
        <v>8612</v>
      </c>
      <c r="AC108" s="718">
        <v>2500000</v>
      </c>
      <c r="AD108" s="700" t="s">
        <v>8613</v>
      </c>
      <c r="AE108" s="741" t="s">
        <v>9690</v>
      </c>
      <c r="AF108" s="755" t="s">
        <v>9691</v>
      </c>
      <c r="AG108" s="756" t="s">
        <v>9692</v>
      </c>
      <c r="AH108" s="756" t="s">
        <v>9693</v>
      </c>
      <c r="AI108" s="756" t="s">
        <v>9694</v>
      </c>
      <c r="AJ108" s="756" t="s">
        <v>9695</v>
      </c>
      <c r="AK108" s="756"/>
      <c r="AL108" s="757" t="s">
        <v>9696</v>
      </c>
      <c r="AM108" s="758" t="s">
        <v>9697</v>
      </c>
      <c r="AN108" s="759"/>
      <c r="AO108" s="156"/>
      <c r="AP108" s="156"/>
      <c r="AQ108" s="156"/>
      <c r="AR108" s="156"/>
    </row>
    <row r="109" ht="31.5" spans="1:40">
      <c r="A109" s="1585" t="s">
        <v>1142</v>
      </c>
      <c r="B109" s="100" t="s">
        <v>9698</v>
      </c>
      <c r="C109" s="697" t="s">
        <v>9699</v>
      </c>
      <c r="D109" s="738" t="s">
        <v>9700</v>
      </c>
      <c r="E109" s="700" t="s">
        <v>43</v>
      </c>
      <c r="F109" s="432" t="s">
        <v>254</v>
      </c>
      <c r="G109" s="702" t="s">
        <v>2823</v>
      </c>
      <c r="H109" s="697" t="s">
        <v>9347</v>
      </c>
      <c r="I109" s="697" t="s">
        <v>9361</v>
      </c>
      <c r="J109" s="705">
        <v>42767</v>
      </c>
      <c r="K109" s="705">
        <v>43100</v>
      </c>
      <c r="L109" s="704">
        <v>43465</v>
      </c>
      <c r="M109" s="704"/>
      <c r="N109" s="704"/>
      <c r="O109" s="432"/>
      <c r="P109" s="432"/>
      <c r="Q109" s="540">
        <f ca="1" t="shared" si="6"/>
        <v>192.61546296296</v>
      </c>
      <c r="R109" s="106" t="str">
        <f ca="1" t="shared" si="4"/>
        <v>ACTIVE</v>
      </c>
      <c r="S109" s="116">
        <v>2873036</v>
      </c>
      <c r="T109" s="750">
        <v>775000</v>
      </c>
      <c r="U109" s="750"/>
      <c r="V109" s="750"/>
      <c r="W109" s="750"/>
      <c r="X109" s="750"/>
      <c r="Y109" s="750"/>
      <c r="Z109" s="750"/>
      <c r="AA109" s="700" t="s">
        <v>113</v>
      </c>
      <c r="AB109" s="712" t="s">
        <v>8612</v>
      </c>
      <c r="AC109" s="718">
        <v>2250000</v>
      </c>
      <c r="AD109" s="700" t="s">
        <v>8613</v>
      </c>
      <c r="AE109" s="101" t="s">
        <v>9374</v>
      </c>
      <c r="AF109" s="719" t="s">
        <v>9701</v>
      </c>
      <c r="AG109" s="221" t="s">
        <v>9702</v>
      </c>
      <c r="AH109" s="221" t="s">
        <v>9703</v>
      </c>
      <c r="AI109" s="221" t="s">
        <v>9704</v>
      </c>
      <c r="AJ109" s="221" t="s">
        <v>5647</v>
      </c>
      <c r="AK109" s="122" t="s">
        <v>9705</v>
      </c>
      <c r="AL109" s="723" t="s">
        <v>9367</v>
      </c>
      <c r="AM109" s="122"/>
      <c r="AN109" s="221"/>
    </row>
    <row r="110" ht="31.5" spans="1:40">
      <c r="A110" s="1585" t="s">
        <v>1152</v>
      </c>
      <c r="B110" s="100" t="s">
        <v>9706</v>
      </c>
      <c r="C110" s="697" t="s">
        <v>9707</v>
      </c>
      <c r="D110" s="738">
        <v>30371</v>
      </c>
      <c r="E110" s="700" t="s">
        <v>43</v>
      </c>
      <c r="F110" s="432" t="s">
        <v>404</v>
      </c>
      <c r="G110" s="702" t="s">
        <v>9384</v>
      </c>
      <c r="H110" s="697" t="s">
        <v>9385</v>
      </c>
      <c r="I110" s="697" t="s">
        <v>9386</v>
      </c>
      <c r="J110" s="705">
        <v>42767</v>
      </c>
      <c r="K110" s="705">
        <v>43100</v>
      </c>
      <c r="L110" s="704">
        <v>43465</v>
      </c>
      <c r="M110" s="704"/>
      <c r="N110" s="704"/>
      <c r="O110" s="432"/>
      <c r="P110" s="432"/>
      <c r="Q110" s="540">
        <f ca="1" t="shared" si="6"/>
        <v>192.61546296296</v>
      </c>
      <c r="R110" s="106" t="str">
        <f ca="1" t="shared" si="4"/>
        <v>ACTIVE</v>
      </c>
      <c r="S110" s="116">
        <v>2873036</v>
      </c>
      <c r="T110" s="750">
        <v>775000</v>
      </c>
      <c r="U110" s="750"/>
      <c r="V110" s="750"/>
      <c r="W110" s="750"/>
      <c r="X110" s="750"/>
      <c r="Y110" s="750"/>
      <c r="Z110" s="750"/>
      <c r="AA110" s="700" t="s">
        <v>113</v>
      </c>
      <c r="AB110" s="712" t="s">
        <v>8612</v>
      </c>
      <c r="AC110" s="718">
        <v>1750000</v>
      </c>
      <c r="AD110" s="700" t="s">
        <v>8613</v>
      </c>
      <c r="AE110" s="101" t="s">
        <v>9349</v>
      </c>
      <c r="AF110" s="719" t="s">
        <v>9708</v>
      </c>
      <c r="AG110" s="122" t="s">
        <v>9709</v>
      </c>
      <c r="AH110" s="122" t="s">
        <v>9710</v>
      </c>
      <c r="AI110" s="122" t="s">
        <v>9711</v>
      </c>
      <c r="AJ110" s="122" t="s">
        <v>9712</v>
      </c>
      <c r="AK110" s="122"/>
      <c r="AL110" s="723" t="s">
        <v>9713</v>
      </c>
      <c r="AM110" s="122" t="s">
        <v>9714</v>
      </c>
      <c r="AN110" s="221"/>
    </row>
    <row r="111" ht="31.5" spans="1:40">
      <c r="A111" s="1585" t="s">
        <v>1163</v>
      </c>
      <c r="B111" s="100" t="s">
        <v>9715</v>
      </c>
      <c r="C111" s="697" t="s">
        <v>9716</v>
      </c>
      <c r="D111" s="738" t="s">
        <v>9717</v>
      </c>
      <c r="E111" s="700" t="s">
        <v>43</v>
      </c>
      <c r="F111" s="432" t="s">
        <v>60</v>
      </c>
      <c r="G111" s="702" t="s">
        <v>9372</v>
      </c>
      <c r="H111" s="697" t="s">
        <v>9373</v>
      </c>
      <c r="I111" s="697" t="s">
        <v>9361</v>
      </c>
      <c r="J111" s="705">
        <v>42767</v>
      </c>
      <c r="K111" s="705">
        <v>43100</v>
      </c>
      <c r="L111" s="704">
        <v>43465</v>
      </c>
      <c r="M111" s="704"/>
      <c r="N111" s="704"/>
      <c r="O111" s="432"/>
      <c r="P111" s="432"/>
      <c r="Q111" s="540">
        <f ca="1" t="shared" si="6"/>
        <v>192.61546296296</v>
      </c>
      <c r="R111" s="106" t="str">
        <f ca="1" t="shared" si="4"/>
        <v>ACTIVE</v>
      </c>
      <c r="S111" s="116">
        <v>2873036</v>
      </c>
      <c r="T111" s="750">
        <v>775000</v>
      </c>
      <c r="U111" s="750"/>
      <c r="V111" s="750"/>
      <c r="W111" s="750"/>
      <c r="X111" s="750"/>
      <c r="Y111" s="750"/>
      <c r="Z111" s="750"/>
      <c r="AA111" s="700" t="s">
        <v>113</v>
      </c>
      <c r="AB111" s="712" t="s">
        <v>8612</v>
      </c>
      <c r="AC111" s="718">
        <v>2000000</v>
      </c>
      <c r="AD111" s="700" t="s">
        <v>8613</v>
      </c>
      <c r="AE111" s="101" t="s">
        <v>9374</v>
      </c>
      <c r="AF111" s="719" t="s">
        <v>9718</v>
      </c>
      <c r="AG111" s="122" t="s">
        <v>9719</v>
      </c>
      <c r="AH111" s="122" t="s">
        <v>9720</v>
      </c>
      <c r="AI111" s="122" t="s">
        <v>9721</v>
      </c>
      <c r="AJ111" s="122" t="s">
        <v>5647</v>
      </c>
      <c r="AK111" s="122" t="s">
        <v>9722</v>
      </c>
      <c r="AL111" s="723" t="s">
        <v>9723</v>
      </c>
      <c r="AM111" s="122" t="s">
        <v>9724</v>
      </c>
      <c r="AN111" s="221"/>
    </row>
    <row r="112" ht="31.5" spans="1:40">
      <c r="A112" s="1585" t="s">
        <v>1173</v>
      </c>
      <c r="B112" s="100" t="s">
        <v>9725</v>
      </c>
      <c r="C112" s="697" t="s">
        <v>9726</v>
      </c>
      <c r="D112" s="738" t="s">
        <v>9727</v>
      </c>
      <c r="E112" s="700" t="s">
        <v>43</v>
      </c>
      <c r="F112" s="432" t="s">
        <v>44</v>
      </c>
      <c r="G112" s="702" t="s">
        <v>9372</v>
      </c>
      <c r="H112" s="697" t="s">
        <v>9373</v>
      </c>
      <c r="I112" s="697" t="s">
        <v>9361</v>
      </c>
      <c r="J112" s="705">
        <v>42767</v>
      </c>
      <c r="K112" s="705">
        <v>43100</v>
      </c>
      <c r="L112" s="704">
        <v>43465</v>
      </c>
      <c r="M112" s="704"/>
      <c r="N112" s="704"/>
      <c r="O112" s="432"/>
      <c r="P112" s="432"/>
      <c r="Q112" s="540">
        <f ca="1" t="shared" si="6"/>
        <v>192.61546296296</v>
      </c>
      <c r="R112" s="106" t="str">
        <f ca="1" t="shared" si="4"/>
        <v>ACTIVE</v>
      </c>
      <c r="S112" s="750">
        <v>2887500</v>
      </c>
      <c r="T112" s="750">
        <v>775000</v>
      </c>
      <c r="U112" s="750"/>
      <c r="V112" s="750"/>
      <c r="W112" s="750"/>
      <c r="X112" s="750"/>
      <c r="Y112" s="750"/>
      <c r="Z112" s="750"/>
      <c r="AA112" s="700" t="s">
        <v>113</v>
      </c>
      <c r="AB112" s="712" t="s">
        <v>8612</v>
      </c>
      <c r="AC112" s="718">
        <v>1500000</v>
      </c>
      <c r="AD112" s="700" t="s">
        <v>8613</v>
      </c>
      <c r="AE112" s="432"/>
      <c r="AF112" s="719" t="s">
        <v>9728</v>
      </c>
      <c r="AG112" s="122" t="s">
        <v>9729</v>
      </c>
      <c r="AH112" s="122" t="s">
        <v>9730</v>
      </c>
      <c r="AI112" s="122" t="s">
        <v>9731</v>
      </c>
      <c r="AJ112" s="122" t="s">
        <v>9732</v>
      </c>
      <c r="AK112" s="122"/>
      <c r="AL112" s="723" t="s">
        <v>9733</v>
      </c>
      <c r="AM112" s="122" t="s">
        <v>9734</v>
      </c>
      <c r="AN112" s="221"/>
    </row>
    <row r="113" ht="31.5" spans="1:40">
      <c r="A113" s="1585" t="s">
        <v>1186</v>
      </c>
      <c r="B113" s="100" t="s">
        <v>9735</v>
      </c>
      <c r="C113" s="697" t="s">
        <v>9736</v>
      </c>
      <c r="D113" s="738">
        <v>33595</v>
      </c>
      <c r="E113" s="700" t="s">
        <v>43</v>
      </c>
      <c r="F113" s="432" t="s">
        <v>44</v>
      </c>
      <c r="G113" s="702" t="s">
        <v>9384</v>
      </c>
      <c r="H113" s="697" t="s">
        <v>9385</v>
      </c>
      <c r="I113" s="697" t="s">
        <v>9386</v>
      </c>
      <c r="J113" s="705">
        <v>42767</v>
      </c>
      <c r="K113" s="705">
        <v>43100</v>
      </c>
      <c r="L113" s="704">
        <v>43465</v>
      </c>
      <c r="M113" s="704"/>
      <c r="N113" s="704"/>
      <c r="O113" s="432"/>
      <c r="P113" s="432"/>
      <c r="Q113" s="540">
        <f ca="1" t="shared" si="6"/>
        <v>192.61546296296</v>
      </c>
      <c r="R113" s="106" t="str">
        <f ca="1" t="shared" si="4"/>
        <v>ACTIVE</v>
      </c>
      <c r="S113" s="116">
        <v>2873036</v>
      </c>
      <c r="T113" s="750">
        <v>775000</v>
      </c>
      <c r="U113" s="750"/>
      <c r="V113" s="750"/>
      <c r="W113" s="750"/>
      <c r="X113" s="750"/>
      <c r="Y113" s="750"/>
      <c r="Z113" s="750"/>
      <c r="AA113" s="700" t="s">
        <v>113</v>
      </c>
      <c r="AB113" s="712" t="s">
        <v>8612</v>
      </c>
      <c r="AC113" s="718">
        <v>1500000</v>
      </c>
      <c r="AD113" s="700" t="s">
        <v>8613</v>
      </c>
      <c r="AE113" s="101" t="s">
        <v>9349</v>
      </c>
      <c r="AF113" s="719" t="s">
        <v>9737</v>
      </c>
      <c r="AG113" s="122" t="s">
        <v>9738</v>
      </c>
      <c r="AH113" s="122" t="s">
        <v>9739</v>
      </c>
      <c r="AI113" s="122" t="s">
        <v>9740</v>
      </c>
      <c r="AJ113" s="122" t="s">
        <v>9741</v>
      </c>
      <c r="AK113" s="122"/>
      <c r="AL113" s="723" t="s">
        <v>9742</v>
      </c>
      <c r="AM113" s="122" t="s">
        <v>9743</v>
      </c>
      <c r="AN113" s="221"/>
    </row>
    <row r="114" ht="31.5" spans="1:40">
      <c r="A114" s="1585" t="s">
        <v>1195</v>
      </c>
      <c r="B114" s="100" t="s">
        <v>9744</v>
      </c>
      <c r="C114" s="697" t="s">
        <v>9745</v>
      </c>
      <c r="D114" s="738" t="s">
        <v>9746</v>
      </c>
      <c r="E114" s="700" t="s">
        <v>125</v>
      </c>
      <c r="F114" s="432" t="s">
        <v>44</v>
      </c>
      <c r="G114" s="702" t="s">
        <v>9747</v>
      </c>
      <c r="H114" s="697" t="s">
        <v>9748</v>
      </c>
      <c r="I114" s="697" t="s">
        <v>9361</v>
      </c>
      <c r="J114" s="705">
        <v>42767</v>
      </c>
      <c r="K114" s="705">
        <v>43100</v>
      </c>
      <c r="L114" s="704">
        <v>43465</v>
      </c>
      <c r="M114" s="704"/>
      <c r="N114" s="704"/>
      <c r="O114" s="432"/>
      <c r="P114" s="432"/>
      <c r="Q114" s="540">
        <f ca="1" t="shared" si="6"/>
        <v>192.61546296296</v>
      </c>
      <c r="R114" s="106" t="str">
        <f ca="1" t="shared" si="4"/>
        <v>ACTIVE</v>
      </c>
      <c r="S114" s="116">
        <v>2873036</v>
      </c>
      <c r="T114" s="750">
        <v>775000</v>
      </c>
      <c r="U114" s="750"/>
      <c r="V114" s="750"/>
      <c r="W114" s="750"/>
      <c r="X114" s="750"/>
      <c r="Y114" s="750"/>
      <c r="Z114" s="750"/>
      <c r="AA114" s="700" t="s">
        <v>113</v>
      </c>
      <c r="AB114" s="712" t="s">
        <v>8612</v>
      </c>
      <c r="AC114" s="718">
        <v>1500000</v>
      </c>
      <c r="AD114" s="700" t="s">
        <v>8613</v>
      </c>
      <c r="AE114" s="101" t="s">
        <v>9374</v>
      </c>
      <c r="AF114" s="719" t="s">
        <v>9749</v>
      </c>
      <c r="AG114" s="122" t="s">
        <v>9750</v>
      </c>
      <c r="AH114" s="122" t="s">
        <v>9751</v>
      </c>
      <c r="AI114" s="122" t="s">
        <v>9752</v>
      </c>
      <c r="AJ114" s="122" t="s">
        <v>5647</v>
      </c>
      <c r="AK114" s="122" t="s">
        <v>9753</v>
      </c>
      <c r="AL114" s="723" t="s">
        <v>9754</v>
      </c>
      <c r="AM114" s="122" t="s">
        <v>9755</v>
      </c>
      <c r="AN114" s="221"/>
    </row>
    <row r="115" ht="31.5" spans="1:40">
      <c r="A115" s="1585" t="s">
        <v>1205</v>
      </c>
      <c r="B115" s="100" t="s">
        <v>9756</v>
      </c>
      <c r="C115" s="697" t="s">
        <v>9757</v>
      </c>
      <c r="D115" s="738">
        <v>24527</v>
      </c>
      <c r="E115" s="700" t="s">
        <v>43</v>
      </c>
      <c r="F115" s="432" t="s">
        <v>254</v>
      </c>
      <c r="G115" s="702" t="s">
        <v>9384</v>
      </c>
      <c r="H115" s="697" t="s">
        <v>9385</v>
      </c>
      <c r="I115" s="697" t="s">
        <v>9386</v>
      </c>
      <c r="J115" s="705">
        <v>42767</v>
      </c>
      <c r="K115" s="705">
        <v>43100</v>
      </c>
      <c r="L115" s="704">
        <v>43465</v>
      </c>
      <c r="M115" s="704"/>
      <c r="N115" s="704"/>
      <c r="O115" s="432"/>
      <c r="P115" s="432"/>
      <c r="Q115" s="540">
        <f ca="1" t="shared" si="6"/>
        <v>192.61546296296</v>
      </c>
      <c r="R115" s="106" t="str">
        <f ca="1" t="shared" si="4"/>
        <v>ACTIVE</v>
      </c>
      <c r="S115" s="116">
        <v>2873036</v>
      </c>
      <c r="T115" s="750">
        <v>775000</v>
      </c>
      <c r="U115" s="750"/>
      <c r="V115" s="750"/>
      <c r="W115" s="750"/>
      <c r="X115" s="750"/>
      <c r="Y115" s="750"/>
      <c r="Z115" s="750"/>
      <c r="AA115" s="700" t="s">
        <v>113</v>
      </c>
      <c r="AB115" s="712" t="s">
        <v>8612</v>
      </c>
      <c r="AC115" s="718">
        <v>2250000</v>
      </c>
      <c r="AD115" s="700" t="s">
        <v>8613</v>
      </c>
      <c r="AE115" s="101" t="s">
        <v>9349</v>
      </c>
      <c r="AF115" s="719" t="s">
        <v>9758</v>
      </c>
      <c r="AG115" s="122" t="s">
        <v>9759</v>
      </c>
      <c r="AH115" s="122" t="s">
        <v>9760</v>
      </c>
      <c r="AI115" s="122" t="s">
        <v>9761</v>
      </c>
      <c r="AJ115" s="122" t="s">
        <v>9762</v>
      </c>
      <c r="AK115" s="122"/>
      <c r="AL115" s="723" t="s">
        <v>9763</v>
      </c>
      <c r="AM115" s="128" t="s">
        <v>9764</v>
      </c>
      <c r="AN115" s="221"/>
    </row>
    <row r="116" ht="31.5" spans="1:40">
      <c r="A116" s="1585" t="s">
        <v>1216</v>
      </c>
      <c r="B116" s="100" t="s">
        <v>9765</v>
      </c>
      <c r="C116" s="697" t="s">
        <v>9766</v>
      </c>
      <c r="D116" s="738" t="s">
        <v>9767</v>
      </c>
      <c r="E116" s="700" t="s">
        <v>125</v>
      </c>
      <c r="F116" s="432" t="s">
        <v>60</v>
      </c>
      <c r="G116" s="702" t="s">
        <v>9372</v>
      </c>
      <c r="H116" s="697" t="s">
        <v>9373</v>
      </c>
      <c r="I116" s="697" t="s">
        <v>9361</v>
      </c>
      <c r="J116" s="705">
        <v>42767</v>
      </c>
      <c r="K116" s="705">
        <v>43100</v>
      </c>
      <c r="L116" s="704">
        <v>43465</v>
      </c>
      <c r="M116" s="704"/>
      <c r="N116" s="704"/>
      <c r="O116" s="432"/>
      <c r="P116" s="432"/>
      <c r="Q116" s="540">
        <f ca="1" t="shared" si="6"/>
        <v>192.61546296296</v>
      </c>
      <c r="R116" s="106" t="str">
        <f ca="1" t="shared" si="4"/>
        <v>ACTIVE</v>
      </c>
      <c r="S116" s="116">
        <v>2873036</v>
      </c>
      <c r="T116" s="750">
        <v>775000</v>
      </c>
      <c r="U116" s="750"/>
      <c r="V116" s="750"/>
      <c r="W116" s="750"/>
      <c r="X116" s="750"/>
      <c r="Y116" s="750"/>
      <c r="Z116" s="750"/>
      <c r="AA116" s="700" t="s">
        <v>113</v>
      </c>
      <c r="AB116" s="712" t="s">
        <v>8612</v>
      </c>
      <c r="AC116" s="718">
        <v>2000000</v>
      </c>
      <c r="AD116" s="700" t="s">
        <v>8613</v>
      </c>
      <c r="AE116" s="101" t="s">
        <v>9374</v>
      </c>
      <c r="AF116" s="719" t="s">
        <v>9768</v>
      </c>
      <c r="AG116" s="122" t="s">
        <v>9769</v>
      </c>
      <c r="AH116" s="122" t="s">
        <v>9770</v>
      </c>
      <c r="AI116" s="122" t="s">
        <v>9771</v>
      </c>
      <c r="AJ116" s="122" t="s">
        <v>9772</v>
      </c>
      <c r="AK116" s="122"/>
      <c r="AL116" s="723" t="s">
        <v>9773</v>
      </c>
      <c r="AM116" s="122"/>
      <c r="AN116" s="221"/>
    </row>
    <row r="117" ht="31.5" spans="1:40">
      <c r="A117" s="1585" t="s">
        <v>1227</v>
      </c>
      <c r="B117" s="100" t="s">
        <v>9774</v>
      </c>
      <c r="C117" s="697" t="s">
        <v>9775</v>
      </c>
      <c r="D117" s="738" t="s">
        <v>9776</v>
      </c>
      <c r="E117" s="700" t="s">
        <v>125</v>
      </c>
      <c r="F117" s="432" t="s">
        <v>60</v>
      </c>
      <c r="G117" s="702" t="s">
        <v>9777</v>
      </c>
      <c r="H117" s="697" t="s">
        <v>9748</v>
      </c>
      <c r="I117" s="697" t="s">
        <v>9361</v>
      </c>
      <c r="J117" s="705">
        <v>42767</v>
      </c>
      <c r="K117" s="705">
        <v>43100</v>
      </c>
      <c r="L117" s="704">
        <v>43465</v>
      </c>
      <c r="M117" s="704"/>
      <c r="N117" s="704"/>
      <c r="O117" s="432"/>
      <c r="P117" s="432"/>
      <c r="Q117" s="540">
        <f ca="1" t="shared" si="6"/>
        <v>192.61546296296</v>
      </c>
      <c r="R117" s="106" t="str">
        <f ca="1" t="shared" si="4"/>
        <v>ACTIVE</v>
      </c>
      <c r="S117" s="750">
        <v>3465413</v>
      </c>
      <c r="T117" s="750">
        <v>775000</v>
      </c>
      <c r="U117" s="750"/>
      <c r="V117" s="750"/>
      <c r="W117" s="750"/>
      <c r="X117" s="750"/>
      <c r="Y117" s="750"/>
      <c r="Z117" s="750"/>
      <c r="AA117" s="700" t="s">
        <v>113</v>
      </c>
      <c r="AB117" s="712" t="s">
        <v>8612</v>
      </c>
      <c r="AC117" s="718">
        <v>2000000</v>
      </c>
      <c r="AD117" s="700" t="s">
        <v>8613</v>
      </c>
      <c r="AE117" s="432"/>
      <c r="AF117" s="719" t="s">
        <v>9778</v>
      </c>
      <c r="AG117" s="122" t="s">
        <v>9779</v>
      </c>
      <c r="AH117" s="122" t="s">
        <v>9780</v>
      </c>
      <c r="AI117" s="122" t="s">
        <v>9366</v>
      </c>
      <c r="AJ117" s="122" t="s">
        <v>5647</v>
      </c>
      <c r="AK117" s="122"/>
      <c r="AL117" s="723" t="s">
        <v>9781</v>
      </c>
      <c r="AM117" s="122" t="s">
        <v>9782</v>
      </c>
      <c r="AN117" s="221"/>
    </row>
    <row r="118" ht="31.5" spans="1:40">
      <c r="A118" s="1585" t="s">
        <v>1237</v>
      </c>
      <c r="B118" s="100" t="s">
        <v>9783</v>
      </c>
      <c r="C118" s="697" t="s">
        <v>9784</v>
      </c>
      <c r="D118" s="738" t="s">
        <v>9785</v>
      </c>
      <c r="E118" s="700" t="s">
        <v>43</v>
      </c>
      <c r="F118" s="432" t="s">
        <v>254</v>
      </c>
      <c r="G118" s="702" t="s">
        <v>9372</v>
      </c>
      <c r="H118" s="697" t="s">
        <v>9373</v>
      </c>
      <c r="I118" s="697" t="s">
        <v>9361</v>
      </c>
      <c r="J118" s="705">
        <v>42767</v>
      </c>
      <c r="K118" s="705">
        <v>43100</v>
      </c>
      <c r="L118" s="704">
        <v>43465</v>
      </c>
      <c r="M118" s="704"/>
      <c r="N118" s="704"/>
      <c r="O118" s="432"/>
      <c r="P118" s="432"/>
      <c r="Q118" s="540">
        <f ca="1" t="shared" si="6"/>
        <v>192.61546296296</v>
      </c>
      <c r="R118" s="106" t="str">
        <f ca="1" t="shared" si="4"/>
        <v>ACTIVE</v>
      </c>
      <c r="S118" s="116">
        <v>2873036</v>
      </c>
      <c r="T118" s="750">
        <v>775000</v>
      </c>
      <c r="U118" s="750"/>
      <c r="V118" s="750"/>
      <c r="W118" s="750"/>
      <c r="X118" s="750"/>
      <c r="Y118" s="750"/>
      <c r="Z118" s="750"/>
      <c r="AA118" s="700" t="s">
        <v>113</v>
      </c>
      <c r="AB118" s="712" t="s">
        <v>8612</v>
      </c>
      <c r="AC118" s="718">
        <v>2250000</v>
      </c>
      <c r="AD118" s="700" t="s">
        <v>8613</v>
      </c>
      <c r="AE118" s="101" t="s">
        <v>9374</v>
      </c>
      <c r="AF118" s="719" t="s">
        <v>9786</v>
      </c>
      <c r="AG118" s="122" t="s">
        <v>9787</v>
      </c>
      <c r="AH118" s="122" t="s">
        <v>9788</v>
      </c>
      <c r="AI118" s="122" t="s">
        <v>9789</v>
      </c>
      <c r="AJ118" s="122" t="s">
        <v>5647</v>
      </c>
      <c r="AK118" s="122"/>
      <c r="AL118" s="723" t="s">
        <v>9790</v>
      </c>
      <c r="AM118" s="122" t="s">
        <v>9791</v>
      </c>
      <c r="AN118" s="221"/>
    </row>
    <row r="119" ht="31.5" spans="1:40">
      <c r="A119" s="1585" t="s">
        <v>1248</v>
      </c>
      <c r="B119" s="100" t="s">
        <v>9792</v>
      </c>
      <c r="C119" s="697" t="s">
        <v>9793</v>
      </c>
      <c r="D119" s="738" t="s">
        <v>9794</v>
      </c>
      <c r="E119" s="700" t="s">
        <v>43</v>
      </c>
      <c r="F119" s="432" t="s">
        <v>44</v>
      </c>
      <c r="G119" s="702" t="s">
        <v>9372</v>
      </c>
      <c r="H119" s="697" t="s">
        <v>9373</v>
      </c>
      <c r="I119" s="697" t="s">
        <v>9361</v>
      </c>
      <c r="J119" s="705">
        <v>42767</v>
      </c>
      <c r="K119" s="705">
        <v>43100</v>
      </c>
      <c r="L119" s="704">
        <v>43465</v>
      </c>
      <c r="M119" s="704"/>
      <c r="N119" s="704"/>
      <c r="O119" s="432"/>
      <c r="P119" s="432"/>
      <c r="Q119" s="540">
        <f ca="1" t="shared" si="6"/>
        <v>192.61546296296</v>
      </c>
      <c r="R119" s="106" t="str">
        <f ca="1" t="shared" ref="R119:R178" si="7">IF(Q119&lt;=40,"WARNING","ACTIVE")</f>
        <v>ACTIVE</v>
      </c>
      <c r="S119" s="116">
        <v>2873036</v>
      </c>
      <c r="T119" s="750">
        <v>775000</v>
      </c>
      <c r="U119" s="750"/>
      <c r="V119" s="750"/>
      <c r="W119" s="750"/>
      <c r="X119" s="750"/>
      <c r="Y119" s="750"/>
      <c r="Z119" s="750"/>
      <c r="AA119" s="700" t="s">
        <v>113</v>
      </c>
      <c r="AB119" s="712" t="s">
        <v>8612</v>
      </c>
      <c r="AC119" s="718">
        <v>1500000</v>
      </c>
      <c r="AD119" s="700" t="s">
        <v>8613</v>
      </c>
      <c r="AE119" s="101" t="s">
        <v>9374</v>
      </c>
      <c r="AF119" s="719" t="s">
        <v>9795</v>
      </c>
      <c r="AG119" s="122" t="s">
        <v>9796</v>
      </c>
      <c r="AH119" s="122" t="s">
        <v>9797</v>
      </c>
      <c r="AI119" s="122" t="s">
        <v>9798</v>
      </c>
      <c r="AJ119" s="122" t="s">
        <v>9799</v>
      </c>
      <c r="AK119" s="122"/>
      <c r="AL119" s="723" t="s">
        <v>9800</v>
      </c>
      <c r="AM119" s="122"/>
      <c r="AN119" s="221"/>
    </row>
    <row r="120" ht="31.5" spans="1:40">
      <c r="A120" s="1585" t="s">
        <v>1257</v>
      </c>
      <c r="B120" s="100" t="s">
        <v>9801</v>
      </c>
      <c r="C120" s="697" t="s">
        <v>9802</v>
      </c>
      <c r="D120" s="738" t="s">
        <v>9803</v>
      </c>
      <c r="E120" s="700" t="s">
        <v>43</v>
      </c>
      <c r="F120" s="432" t="s">
        <v>44</v>
      </c>
      <c r="G120" s="702" t="s">
        <v>9804</v>
      </c>
      <c r="H120" s="697" t="s">
        <v>9373</v>
      </c>
      <c r="I120" s="697" t="s">
        <v>9361</v>
      </c>
      <c r="J120" s="705">
        <v>42767</v>
      </c>
      <c r="K120" s="705">
        <v>43100</v>
      </c>
      <c r="L120" s="704">
        <v>43465</v>
      </c>
      <c r="M120" s="704"/>
      <c r="N120" s="704"/>
      <c r="O120" s="432"/>
      <c r="P120" s="432"/>
      <c r="Q120" s="540">
        <f ca="1" t="shared" si="6"/>
        <v>192.61546296296</v>
      </c>
      <c r="R120" s="106" t="str">
        <f ca="1" t="shared" si="7"/>
        <v>ACTIVE</v>
      </c>
      <c r="S120" s="116">
        <v>2873036</v>
      </c>
      <c r="T120" s="750">
        <v>775000</v>
      </c>
      <c r="U120" s="750"/>
      <c r="V120" s="750"/>
      <c r="W120" s="750"/>
      <c r="X120" s="750"/>
      <c r="Y120" s="750"/>
      <c r="Z120" s="750"/>
      <c r="AA120" s="700" t="s">
        <v>113</v>
      </c>
      <c r="AB120" s="712" t="s">
        <v>8612</v>
      </c>
      <c r="AC120" s="718">
        <v>1500000</v>
      </c>
      <c r="AD120" s="700" t="s">
        <v>8613</v>
      </c>
      <c r="AE120" s="101" t="s">
        <v>9805</v>
      </c>
      <c r="AF120" s="719" t="s">
        <v>9806</v>
      </c>
      <c r="AG120" s="122" t="s">
        <v>9807</v>
      </c>
      <c r="AH120" s="122" t="s">
        <v>9808</v>
      </c>
      <c r="AI120" s="122" t="s">
        <v>9809</v>
      </c>
      <c r="AJ120" s="122" t="s">
        <v>9810</v>
      </c>
      <c r="AK120" s="122"/>
      <c r="AL120" s="723" t="s">
        <v>9811</v>
      </c>
      <c r="AM120" s="122" t="s">
        <v>9812</v>
      </c>
      <c r="AN120" s="221"/>
    </row>
    <row r="121" ht="31.5" spans="1:40">
      <c r="A121" s="1585" t="s">
        <v>3347</v>
      </c>
      <c r="B121" s="100" t="s">
        <v>9813</v>
      </c>
      <c r="C121" s="697" t="s">
        <v>9814</v>
      </c>
      <c r="D121" s="738">
        <v>30682</v>
      </c>
      <c r="E121" s="700" t="s">
        <v>43</v>
      </c>
      <c r="F121" s="487" t="s">
        <v>254</v>
      </c>
      <c r="G121" s="702" t="s">
        <v>9384</v>
      </c>
      <c r="H121" s="697" t="s">
        <v>9385</v>
      </c>
      <c r="I121" s="697" t="s">
        <v>9386</v>
      </c>
      <c r="J121" s="705">
        <v>42767</v>
      </c>
      <c r="K121" s="705">
        <v>43100</v>
      </c>
      <c r="L121" s="704">
        <v>43465</v>
      </c>
      <c r="M121" s="704"/>
      <c r="N121" s="704"/>
      <c r="O121" s="432"/>
      <c r="P121" s="432"/>
      <c r="Q121" s="540">
        <f ca="1" t="shared" si="6"/>
        <v>192.61546296296</v>
      </c>
      <c r="R121" s="106" t="str">
        <f ca="1" t="shared" si="7"/>
        <v>ACTIVE</v>
      </c>
      <c r="S121" s="116">
        <v>2873036</v>
      </c>
      <c r="T121" s="750">
        <v>775000</v>
      </c>
      <c r="U121" s="750"/>
      <c r="V121" s="750"/>
      <c r="W121" s="750"/>
      <c r="X121" s="750"/>
      <c r="Y121" s="750"/>
      <c r="Z121" s="750"/>
      <c r="AA121" s="700" t="s">
        <v>113</v>
      </c>
      <c r="AB121" s="712" t="s">
        <v>8612</v>
      </c>
      <c r="AC121" s="718">
        <v>2000000</v>
      </c>
      <c r="AD121" s="700" t="s">
        <v>8613</v>
      </c>
      <c r="AE121" s="101" t="s">
        <v>9349</v>
      </c>
      <c r="AF121" s="719" t="s">
        <v>9815</v>
      </c>
      <c r="AG121" s="122" t="s">
        <v>9816</v>
      </c>
      <c r="AH121" s="122" t="s">
        <v>9817</v>
      </c>
      <c r="AI121" s="122" t="s">
        <v>9818</v>
      </c>
      <c r="AJ121" s="122" t="s">
        <v>9819</v>
      </c>
      <c r="AK121" s="122"/>
      <c r="AL121" s="723" t="s">
        <v>9820</v>
      </c>
      <c r="AM121" s="122" t="s">
        <v>9821</v>
      </c>
      <c r="AN121" s="221"/>
    </row>
    <row r="122" ht="31.5" spans="1:40">
      <c r="A122" s="1585" t="s">
        <v>1265</v>
      </c>
      <c r="B122" s="100" t="s">
        <v>9822</v>
      </c>
      <c r="C122" s="697" t="s">
        <v>9823</v>
      </c>
      <c r="D122" s="738">
        <v>29743</v>
      </c>
      <c r="E122" s="700" t="s">
        <v>43</v>
      </c>
      <c r="F122" s="432" t="s">
        <v>96</v>
      </c>
      <c r="G122" s="702" t="s">
        <v>9384</v>
      </c>
      <c r="H122" s="697" t="s">
        <v>9385</v>
      </c>
      <c r="I122" s="697" t="s">
        <v>9386</v>
      </c>
      <c r="J122" s="705">
        <v>42767</v>
      </c>
      <c r="K122" s="705">
        <v>43100</v>
      </c>
      <c r="L122" s="704">
        <v>43465</v>
      </c>
      <c r="M122" s="704"/>
      <c r="N122" s="704"/>
      <c r="O122" s="432"/>
      <c r="P122" s="432"/>
      <c r="Q122" s="540">
        <f ca="1" t="shared" si="6"/>
        <v>192.61546296296</v>
      </c>
      <c r="R122" s="106" t="str">
        <f ca="1" t="shared" si="7"/>
        <v>ACTIVE</v>
      </c>
      <c r="S122" s="116">
        <v>2873036</v>
      </c>
      <c r="T122" s="750">
        <v>775000</v>
      </c>
      <c r="U122" s="750"/>
      <c r="V122" s="750"/>
      <c r="W122" s="750"/>
      <c r="X122" s="750"/>
      <c r="Y122" s="750"/>
      <c r="Z122" s="750"/>
      <c r="AA122" s="700" t="s">
        <v>113</v>
      </c>
      <c r="AB122" s="712" t="s">
        <v>8612</v>
      </c>
      <c r="AC122" s="718">
        <v>2500000</v>
      </c>
      <c r="AD122" s="700" t="s">
        <v>8613</v>
      </c>
      <c r="AE122" s="101" t="s">
        <v>9349</v>
      </c>
      <c r="AF122" s="719" t="s">
        <v>9815</v>
      </c>
      <c r="AG122" s="122" t="s">
        <v>9824</v>
      </c>
      <c r="AH122" s="122" t="s">
        <v>9825</v>
      </c>
      <c r="AI122" s="122" t="s">
        <v>9826</v>
      </c>
      <c r="AJ122" s="122" t="s">
        <v>5647</v>
      </c>
      <c r="AK122" s="122"/>
      <c r="AL122" s="723" t="s">
        <v>9827</v>
      </c>
      <c r="AM122" s="128" t="s">
        <v>9828</v>
      </c>
      <c r="AN122" s="221"/>
    </row>
    <row r="123" ht="31.5" spans="1:40">
      <c r="A123" s="1585" t="s">
        <v>1277</v>
      </c>
      <c r="B123" s="100" t="s">
        <v>9829</v>
      </c>
      <c r="C123" s="697" t="s">
        <v>9830</v>
      </c>
      <c r="D123" s="738" t="s">
        <v>9831</v>
      </c>
      <c r="E123" s="700" t="s">
        <v>43</v>
      </c>
      <c r="F123" s="432" t="s">
        <v>96</v>
      </c>
      <c r="G123" s="702" t="s">
        <v>9372</v>
      </c>
      <c r="H123" s="697" t="s">
        <v>9373</v>
      </c>
      <c r="I123" s="697" t="s">
        <v>9361</v>
      </c>
      <c r="J123" s="705">
        <v>42767</v>
      </c>
      <c r="K123" s="705">
        <v>43100</v>
      </c>
      <c r="L123" s="704">
        <v>43465</v>
      </c>
      <c r="M123" s="704"/>
      <c r="N123" s="704"/>
      <c r="O123" s="432"/>
      <c r="P123" s="432"/>
      <c r="Q123" s="540">
        <f ca="1" t="shared" si="6"/>
        <v>192.61546296296</v>
      </c>
      <c r="R123" s="106" t="str">
        <f ca="1" t="shared" si="7"/>
        <v>ACTIVE</v>
      </c>
      <c r="S123" s="116">
        <v>2873036</v>
      </c>
      <c r="T123" s="750">
        <v>775000</v>
      </c>
      <c r="U123" s="750"/>
      <c r="V123" s="750"/>
      <c r="W123" s="750"/>
      <c r="X123" s="750"/>
      <c r="Y123" s="750"/>
      <c r="Z123" s="750"/>
      <c r="AA123" s="700" t="s">
        <v>113</v>
      </c>
      <c r="AB123" s="712" t="s">
        <v>8612</v>
      </c>
      <c r="AC123" s="718">
        <v>2500000</v>
      </c>
      <c r="AD123" s="700" t="s">
        <v>8613</v>
      </c>
      <c r="AE123" s="101" t="s">
        <v>9374</v>
      </c>
      <c r="AF123" s="719" t="s">
        <v>9832</v>
      </c>
      <c r="AG123" s="122" t="s">
        <v>9833</v>
      </c>
      <c r="AH123" s="122" t="s">
        <v>9834</v>
      </c>
      <c r="AI123" s="122" t="s">
        <v>9835</v>
      </c>
      <c r="AJ123" s="122" t="s">
        <v>5647</v>
      </c>
      <c r="AK123" s="122"/>
      <c r="AL123" s="723" t="s">
        <v>9836</v>
      </c>
      <c r="AM123" s="122" t="s">
        <v>9837</v>
      </c>
      <c r="AN123" s="221"/>
    </row>
    <row r="124" s="693" customFormat="1" ht="31.5" spans="1:44">
      <c r="A124" s="1585" t="s">
        <v>1288</v>
      </c>
      <c r="B124" s="735" t="s">
        <v>9838</v>
      </c>
      <c r="C124" s="736" t="s">
        <v>9839</v>
      </c>
      <c r="D124" s="737" t="s">
        <v>9840</v>
      </c>
      <c r="E124" s="740" t="s">
        <v>43</v>
      </c>
      <c r="F124" s="741" t="s">
        <v>60</v>
      </c>
      <c r="G124" s="742" t="s">
        <v>9384</v>
      </c>
      <c r="H124" s="697" t="s">
        <v>9458</v>
      </c>
      <c r="I124" s="697" t="s">
        <v>9348</v>
      </c>
      <c r="J124" s="745">
        <v>42767</v>
      </c>
      <c r="K124" s="745">
        <v>43100</v>
      </c>
      <c r="L124" s="704">
        <v>43465</v>
      </c>
      <c r="M124" s="746"/>
      <c r="N124" s="746"/>
      <c r="O124" s="741"/>
      <c r="P124" s="741"/>
      <c r="Q124" s="751">
        <f ca="1" t="shared" si="6"/>
        <v>192.61546296296</v>
      </c>
      <c r="R124" s="748" t="str">
        <f ca="1" t="shared" si="7"/>
        <v>ACTIVE</v>
      </c>
      <c r="S124" s="749">
        <v>3149431</v>
      </c>
      <c r="T124" s="749">
        <v>775000</v>
      </c>
      <c r="U124" s="749">
        <v>50000</v>
      </c>
      <c r="V124" s="749"/>
      <c r="W124" s="749">
        <v>500000</v>
      </c>
      <c r="X124" s="749">
        <v>1000000</v>
      </c>
      <c r="Y124" s="749">
        <v>150000</v>
      </c>
      <c r="Z124" s="749"/>
      <c r="AA124" s="749">
        <v>1500000</v>
      </c>
      <c r="AB124" s="753" t="s">
        <v>8612</v>
      </c>
      <c r="AC124" s="718">
        <v>2000000</v>
      </c>
      <c r="AD124" s="700" t="s">
        <v>8613</v>
      </c>
      <c r="AE124" s="741" t="s">
        <v>9690</v>
      </c>
      <c r="AF124" s="755" t="s">
        <v>9841</v>
      </c>
      <c r="AG124" s="756" t="s">
        <v>9842</v>
      </c>
      <c r="AH124" s="756" t="s">
        <v>9843</v>
      </c>
      <c r="AI124" s="756" t="s">
        <v>9844</v>
      </c>
      <c r="AJ124" s="756" t="s">
        <v>5647</v>
      </c>
      <c r="AK124" s="756"/>
      <c r="AL124" s="757" t="s">
        <v>9845</v>
      </c>
      <c r="AM124" s="756" t="s">
        <v>9846</v>
      </c>
      <c r="AN124" s="759"/>
      <c r="AO124" s="156"/>
      <c r="AP124" s="156"/>
      <c r="AQ124" s="156"/>
      <c r="AR124" s="156"/>
    </row>
    <row r="125" ht="31.5" spans="1:40">
      <c r="A125" s="1585" t="s">
        <v>1296</v>
      </c>
      <c r="B125" s="100" t="s">
        <v>9847</v>
      </c>
      <c r="C125" s="697" t="s">
        <v>9848</v>
      </c>
      <c r="D125" s="738" t="s">
        <v>9849</v>
      </c>
      <c r="E125" s="700" t="s">
        <v>125</v>
      </c>
      <c r="F125" s="432" t="s">
        <v>254</v>
      </c>
      <c r="G125" s="702" t="s">
        <v>9850</v>
      </c>
      <c r="H125" s="697" t="s">
        <v>9103</v>
      </c>
      <c r="I125" s="697" t="s">
        <v>9361</v>
      </c>
      <c r="J125" s="705">
        <v>42767</v>
      </c>
      <c r="K125" s="705">
        <v>43100</v>
      </c>
      <c r="L125" s="704">
        <v>43465</v>
      </c>
      <c r="M125" s="704"/>
      <c r="N125" s="704"/>
      <c r="O125" s="432"/>
      <c r="P125" s="432"/>
      <c r="Q125" s="540">
        <f ca="1" t="shared" si="6"/>
        <v>192.61546296296</v>
      </c>
      <c r="R125" s="106" t="str">
        <f ca="1" t="shared" si="7"/>
        <v>ACTIVE</v>
      </c>
      <c r="S125" s="750">
        <v>3049500</v>
      </c>
      <c r="T125" s="750">
        <v>775000</v>
      </c>
      <c r="U125" s="750"/>
      <c r="V125" s="750"/>
      <c r="W125" s="750"/>
      <c r="X125" s="750"/>
      <c r="Y125" s="750"/>
      <c r="Z125" s="750"/>
      <c r="AA125" s="700" t="s">
        <v>113</v>
      </c>
      <c r="AB125" s="712" t="s">
        <v>8612</v>
      </c>
      <c r="AC125" s="718">
        <v>2250000</v>
      </c>
      <c r="AD125" s="700" t="s">
        <v>8613</v>
      </c>
      <c r="AE125" s="432" t="s">
        <v>9851</v>
      </c>
      <c r="AF125" s="719" t="s">
        <v>9852</v>
      </c>
      <c r="AG125" s="122" t="s">
        <v>9853</v>
      </c>
      <c r="AH125" s="122" t="s">
        <v>9854</v>
      </c>
      <c r="AI125" s="122" t="s">
        <v>9855</v>
      </c>
      <c r="AJ125" s="122" t="s">
        <v>5647</v>
      </c>
      <c r="AK125" s="122"/>
      <c r="AL125" s="723" t="s">
        <v>9856</v>
      </c>
      <c r="AM125" s="122" t="s">
        <v>9857</v>
      </c>
      <c r="AN125" s="221"/>
    </row>
    <row r="126" ht="31.5" spans="1:40">
      <c r="A126" s="1585" t="s">
        <v>1307</v>
      </c>
      <c r="B126" s="100" t="s">
        <v>9858</v>
      </c>
      <c r="C126" s="697" t="s">
        <v>9859</v>
      </c>
      <c r="D126" s="738" t="s">
        <v>9860</v>
      </c>
      <c r="E126" s="700" t="s">
        <v>125</v>
      </c>
      <c r="F126" s="432" t="s">
        <v>44</v>
      </c>
      <c r="G126" s="702" t="s">
        <v>9861</v>
      </c>
      <c r="H126" s="697" t="s">
        <v>9862</v>
      </c>
      <c r="I126" s="697" t="s">
        <v>9863</v>
      </c>
      <c r="J126" s="705">
        <v>42767</v>
      </c>
      <c r="K126" s="705">
        <v>43100</v>
      </c>
      <c r="L126" s="704">
        <v>43465</v>
      </c>
      <c r="M126" s="704"/>
      <c r="N126" s="704"/>
      <c r="O126" s="432"/>
      <c r="P126" s="432"/>
      <c r="Q126" s="540">
        <f ca="1" t="shared" si="6"/>
        <v>192.61546296296</v>
      </c>
      <c r="R126" s="106" t="str">
        <f ca="1" t="shared" si="7"/>
        <v>ACTIVE</v>
      </c>
      <c r="S126" s="750">
        <v>7871850</v>
      </c>
      <c r="T126" s="750">
        <v>935000</v>
      </c>
      <c r="U126" s="750"/>
      <c r="V126" s="750"/>
      <c r="W126" s="750"/>
      <c r="X126" s="750"/>
      <c r="Y126" s="750"/>
      <c r="Z126" s="750">
        <v>16868250</v>
      </c>
      <c r="AA126" s="700" t="s">
        <v>112</v>
      </c>
      <c r="AB126" s="712" t="s">
        <v>9864</v>
      </c>
      <c r="AC126" s="718" t="s">
        <v>9865</v>
      </c>
      <c r="AD126" s="700" t="s">
        <v>9866</v>
      </c>
      <c r="AE126" s="432"/>
      <c r="AF126" s="719" t="s">
        <v>9867</v>
      </c>
      <c r="AG126" s="122" t="s">
        <v>9868</v>
      </c>
      <c r="AH126" s="122" t="s">
        <v>9869</v>
      </c>
      <c r="AI126" s="122" t="s">
        <v>9870</v>
      </c>
      <c r="AJ126" s="122" t="s">
        <v>9871</v>
      </c>
      <c r="AK126" s="122" t="s">
        <v>9872</v>
      </c>
      <c r="AL126" s="723" t="s">
        <v>9873</v>
      </c>
      <c r="AM126" s="122" t="s">
        <v>9874</v>
      </c>
      <c r="AN126" s="221"/>
    </row>
    <row r="127" ht="31.5" spans="1:40">
      <c r="A127" s="1585" t="s">
        <v>1318</v>
      </c>
      <c r="B127" s="100" t="s">
        <v>9875</v>
      </c>
      <c r="C127" s="697" t="s">
        <v>9876</v>
      </c>
      <c r="D127" s="738" t="s">
        <v>9877</v>
      </c>
      <c r="E127" s="700" t="s">
        <v>125</v>
      </c>
      <c r="F127" s="432" t="s">
        <v>254</v>
      </c>
      <c r="G127" s="702" t="s">
        <v>9878</v>
      </c>
      <c r="H127" s="697" t="s">
        <v>9748</v>
      </c>
      <c r="I127" s="697" t="s">
        <v>9361</v>
      </c>
      <c r="J127" s="705">
        <v>42767</v>
      </c>
      <c r="K127" s="705">
        <v>43100</v>
      </c>
      <c r="L127" s="704">
        <v>43465</v>
      </c>
      <c r="M127" s="704"/>
      <c r="N127" s="704"/>
      <c r="O127" s="432"/>
      <c r="P127" s="432"/>
      <c r="Q127" s="540">
        <f ca="1" t="shared" ref="Q127:Q149" si="8">SUM(L127-NOW())</f>
        <v>192.61546296296</v>
      </c>
      <c r="R127" s="106" t="str">
        <f ca="1" t="shared" si="7"/>
        <v>ACTIVE</v>
      </c>
      <c r="S127" s="750">
        <v>3636930</v>
      </c>
      <c r="T127" s="750">
        <v>775000</v>
      </c>
      <c r="U127" s="750"/>
      <c r="V127" s="750"/>
      <c r="W127" s="750"/>
      <c r="X127" s="750"/>
      <c r="Y127" s="750"/>
      <c r="Z127" s="750"/>
      <c r="AA127" s="700" t="s">
        <v>113</v>
      </c>
      <c r="AB127" s="712" t="s">
        <v>8612</v>
      </c>
      <c r="AC127" s="718">
        <v>2250000</v>
      </c>
      <c r="AD127" s="700" t="s">
        <v>8613</v>
      </c>
      <c r="AE127" s="432"/>
      <c r="AF127" s="719" t="s">
        <v>9879</v>
      </c>
      <c r="AG127" s="122" t="s">
        <v>9880</v>
      </c>
      <c r="AH127" s="122" t="s">
        <v>9881</v>
      </c>
      <c r="AI127" s="122" t="s">
        <v>9882</v>
      </c>
      <c r="AJ127" s="122" t="s">
        <v>5647</v>
      </c>
      <c r="AK127" s="122" t="s">
        <v>9883</v>
      </c>
      <c r="AL127" s="723" t="s">
        <v>9884</v>
      </c>
      <c r="AM127" s="122" t="s">
        <v>9885</v>
      </c>
      <c r="AN127" s="221"/>
    </row>
    <row r="128" ht="31.5" spans="1:40">
      <c r="A128" s="1585" t="s">
        <v>1330</v>
      </c>
      <c r="B128" s="100" t="s">
        <v>9886</v>
      </c>
      <c r="C128" s="697" t="s">
        <v>9887</v>
      </c>
      <c r="D128" s="738" t="s">
        <v>9888</v>
      </c>
      <c r="E128" s="700" t="s">
        <v>125</v>
      </c>
      <c r="F128" s="432" t="s">
        <v>44</v>
      </c>
      <c r="G128" s="702" t="s">
        <v>9457</v>
      </c>
      <c r="H128" s="697" t="s">
        <v>9458</v>
      </c>
      <c r="I128" s="697" t="s">
        <v>9348</v>
      </c>
      <c r="J128" s="705">
        <v>42767</v>
      </c>
      <c r="K128" s="705">
        <v>43100</v>
      </c>
      <c r="L128" s="704">
        <v>43465</v>
      </c>
      <c r="M128" s="704"/>
      <c r="N128" s="704"/>
      <c r="O128" s="432"/>
      <c r="P128" s="432"/>
      <c r="Q128" s="540">
        <f ca="1" t="shared" si="8"/>
        <v>192.61546296296</v>
      </c>
      <c r="R128" s="106" t="str">
        <f ca="1" t="shared" si="7"/>
        <v>ACTIVE</v>
      </c>
      <c r="S128" s="750">
        <v>3737500</v>
      </c>
      <c r="T128" s="750">
        <v>775000</v>
      </c>
      <c r="U128" s="750"/>
      <c r="V128" s="750"/>
      <c r="W128" s="750"/>
      <c r="X128" s="750"/>
      <c r="Y128" s="750"/>
      <c r="Z128" s="750"/>
      <c r="AA128" s="700" t="s">
        <v>112</v>
      </c>
      <c r="AB128" s="712" t="s">
        <v>8612</v>
      </c>
      <c r="AC128" s="718">
        <v>1500000</v>
      </c>
      <c r="AD128" s="700" t="s">
        <v>8613</v>
      </c>
      <c r="AE128" s="432"/>
      <c r="AF128" s="719" t="s">
        <v>9889</v>
      </c>
      <c r="AG128" s="122" t="s">
        <v>9890</v>
      </c>
      <c r="AH128" s="122" t="s">
        <v>9891</v>
      </c>
      <c r="AI128" s="122" t="s">
        <v>9892</v>
      </c>
      <c r="AJ128" s="122" t="s">
        <v>5647</v>
      </c>
      <c r="AK128" s="122" t="s">
        <v>9893</v>
      </c>
      <c r="AL128" s="723" t="s">
        <v>9894</v>
      </c>
      <c r="AM128" s="122" t="s">
        <v>9895</v>
      </c>
      <c r="AN128" s="221"/>
    </row>
    <row r="129" ht="31.5" spans="1:40">
      <c r="A129" s="1585" t="s">
        <v>1339</v>
      </c>
      <c r="B129" s="100" t="s">
        <v>9896</v>
      </c>
      <c r="C129" s="697" t="s">
        <v>9897</v>
      </c>
      <c r="D129" s="738" t="s">
        <v>9898</v>
      </c>
      <c r="E129" s="700" t="s">
        <v>125</v>
      </c>
      <c r="F129" s="432" t="s">
        <v>6039</v>
      </c>
      <c r="G129" s="702" t="s">
        <v>9899</v>
      </c>
      <c r="H129" s="697" t="s">
        <v>1924</v>
      </c>
      <c r="I129" s="697" t="s">
        <v>9361</v>
      </c>
      <c r="J129" s="705">
        <v>42767</v>
      </c>
      <c r="K129" s="705">
        <v>43100</v>
      </c>
      <c r="L129" s="704">
        <v>43281</v>
      </c>
      <c r="N129" s="704"/>
      <c r="O129" s="432"/>
      <c r="P129" s="432"/>
      <c r="Q129" s="540">
        <f ca="1" t="shared" si="8"/>
        <v>8.61546296296001</v>
      </c>
      <c r="R129" s="106" t="str">
        <f ca="1" t="shared" si="7"/>
        <v>WARNING</v>
      </c>
      <c r="S129" s="750">
        <v>3536136</v>
      </c>
      <c r="T129" s="750">
        <v>775000</v>
      </c>
      <c r="U129" s="750"/>
      <c r="V129" s="750"/>
      <c r="W129" s="750"/>
      <c r="X129" s="750"/>
      <c r="Y129" s="750"/>
      <c r="Z129" s="750"/>
      <c r="AA129" s="700" t="s">
        <v>112</v>
      </c>
      <c r="AB129" s="712" t="s">
        <v>8612</v>
      </c>
      <c r="AC129" s="718">
        <v>2250000</v>
      </c>
      <c r="AD129" s="700" t="s">
        <v>8613</v>
      </c>
      <c r="AE129" s="432"/>
      <c r="AF129" s="719" t="s">
        <v>9900</v>
      </c>
      <c r="AG129" s="122" t="s">
        <v>9901</v>
      </c>
      <c r="AH129" s="122" t="s">
        <v>9902</v>
      </c>
      <c r="AI129" s="122" t="s">
        <v>9903</v>
      </c>
      <c r="AJ129" s="122" t="s">
        <v>5647</v>
      </c>
      <c r="AK129" s="122"/>
      <c r="AL129" s="723" t="s">
        <v>9904</v>
      </c>
      <c r="AM129" s="122" t="s">
        <v>9905</v>
      </c>
      <c r="AN129" s="221"/>
    </row>
    <row r="130" ht="31.5" spans="1:40">
      <c r="A130" s="1585" t="s">
        <v>1348</v>
      </c>
      <c r="B130" s="100" t="s">
        <v>9906</v>
      </c>
      <c r="C130" s="697" t="s">
        <v>9907</v>
      </c>
      <c r="D130" s="738" t="s">
        <v>9908</v>
      </c>
      <c r="E130" s="700" t="s">
        <v>125</v>
      </c>
      <c r="F130" s="432" t="s">
        <v>60</v>
      </c>
      <c r="G130" s="702" t="s">
        <v>9372</v>
      </c>
      <c r="H130" s="697" t="s">
        <v>9373</v>
      </c>
      <c r="I130" s="697" t="s">
        <v>9361</v>
      </c>
      <c r="J130" s="705">
        <v>42767</v>
      </c>
      <c r="K130" s="705">
        <v>43100</v>
      </c>
      <c r="L130" s="704">
        <v>43465</v>
      </c>
      <c r="M130" s="704"/>
      <c r="N130" s="704"/>
      <c r="O130" s="432"/>
      <c r="P130" s="432"/>
      <c r="Q130" s="540">
        <f ca="1" t="shared" si="8"/>
        <v>192.61546296296</v>
      </c>
      <c r="R130" s="106" t="str">
        <f ca="1" t="shared" si="7"/>
        <v>ACTIVE</v>
      </c>
      <c r="S130" s="116">
        <v>2873036</v>
      </c>
      <c r="T130" s="750">
        <v>775000</v>
      </c>
      <c r="U130" s="750"/>
      <c r="V130" s="750"/>
      <c r="W130" s="750"/>
      <c r="X130" s="750"/>
      <c r="Y130" s="750"/>
      <c r="Z130" s="750"/>
      <c r="AA130" s="700" t="s">
        <v>113</v>
      </c>
      <c r="AB130" s="712" t="s">
        <v>8612</v>
      </c>
      <c r="AC130" s="718">
        <v>2000000</v>
      </c>
      <c r="AD130" s="700" t="s">
        <v>8613</v>
      </c>
      <c r="AE130" s="101" t="s">
        <v>9374</v>
      </c>
      <c r="AF130" s="719" t="s">
        <v>9909</v>
      </c>
      <c r="AG130" s="122" t="s">
        <v>9910</v>
      </c>
      <c r="AH130" s="122" t="s">
        <v>9911</v>
      </c>
      <c r="AI130" s="122" t="s">
        <v>9912</v>
      </c>
      <c r="AJ130" s="122" t="s">
        <v>9913</v>
      </c>
      <c r="AK130" s="122"/>
      <c r="AL130" s="723" t="s">
        <v>9914</v>
      </c>
      <c r="AM130" s="122" t="s">
        <v>9915</v>
      </c>
      <c r="AN130" s="221"/>
    </row>
    <row r="131" ht="31.5" spans="1:40">
      <c r="A131" s="1585" t="s">
        <v>1357</v>
      </c>
      <c r="B131" s="100" t="s">
        <v>9916</v>
      </c>
      <c r="C131" s="697" t="s">
        <v>9917</v>
      </c>
      <c r="D131" s="738" t="s">
        <v>9918</v>
      </c>
      <c r="E131" s="700" t="s">
        <v>43</v>
      </c>
      <c r="F131" s="432" t="s">
        <v>44</v>
      </c>
      <c r="G131" s="702" t="s">
        <v>9457</v>
      </c>
      <c r="H131" s="697" t="s">
        <v>9458</v>
      </c>
      <c r="I131" s="697" t="s">
        <v>9348</v>
      </c>
      <c r="J131" s="705">
        <v>42767</v>
      </c>
      <c r="K131" s="705">
        <v>43100</v>
      </c>
      <c r="L131" s="704">
        <v>43465</v>
      </c>
      <c r="M131" s="704"/>
      <c r="N131" s="704"/>
      <c r="O131" s="432"/>
      <c r="P131" s="432"/>
      <c r="Q131" s="540">
        <f ca="1" t="shared" si="8"/>
        <v>192.61546296296</v>
      </c>
      <c r="R131" s="106" t="str">
        <f ca="1" t="shared" si="7"/>
        <v>ACTIVE</v>
      </c>
      <c r="S131" s="750">
        <v>3308750</v>
      </c>
      <c r="T131" s="750">
        <v>775000</v>
      </c>
      <c r="U131" s="750"/>
      <c r="V131" s="750"/>
      <c r="W131" s="750"/>
      <c r="X131" s="750"/>
      <c r="Y131" s="750"/>
      <c r="Z131" s="750"/>
      <c r="AA131" s="700" t="s">
        <v>112</v>
      </c>
      <c r="AB131" s="712" t="s">
        <v>8612</v>
      </c>
      <c r="AC131" s="718">
        <v>1500000</v>
      </c>
      <c r="AD131" s="700" t="s">
        <v>8613</v>
      </c>
      <c r="AE131" s="432"/>
      <c r="AF131" s="719" t="s">
        <v>9919</v>
      </c>
      <c r="AG131" s="122" t="s">
        <v>9920</v>
      </c>
      <c r="AH131" s="122" t="s">
        <v>9921</v>
      </c>
      <c r="AI131" s="122" t="s">
        <v>9922</v>
      </c>
      <c r="AJ131" s="122" t="s">
        <v>5647</v>
      </c>
      <c r="AK131" s="122" t="s">
        <v>9530</v>
      </c>
      <c r="AL131" s="723" t="s">
        <v>9923</v>
      </c>
      <c r="AM131" s="122" t="s">
        <v>9924</v>
      </c>
      <c r="AN131" s="221"/>
    </row>
    <row r="132" ht="31.5" spans="1:40">
      <c r="A132" s="1585" t="s">
        <v>3139</v>
      </c>
      <c r="B132" s="100" t="s">
        <v>9925</v>
      </c>
      <c r="C132" s="697" t="s">
        <v>9926</v>
      </c>
      <c r="D132" s="738">
        <v>29148</v>
      </c>
      <c r="E132" s="700" t="s">
        <v>43</v>
      </c>
      <c r="F132" s="432" t="s">
        <v>60</v>
      </c>
      <c r="G132" s="702" t="s">
        <v>9927</v>
      </c>
      <c r="H132" s="697" t="s">
        <v>9928</v>
      </c>
      <c r="I132" s="697" t="s">
        <v>9361</v>
      </c>
      <c r="J132" s="705">
        <v>42767</v>
      </c>
      <c r="K132" s="705">
        <v>43100</v>
      </c>
      <c r="L132" s="704">
        <v>43465</v>
      </c>
      <c r="M132" s="704"/>
      <c r="N132" s="704"/>
      <c r="O132" s="432"/>
      <c r="P132" s="432"/>
      <c r="Q132" s="540">
        <f ca="1" t="shared" si="8"/>
        <v>192.61546296296</v>
      </c>
      <c r="R132" s="106" t="str">
        <f ca="1" t="shared" si="7"/>
        <v>ACTIVE</v>
      </c>
      <c r="S132" s="750">
        <v>5459950</v>
      </c>
      <c r="T132" s="750">
        <v>775000</v>
      </c>
      <c r="U132" s="750"/>
      <c r="V132" s="750"/>
      <c r="W132" s="750"/>
      <c r="X132" s="750"/>
      <c r="Y132" s="750"/>
      <c r="Z132" s="750"/>
      <c r="AA132" s="700" t="s">
        <v>112</v>
      </c>
      <c r="AB132" s="712" t="s">
        <v>8612</v>
      </c>
      <c r="AC132" s="718">
        <v>2000000</v>
      </c>
      <c r="AD132" s="700" t="s">
        <v>8613</v>
      </c>
      <c r="AE132" s="432"/>
      <c r="AF132" s="719" t="s">
        <v>9929</v>
      </c>
      <c r="AG132" s="122" t="s">
        <v>9930</v>
      </c>
      <c r="AH132" s="122" t="s">
        <v>9931</v>
      </c>
      <c r="AI132" s="122" t="s">
        <v>9932</v>
      </c>
      <c r="AJ132" s="122" t="s">
        <v>9933</v>
      </c>
      <c r="AK132" s="122" t="s">
        <v>9934</v>
      </c>
      <c r="AL132" s="723" t="s">
        <v>9367</v>
      </c>
      <c r="AM132" s="122" t="s">
        <v>9935</v>
      </c>
      <c r="AN132" s="221"/>
    </row>
    <row r="133" ht="31.5" spans="1:40">
      <c r="A133" s="1585" t="s">
        <v>1368</v>
      </c>
      <c r="B133" s="100" t="s">
        <v>9936</v>
      </c>
      <c r="C133" s="697" t="s">
        <v>9937</v>
      </c>
      <c r="D133" s="738" t="s">
        <v>9938</v>
      </c>
      <c r="E133" s="700" t="s">
        <v>43</v>
      </c>
      <c r="F133" s="432" t="s">
        <v>44</v>
      </c>
      <c r="G133" s="702" t="s">
        <v>9372</v>
      </c>
      <c r="H133" s="697" t="s">
        <v>9373</v>
      </c>
      <c r="I133" s="697" t="s">
        <v>9361</v>
      </c>
      <c r="J133" s="705">
        <v>42767</v>
      </c>
      <c r="K133" s="705">
        <v>43100</v>
      </c>
      <c r="L133" s="704">
        <v>43465</v>
      </c>
      <c r="M133" s="704"/>
      <c r="N133" s="704"/>
      <c r="O133" s="432"/>
      <c r="P133" s="432"/>
      <c r="Q133" s="540">
        <f ca="1" t="shared" si="8"/>
        <v>192.61546296296</v>
      </c>
      <c r="R133" s="106" t="str">
        <f ca="1" t="shared" si="7"/>
        <v>ACTIVE</v>
      </c>
      <c r="S133" s="116">
        <v>2873036</v>
      </c>
      <c r="T133" s="750">
        <v>775000</v>
      </c>
      <c r="U133" s="750"/>
      <c r="V133" s="750"/>
      <c r="W133" s="750"/>
      <c r="X133" s="750"/>
      <c r="Y133" s="750"/>
      <c r="Z133" s="750"/>
      <c r="AA133" s="700" t="s">
        <v>113</v>
      </c>
      <c r="AB133" s="712" t="s">
        <v>8612</v>
      </c>
      <c r="AC133" s="718">
        <v>1500000</v>
      </c>
      <c r="AD133" s="700" t="s">
        <v>8613</v>
      </c>
      <c r="AE133" s="101" t="s">
        <v>9374</v>
      </c>
      <c r="AF133" s="719" t="s">
        <v>9939</v>
      </c>
      <c r="AG133" s="122" t="s">
        <v>9940</v>
      </c>
      <c r="AH133" s="122" t="s">
        <v>9941</v>
      </c>
      <c r="AI133" s="122" t="s">
        <v>9942</v>
      </c>
      <c r="AJ133" s="122" t="s">
        <v>9943</v>
      </c>
      <c r="AK133" s="122" t="s">
        <v>9944</v>
      </c>
      <c r="AL133" s="723" t="s">
        <v>9945</v>
      </c>
      <c r="AM133" s="122" t="s">
        <v>9946</v>
      </c>
      <c r="AN133" s="221"/>
    </row>
    <row r="134" ht="31.5" spans="1:40">
      <c r="A134" s="1585" t="s">
        <v>1378</v>
      </c>
      <c r="B134" s="100" t="s">
        <v>9947</v>
      </c>
      <c r="C134" s="697" t="s">
        <v>9948</v>
      </c>
      <c r="D134" s="738" t="s">
        <v>9949</v>
      </c>
      <c r="E134" s="700" t="s">
        <v>43</v>
      </c>
      <c r="F134" s="432" t="s">
        <v>404</v>
      </c>
      <c r="G134" s="702" t="s">
        <v>9372</v>
      </c>
      <c r="H134" s="697" t="s">
        <v>9373</v>
      </c>
      <c r="I134" s="697" t="s">
        <v>9361</v>
      </c>
      <c r="J134" s="705">
        <v>42767</v>
      </c>
      <c r="K134" s="705">
        <v>43100</v>
      </c>
      <c r="L134" s="704">
        <v>43465</v>
      </c>
      <c r="M134" s="704"/>
      <c r="N134" s="704"/>
      <c r="O134" s="432"/>
      <c r="P134" s="432"/>
      <c r="Q134" s="540">
        <f ca="1" t="shared" si="8"/>
        <v>192.61546296296</v>
      </c>
      <c r="R134" s="106" t="str">
        <f ca="1" t="shared" si="7"/>
        <v>ACTIVE</v>
      </c>
      <c r="S134" s="116">
        <v>2873036</v>
      </c>
      <c r="T134" s="750">
        <v>775000</v>
      </c>
      <c r="U134" s="750"/>
      <c r="V134" s="750"/>
      <c r="W134" s="750"/>
      <c r="X134" s="750"/>
      <c r="Y134" s="750"/>
      <c r="Z134" s="750"/>
      <c r="AA134" s="700" t="s">
        <v>113</v>
      </c>
      <c r="AB134" s="712" t="s">
        <v>8612</v>
      </c>
      <c r="AC134" s="718">
        <v>1750000</v>
      </c>
      <c r="AD134" s="700" t="s">
        <v>8613</v>
      </c>
      <c r="AE134" s="101" t="s">
        <v>9374</v>
      </c>
      <c r="AF134" s="719" t="s">
        <v>9950</v>
      </c>
      <c r="AG134" s="122" t="s">
        <v>9951</v>
      </c>
      <c r="AH134" s="122" t="s">
        <v>9952</v>
      </c>
      <c r="AI134" s="122" t="s">
        <v>9953</v>
      </c>
      <c r="AJ134" s="122" t="s">
        <v>9954</v>
      </c>
      <c r="AK134" s="122"/>
      <c r="AL134" s="723" t="s">
        <v>9955</v>
      </c>
      <c r="AM134" s="122" t="s">
        <v>9956</v>
      </c>
      <c r="AN134" s="101"/>
    </row>
    <row r="135" ht="31.5" spans="1:40">
      <c r="A135" s="1585" t="s">
        <v>1386</v>
      </c>
      <c r="B135" s="100" t="s">
        <v>9957</v>
      </c>
      <c r="C135" s="697" t="s">
        <v>9958</v>
      </c>
      <c r="D135" s="738" t="s">
        <v>9959</v>
      </c>
      <c r="E135" s="700" t="s">
        <v>43</v>
      </c>
      <c r="F135" s="432" t="s">
        <v>254</v>
      </c>
      <c r="G135" s="702" t="s">
        <v>9960</v>
      </c>
      <c r="H135" s="697" t="s">
        <v>9961</v>
      </c>
      <c r="I135" s="697" t="s">
        <v>9361</v>
      </c>
      <c r="J135" s="705">
        <v>42767</v>
      </c>
      <c r="K135" s="705">
        <v>43100</v>
      </c>
      <c r="L135" s="704">
        <v>43465</v>
      </c>
      <c r="M135" s="704"/>
      <c r="N135" s="704"/>
      <c r="O135" s="432"/>
      <c r="P135" s="432"/>
      <c r="Q135" s="540">
        <f ca="1" t="shared" si="8"/>
        <v>192.61546296296</v>
      </c>
      <c r="R135" s="106" t="str">
        <f ca="1" t="shared" si="7"/>
        <v>ACTIVE</v>
      </c>
      <c r="S135" s="750">
        <v>4103460</v>
      </c>
      <c r="T135" s="750">
        <v>775000</v>
      </c>
      <c r="U135" s="750"/>
      <c r="V135" s="750"/>
      <c r="W135" s="750"/>
      <c r="X135" s="750"/>
      <c r="Y135" s="750"/>
      <c r="Z135" s="750"/>
      <c r="AA135" s="700" t="s">
        <v>112</v>
      </c>
      <c r="AB135" s="712" t="s">
        <v>8612</v>
      </c>
      <c r="AC135" s="718">
        <v>2250000</v>
      </c>
      <c r="AD135" s="700" t="s">
        <v>8613</v>
      </c>
      <c r="AE135" s="432"/>
      <c r="AF135" s="719" t="s">
        <v>9962</v>
      </c>
      <c r="AG135" s="122" t="s">
        <v>9963</v>
      </c>
      <c r="AH135" s="122" t="s">
        <v>9964</v>
      </c>
      <c r="AI135" s="122" t="s">
        <v>9965</v>
      </c>
      <c r="AJ135" s="122" t="s">
        <v>5647</v>
      </c>
      <c r="AK135" s="122" t="s">
        <v>9966</v>
      </c>
      <c r="AL135" s="723" t="s">
        <v>9967</v>
      </c>
      <c r="AM135" s="122" t="s">
        <v>9968</v>
      </c>
      <c r="AN135" s="221"/>
    </row>
    <row r="136" ht="31.5" spans="1:40">
      <c r="A136" s="1585" t="s">
        <v>1395</v>
      </c>
      <c r="B136" s="100" t="s">
        <v>9969</v>
      </c>
      <c r="C136" s="697" t="s">
        <v>9970</v>
      </c>
      <c r="D136" s="738" t="s">
        <v>9971</v>
      </c>
      <c r="E136" s="700" t="s">
        <v>43</v>
      </c>
      <c r="F136" s="432" t="s">
        <v>44</v>
      </c>
      <c r="G136" s="702" t="s">
        <v>9972</v>
      </c>
      <c r="H136" s="697" t="s">
        <v>9373</v>
      </c>
      <c r="I136" s="697" t="s">
        <v>9361</v>
      </c>
      <c r="J136" s="705">
        <v>42767</v>
      </c>
      <c r="K136" s="705">
        <v>43100</v>
      </c>
      <c r="L136" s="704">
        <v>43465</v>
      </c>
      <c r="M136" s="704"/>
      <c r="N136" s="704"/>
      <c r="O136" s="432"/>
      <c r="P136" s="432"/>
      <c r="Q136" s="540">
        <f ca="1" t="shared" si="8"/>
        <v>192.61546296296</v>
      </c>
      <c r="R136" s="106" t="str">
        <f ca="1" t="shared" si="7"/>
        <v>ACTIVE</v>
      </c>
      <c r="S136" s="116">
        <v>2873036</v>
      </c>
      <c r="T136" s="750">
        <v>775000</v>
      </c>
      <c r="U136" s="750"/>
      <c r="V136" s="750"/>
      <c r="W136" s="750"/>
      <c r="X136" s="750"/>
      <c r="Y136" s="750"/>
      <c r="Z136" s="750"/>
      <c r="AA136" s="700" t="s">
        <v>113</v>
      </c>
      <c r="AB136" s="712" t="s">
        <v>8612</v>
      </c>
      <c r="AC136" s="718">
        <v>1500000</v>
      </c>
      <c r="AD136" s="700" t="s">
        <v>8613</v>
      </c>
      <c r="AE136" s="101" t="s">
        <v>9374</v>
      </c>
      <c r="AF136" s="719" t="s">
        <v>9973</v>
      </c>
      <c r="AG136" s="122" t="s">
        <v>9974</v>
      </c>
      <c r="AH136" s="122" t="s">
        <v>9975</v>
      </c>
      <c r="AI136" s="122" t="s">
        <v>9976</v>
      </c>
      <c r="AJ136" s="122" t="s">
        <v>9977</v>
      </c>
      <c r="AK136" s="122"/>
      <c r="AL136" s="723" t="s">
        <v>9367</v>
      </c>
      <c r="AM136" s="122" t="s">
        <v>9978</v>
      </c>
      <c r="AN136" s="221"/>
    </row>
    <row r="137" ht="31.5" spans="1:40">
      <c r="A137" s="1585" t="s">
        <v>1404</v>
      </c>
      <c r="B137" s="100" t="s">
        <v>9979</v>
      </c>
      <c r="C137" s="697" t="s">
        <v>9980</v>
      </c>
      <c r="D137" s="738">
        <v>32079</v>
      </c>
      <c r="E137" s="700" t="s">
        <v>43</v>
      </c>
      <c r="F137" s="432" t="s">
        <v>60</v>
      </c>
      <c r="G137" s="702" t="s">
        <v>9972</v>
      </c>
      <c r="H137" s="697" t="s">
        <v>9373</v>
      </c>
      <c r="I137" s="697" t="s">
        <v>9361</v>
      </c>
      <c r="J137" s="705">
        <v>42767</v>
      </c>
      <c r="K137" s="705">
        <v>43100</v>
      </c>
      <c r="L137" s="704">
        <v>43465</v>
      </c>
      <c r="M137" s="704"/>
      <c r="N137" s="704"/>
      <c r="O137" s="432"/>
      <c r="P137" s="432"/>
      <c r="Q137" s="540">
        <f ca="1" t="shared" si="8"/>
        <v>192.61546296296</v>
      </c>
      <c r="R137" s="106" t="str">
        <f ca="1" t="shared" si="7"/>
        <v>ACTIVE</v>
      </c>
      <c r="S137" s="750">
        <v>2887500</v>
      </c>
      <c r="T137" s="750">
        <v>775000</v>
      </c>
      <c r="U137" s="750"/>
      <c r="V137" s="750"/>
      <c r="W137" s="750"/>
      <c r="X137" s="750"/>
      <c r="Y137" s="750"/>
      <c r="Z137" s="750"/>
      <c r="AA137" s="700" t="s">
        <v>113</v>
      </c>
      <c r="AB137" s="712" t="s">
        <v>8612</v>
      </c>
      <c r="AC137" s="718">
        <v>2000000</v>
      </c>
      <c r="AD137" s="700" t="s">
        <v>8613</v>
      </c>
      <c r="AE137" s="432"/>
      <c r="AF137" s="719" t="s">
        <v>9981</v>
      </c>
      <c r="AG137" s="122" t="s">
        <v>9982</v>
      </c>
      <c r="AH137" s="122" t="s">
        <v>9983</v>
      </c>
      <c r="AI137" s="122" t="s">
        <v>9984</v>
      </c>
      <c r="AJ137" s="122" t="s">
        <v>9985</v>
      </c>
      <c r="AK137" s="122"/>
      <c r="AL137" s="723" t="s">
        <v>9367</v>
      </c>
      <c r="AM137" s="122" t="s">
        <v>9986</v>
      </c>
      <c r="AN137" s="221"/>
    </row>
    <row r="138" ht="31.5" spans="1:40">
      <c r="A138" s="1585" t="s">
        <v>1413</v>
      </c>
      <c r="B138" s="100" t="s">
        <v>9987</v>
      </c>
      <c r="C138" s="697" t="s">
        <v>9988</v>
      </c>
      <c r="D138" s="738" t="s">
        <v>9989</v>
      </c>
      <c r="E138" s="700" t="s">
        <v>43</v>
      </c>
      <c r="F138" s="432" t="s">
        <v>6039</v>
      </c>
      <c r="G138" s="702" t="s">
        <v>9960</v>
      </c>
      <c r="H138" s="697" t="s">
        <v>9961</v>
      </c>
      <c r="I138" s="697" t="s">
        <v>9361</v>
      </c>
      <c r="J138" s="705">
        <v>42767</v>
      </c>
      <c r="K138" s="705">
        <v>43100</v>
      </c>
      <c r="L138" s="704">
        <v>43465</v>
      </c>
      <c r="M138" s="704"/>
      <c r="N138" s="704"/>
      <c r="O138" s="432"/>
      <c r="P138" s="432"/>
      <c r="Q138" s="540">
        <f ca="1" t="shared" si="8"/>
        <v>192.61546296296</v>
      </c>
      <c r="R138" s="106" t="str">
        <f ca="1" t="shared" si="7"/>
        <v>ACTIVE</v>
      </c>
      <c r="S138" s="750">
        <v>4488000</v>
      </c>
      <c r="T138" s="750">
        <v>775000</v>
      </c>
      <c r="U138" s="750"/>
      <c r="V138" s="750"/>
      <c r="W138" s="750"/>
      <c r="X138" s="750"/>
      <c r="Y138" s="750"/>
      <c r="Z138" s="750"/>
      <c r="AA138" s="700" t="s">
        <v>112</v>
      </c>
      <c r="AB138" s="712" t="s">
        <v>8612</v>
      </c>
      <c r="AC138" s="718">
        <v>2250000</v>
      </c>
      <c r="AD138" s="700" t="s">
        <v>8613</v>
      </c>
      <c r="AE138" s="432"/>
      <c r="AF138" s="719" t="s">
        <v>9990</v>
      </c>
      <c r="AG138" s="122" t="s">
        <v>9991</v>
      </c>
      <c r="AH138" s="122" t="s">
        <v>9992</v>
      </c>
      <c r="AI138" s="122" t="s">
        <v>9993</v>
      </c>
      <c r="AJ138" s="122" t="s">
        <v>9512</v>
      </c>
      <c r="AK138" s="122" t="s">
        <v>9512</v>
      </c>
      <c r="AL138" s="723" t="s">
        <v>9994</v>
      </c>
      <c r="AM138" s="122" t="s">
        <v>9995</v>
      </c>
      <c r="AN138" s="221"/>
    </row>
    <row r="139" ht="21" spans="1:40">
      <c r="A139" s="1585" t="s">
        <v>1421</v>
      </c>
      <c r="B139" s="100" t="s">
        <v>9996</v>
      </c>
      <c r="C139" s="697" t="s">
        <v>9997</v>
      </c>
      <c r="D139" s="738" t="s">
        <v>9998</v>
      </c>
      <c r="E139" s="700" t="s">
        <v>43</v>
      </c>
      <c r="F139" s="432" t="s">
        <v>44</v>
      </c>
      <c r="G139" s="702" t="s">
        <v>9999</v>
      </c>
      <c r="H139" s="697" t="s">
        <v>9862</v>
      </c>
      <c r="I139" s="697" t="s">
        <v>9361</v>
      </c>
      <c r="J139" s="705">
        <v>42767</v>
      </c>
      <c r="K139" s="705">
        <v>43100</v>
      </c>
      <c r="L139" s="704">
        <v>43465</v>
      </c>
      <c r="M139" s="704"/>
      <c r="N139" s="704"/>
      <c r="O139" s="432"/>
      <c r="P139" s="432"/>
      <c r="Q139" s="540">
        <f ca="1" t="shared" si="8"/>
        <v>192.61546296296</v>
      </c>
      <c r="R139" s="106" t="str">
        <f ca="1" t="shared" si="7"/>
        <v>ACTIVE</v>
      </c>
      <c r="S139" s="750">
        <v>5250000</v>
      </c>
      <c r="T139" s="750">
        <v>935000</v>
      </c>
      <c r="U139" s="750"/>
      <c r="V139" s="750"/>
      <c r="W139" s="750"/>
      <c r="X139" s="750"/>
      <c r="Y139" s="750"/>
      <c r="Z139" s="750">
        <v>8400000</v>
      </c>
      <c r="AA139" s="700" t="s">
        <v>112</v>
      </c>
      <c r="AB139" s="712" t="s">
        <v>9864</v>
      </c>
      <c r="AC139" s="718" t="s">
        <v>9865</v>
      </c>
      <c r="AD139" s="700" t="s">
        <v>9866</v>
      </c>
      <c r="AE139" s="432"/>
      <c r="AF139" s="719" t="s">
        <v>10000</v>
      </c>
      <c r="AG139" s="122" t="s">
        <v>10001</v>
      </c>
      <c r="AH139" s="122" t="s">
        <v>10002</v>
      </c>
      <c r="AI139" s="122" t="s">
        <v>10003</v>
      </c>
      <c r="AJ139" s="122" t="s">
        <v>10004</v>
      </c>
      <c r="AK139" s="122"/>
      <c r="AL139" s="723" t="s">
        <v>10005</v>
      </c>
      <c r="AM139" s="122" t="s">
        <v>10006</v>
      </c>
      <c r="AN139" s="221"/>
    </row>
    <row r="140" ht="31.5" spans="1:40">
      <c r="A140" s="1585" t="s">
        <v>1431</v>
      </c>
      <c r="B140" s="100" t="s">
        <v>10007</v>
      </c>
      <c r="C140" s="697" t="s">
        <v>10008</v>
      </c>
      <c r="D140" s="738" t="s">
        <v>10009</v>
      </c>
      <c r="E140" s="700" t="s">
        <v>43</v>
      </c>
      <c r="F140" s="432" t="s">
        <v>404</v>
      </c>
      <c r="G140" s="702" t="s">
        <v>10010</v>
      </c>
      <c r="H140" s="697" t="s">
        <v>10011</v>
      </c>
      <c r="I140" s="697" t="s">
        <v>9361</v>
      </c>
      <c r="J140" s="705">
        <v>42767</v>
      </c>
      <c r="K140" s="705">
        <v>43100</v>
      </c>
      <c r="L140" s="704">
        <v>43465</v>
      </c>
      <c r="M140" s="704"/>
      <c r="N140" s="704"/>
      <c r="O140" s="432"/>
      <c r="P140" s="432"/>
      <c r="Q140" s="540">
        <f ca="1" t="shared" si="8"/>
        <v>192.61546296296</v>
      </c>
      <c r="R140" s="106" t="str">
        <f ca="1" t="shared" si="7"/>
        <v>ACTIVE</v>
      </c>
      <c r="S140" s="750">
        <v>4406400</v>
      </c>
      <c r="T140" s="750">
        <v>775000</v>
      </c>
      <c r="U140" s="750"/>
      <c r="V140" s="750"/>
      <c r="W140" s="750"/>
      <c r="X140" s="750"/>
      <c r="Y140" s="750"/>
      <c r="Z140" s="750"/>
      <c r="AA140" s="700" t="s">
        <v>112</v>
      </c>
      <c r="AB140" s="712" t="s">
        <v>8612</v>
      </c>
      <c r="AC140" s="718">
        <v>1750000</v>
      </c>
      <c r="AD140" s="700" t="s">
        <v>8613</v>
      </c>
      <c r="AE140" s="432"/>
      <c r="AF140" s="719" t="s">
        <v>10012</v>
      </c>
      <c r="AG140" s="122" t="s">
        <v>10013</v>
      </c>
      <c r="AH140" s="122" t="s">
        <v>10014</v>
      </c>
      <c r="AI140" s="122" t="s">
        <v>10015</v>
      </c>
      <c r="AJ140" s="122" t="s">
        <v>10016</v>
      </c>
      <c r="AK140" s="122" t="s">
        <v>10017</v>
      </c>
      <c r="AL140" s="723" t="s">
        <v>10018</v>
      </c>
      <c r="AM140" s="122" t="s">
        <v>10019</v>
      </c>
      <c r="AN140" s="221"/>
    </row>
    <row r="141" ht="21" spans="1:40">
      <c r="A141" s="1585" t="s">
        <v>1440</v>
      </c>
      <c r="B141" s="100" t="s">
        <v>10020</v>
      </c>
      <c r="C141" s="697" t="s">
        <v>10021</v>
      </c>
      <c r="D141" s="738" t="s">
        <v>10022</v>
      </c>
      <c r="E141" s="700" t="s">
        <v>43</v>
      </c>
      <c r="F141" s="432" t="s">
        <v>44</v>
      </c>
      <c r="G141" s="702" t="s">
        <v>9999</v>
      </c>
      <c r="H141" s="697" t="s">
        <v>10023</v>
      </c>
      <c r="I141" s="697" t="s">
        <v>9361</v>
      </c>
      <c r="J141" s="705">
        <v>42767</v>
      </c>
      <c r="K141" s="705">
        <v>43100</v>
      </c>
      <c r="L141" s="704">
        <v>43465</v>
      </c>
      <c r="M141" s="704"/>
      <c r="N141" s="704"/>
      <c r="O141" s="432"/>
      <c r="P141" s="432"/>
      <c r="Q141" s="540">
        <f ca="1" t="shared" si="8"/>
        <v>192.61546296296</v>
      </c>
      <c r="R141" s="106" t="str">
        <f ca="1" t="shared" si="7"/>
        <v>ACTIVE</v>
      </c>
      <c r="S141" s="750">
        <v>4312000</v>
      </c>
      <c r="T141" s="750">
        <v>935000</v>
      </c>
      <c r="U141" s="750"/>
      <c r="V141" s="750"/>
      <c r="W141" s="750"/>
      <c r="X141" s="750"/>
      <c r="Y141" s="750"/>
      <c r="Z141" s="750">
        <v>12936000</v>
      </c>
      <c r="AA141" s="700" t="s">
        <v>112</v>
      </c>
      <c r="AB141" s="712" t="s">
        <v>9864</v>
      </c>
      <c r="AC141" s="718" t="s">
        <v>9865</v>
      </c>
      <c r="AD141" s="700" t="s">
        <v>9866</v>
      </c>
      <c r="AE141" s="432"/>
      <c r="AF141" s="719" t="s">
        <v>10024</v>
      </c>
      <c r="AG141" s="122" t="s">
        <v>10025</v>
      </c>
      <c r="AH141" s="122" t="s">
        <v>10026</v>
      </c>
      <c r="AI141" s="122" t="s">
        <v>10027</v>
      </c>
      <c r="AJ141" s="122" t="s">
        <v>10028</v>
      </c>
      <c r="AK141" s="122" t="s">
        <v>10029</v>
      </c>
      <c r="AL141" s="723" t="s">
        <v>10030</v>
      </c>
      <c r="AM141" s="122" t="s">
        <v>10031</v>
      </c>
      <c r="AN141" s="221"/>
    </row>
    <row r="142" ht="21" spans="1:40">
      <c r="A142" s="1585" t="s">
        <v>1446</v>
      </c>
      <c r="B142" s="100" t="s">
        <v>10032</v>
      </c>
      <c r="C142" s="697" t="s">
        <v>10033</v>
      </c>
      <c r="D142" s="738" t="s">
        <v>10034</v>
      </c>
      <c r="E142" s="700" t="s">
        <v>43</v>
      </c>
      <c r="F142" s="432" t="s">
        <v>44</v>
      </c>
      <c r="G142" s="702" t="s">
        <v>9999</v>
      </c>
      <c r="H142" s="697" t="s">
        <v>10023</v>
      </c>
      <c r="I142" s="697" t="s">
        <v>9361</v>
      </c>
      <c r="J142" s="705">
        <v>42767</v>
      </c>
      <c r="K142" s="705">
        <v>43100</v>
      </c>
      <c r="L142" s="704">
        <v>43465</v>
      </c>
      <c r="M142" s="704"/>
      <c r="N142" s="704"/>
      <c r="O142" s="432"/>
      <c r="P142" s="432"/>
      <c r="Q142" s="540">
        <f ca="1" t="shared" si="8"/>
        <v>192.61546296296</v>
      </c>
      <c r="R142" s="106" t="str">
        <f ca="1" t="shared" si="7"/>
        <v>ACTIVE</v>
      </c>
      <c r="S142" s="750">
        <v>4096400</v>
      </c>
      <c r="T142" s="750">
        <v>935000</v>
      </c>
      <c r="U142" s="750"/>
      <c r="V142" s="750"/>
      <c r="W142" s="750"/>
      <c r="X142" s="750"/>
      <c r="Y142" s="750"/>
      <c r="Z142" s="750">
        <v>9702000</v>
      </c>
      <c r="AA142" s="700" t="s">
        <v>112</v>
      </c>
      <c r="AB142" s="712" t="s">
        <v>9864</v>
      </c>
      <c r="AC142" s="718" t="s">
        <v>9865</v>
      </c>
      <c r="AD142" s="700" t="s">
        <v>9866</v>
      </c>
      <c r="AE142" s="432"/>
      <c r="AF142" s="719" t="s">
        <v>10035</v>
      </c>
      <c r="AG142" s="122" t="s">
        <v>10036</v>
      </c>
      <c r="AH142" s="122" t="s">
        <v>10037</v>
      </c>
      <c r="AI142" s="122" t="s">
        <v>10038</v>
      </c>
      <c r="AJ142" s="122" t="s">
        <v>10039</v>
      </c>
      <c r="AK142" s="122"/>
      <c r="AL142" s="723" t="s">
        <v>9367</v>
      </c>
      <c r="AM142" s="122" t="s">
        <v>10040</v>
      </c>
      <c r="AN142" s="221"/>
    </row>
    <row r="143" ht="31.5" spans="1:40">
      <c r="A143" s="1585" t="s">
        <v>1451</v>
      </c>
      <c r="B143" s="100" t="s">
        <v>10041</v>
      </c>
      <c r="C143" s="697" t="s">
        <v>10042</v>
      </c>
      <c r="D143" s="738" t="s">
        <v>10043</v>
      </c>
      <c r="E143" s="700" t="s">
        <v>43</v>
      </c>
      <c r="F143" s="432" t="s">
        <v>404</v>
      </c>
      <c r="G143" s="702" t="s">
        <v>9960</v>
      </c>
      <c r="H143" s="697" t="s">
        <v>9961</v>
      </c>
      <c r="I143" s="697" t="s">
        <v>9361</v>
      </c>
      <c r="J143" s="705">
        <v>42767</v>
      </c>
      <c r="K143" s="705">
        <v>43100</v>
      </c>
      <c r="L143" s="704">
        <v>43465</v>
      </c>
      <c r="M143" s="704"/>
      <c r="N143" s="704"/>
      <c r="O143" s="432"/>
      <c r="P143" s="432"/>
      <c r="Q143" s="540">
        <f ca="1" t="shared" si="8"/>
        <v>192.61546296296</v>
      </c>
      <c r="R143" s="106" t="str">
        <f ca="1" t="shared" si="7"/>
        <v>ACTIVE</v>
      </c>
      <c r="S143" s="750">
        <v>2916000</v>
      </c>
      <c r="T143" s="750">
        <v>775000</v>
      </c>
      <c r="U143" s="750"/>
      <c r="V143" s="750"/>
      <c r="W143" s="750"/>
      <c r="X143" s="750"/>
      <c r="Y143" s="750"/>
      <c r="Z143" s="750"/>
      <c r="AA143" s="700" t="s">
        <v>112</v>
      </c>
      <c r="AB143" s="712" t="s">
        <v>8612</v>
      </c>
      <c r="AC143" s="718">
        <v>1750000</v>
      </c>
      <c r="AD143" s="700" t="s">
        <v>8613</v>
      </c>
      <c r="AE143" s="432"/>
      <c r="AF143" s="719" t="s">
        <v>10044</v>
      </c>
      <c r="AG143" s="122" t="s">
        <v>10045</v>
      </c>
      <c r="AH143" s="122" t="s">
        <v>10046</v>
      </c>
      <c r="AI143" s="122" t="s">
        <v>10047</v>
      </c>
      <c r="AJ143" s="122" t="s">
        <v>10048</v>
      </c>
      <c r="AK143" s="122"/>
      <c r="AL143" s="723" t="s">
        <v>10049</v>
      </c>
      <c r="AM143" s="122" t="s">
        <v>10050</v>
      </c>
      <c r="AN143" s="221"/>
    </row>
    <row r="144" ht="31.5" spans="1:40">
      <c r="A144" s="1585" t="s">
        <v>1458</v>
      </c>
      <c r="B144" s="100" t="s">
        <v>10051</v>
      </c>
      <c r="C144" s="697" t="s">
        <v>10052</v>
      </c>
      <c r="D144" s="738" t="s">
        <v>10053</v>
      </c>
      <c r="E144" s="700" t="s">
        <v>43</v>
      </c>
      <c r="F144" s="432" t="s">
        <v>44</v>
      </c>
      <c r="G144" s="702" t="s">
        <v>9372</v>
      </c>
      <c r="H144" s="697" t="s">
        <v>9373</v>
      </c>
      <c r="I144" s="697" t="s">
        <v>9361</v>
      </c>
      <c r="J144" s="705">
        <v>42767</v>
      </c>
      <c r="K144" s="705">
        <v>43100</v>
      </c>
      <c r="L144" s="704">
        <v>43465</v>
      </c>
      <c r="M144" s="704"/>
      <c r="N144" s="704"/>
      <c r="O144" s="432"/>
      <c r="P144" s="432"/>
      <c r="Q144" s="540">
        <f ca="1" t="shared" si="8"/>
        <v>192.61546296296</v>
      </c>
      <c r="R144" s="106" t="str">
        <f ca="1" t="shared" si="7"/>
        <v>ACTIVE</v>
      </c>
      <c r="S144" s="750">
        <v>2887500</v>
      </c>
      <c r="T144" s="750">
        <v>775000</v>
      </c>
      <c r="U144" s="750"/>
      <c r="V144" s="750"/>
      <c r="W144" s="750"/>
      <c r="X144" s="750"/>
      <c r="Y144" s="750"/>
      <c r="Z144" s="750"/>
      <c r="AA144" s="700" t="s">
        <v>113</v>
      </c>
      <c r="AB144" s="712" t="s">
        <v>8612</v>
      </c>
      <c r="AC144" s="718">
        <v>1500000</v>
      </c>
      <c r="AD144" s="700" t="s">
        <v>8613</v>
      </c>
      <c r="AE144" s="432"/>
      <c r="AF144" s="719" t="s">
        <v>10054</v>
      </c>
      <c r="AG144" s="122" t="s">
        <v>10055</v>
      </c>
      <c r="AH144" s="122" t="s">
        <v>10056</v>
      </c>
      <c r="AI144" s="122" t="s">
        <v>10057</v>
      </c>
      <c r="AJ144" s="122" t="s">
        <v>10058</v>
      </c>
      <c r="AK144" s="122" t="s">
        <v>10059</v>
      </c>
      <c r="AL144" s="723" t="s">
        <v>10060</v>
      </c>
      <c r="AM144" s="122" t="s">
        <v>10061</v>
      </c>
      <c r="AN144" s="221"/>
    </row>
    <row r="145" ht="31.5" spans="1:40">
      <c r="A145" s="1585" t="s">
        <v>1467</v>
      </c>
      <c r="B145" s="100" t="s">
        <v>10062</v>
      </c>
      <c r="C145" s="697" t="s">
        <v>10063</v>
      </c>
      <c r="D145" s="738" t="s">
        <v>10064</v>
      </c>
      <c r="E145" s="700" t="s">
        <v>43</v>
      </c>
      <c r="F145" s="432" t="s">
        <v>44</v>
      </c>
      <c r="G145" s="702" t="s">
        <v>9372</v>
      </c>
      <c r="H145" s="697" t="s">
        <v>9373</v>
      </c>
      <c r="I145" s="697" t="s">
        <v>9361</v>
      </c>
      <c r="J145" s="705">
        <v>42767</v>
      </c>
      <c r="K145" s="705">
        <v>43100</v>
      </c>
      <c r="L145" s="704">
        <v>43465</v>
      </c>
      <c r="M145" s="704"/>
      <c r="N145" s="704"/>
      <c r="O145" s="432"/>
      <c r="P145" s="432"/>
      <c r="Q145" s="540">
        <f ca="1" t="shared" si="8"/>
        <v>192.61546296296</v>
      </c>
      <c r="R145" s="106" t="str">
        <f ca="1" t="shared" si="7"/>
        <v>ACTIVE</v>
      </c>
      <c r="S145" s="116">
        <v>2873036</v>
      </c>
      <c r="T145" s="750">
        <v>775000</v>
      </c>
      <c r="U145" s="750"/>
      <c r="V145" s="750"/>
      <c r="W145" s="750"/>
      <c r="X145" s="750"/>
      <c r="Y145" s="750"/>
      <c r="Z145" s="750"/>
      <c r="AA145" s="700" t="s">
        <v>113</v>
      </c>
      <c r="AB145" s="712" t="s">
        <v>8612</v>
      </c>
      <c r="AC145" s="718">
        <v>1500000</v>
      </c>
      <c r="AD145" s="700" t="s">
        <v>8613</v>
      </c>
      <c r="AE145" s="101" t="s">
        <v>9374</v>
      </c>
      <c r="AF145" s="719" t="s">
        <v>10065</v>
      </c>
      <c r="AG145" s="122" t="s">
        <v>10066</v>
      </c>
      <c r="AH145" s="122" t="s">
        <v>10067</v>
      </c>
      <c r="AI145" s="122" t="s">
        <v>10068</v>
      </c>
      <c r="AJ145" s="122" t="s">
        <v>10069</v>
      </c>
      <c r="AK145" s="122" t="s">
        <v>10070</v>
      </c>
      <c r="AL145" s="723" t="s">
        <v>10071</v>
      </c>
      <c r="AM145" s="122" t="s">
        <v>10072</v>
      </c>
      <c r="AN145" s="221"/>
    </row>
    <row r="146" ht="31.5" spans="1:40">
      <c r="A146" s="1585" t="s">
        <v>1479</v>
      </c>
      <c r="B146" s="100" t="s">
        <v>10073</v>
      </c>
      <c r="C146" s="697" t="s">
        <v>10074</v>
      </c>
      <c r="D146" s="738" t="s">
        <v>10075</v>
      </c>
      <c r="E146" s="700" t="s">
        <v>125</v>
      </c>
      <c r="F146" s="432" t="s">
        <v>44</v>
      </c>
      <c r="G146" s="702" t="s">
        <v>9457</v>
      </c>
      <c r="H146" s="697" t="s">
        <v>9458</v>
      </c>
      <c r="I146" s="697" t="s">
        <v>9348</v>
      </c>
      <c r="J146" s="705">
        <v>42767</v>
      </c>
      <c r="K146" s="705">
        <v>43100</v>
      </c>
      <c r="L146" s="704">
        <v>43465</v>
      </c>
      <c r="M146" s="704"/>
      <c r="N146" s="704"/>
      <c r="O146" s="432"/>
      <c r="P146" s="432"/>
      <c r="Q146" s="540">
        <f ca="1" t="shared" si="8"/>
        <v>192.61546296296</v>
      </c>
      <c r="R146" s="106" t="str">
        <f ca="1" t="shared" si="7"/>
        <v>ACTIVE</v>
      </c>
      <c r="S146" s="750">
        <v>3308750</v>
      </c>
      <c r="T146" s="750">
        <v>775000</v>
      </c>
      <c r="U146" s="750"/>
      <c r="V146" s="750"/>
      <c r="W146" s="750"/>
      <c r="X146" s="750"/>
      <c r="Y146" s="750"/>
      <c r="Z146" s="750"/>
      <c r="AA146" s="700" t="s">
        <v>112</v>
      </c>
      <c r="AB146" s="712" t="s">
        <v>8612</v>
      </c>
      <c r="AC146" s="718">
        <v>1500000</v>
      </c>
      <c r="AD146" s="700" t="s">
        <v>8613</v>
      </c>
      <c r="AE146" s="432"/>
      <c r="AF146" s="719" t="s">
        <v>10076</v>
      </c>
      <c r="AG146" s="122" t="s">
        <v>10077</v>
      </c>
      <c r="AH146" s="122" t="s">
        <v>10078</v>
      </c>
      <c r="AI146" s="122" t="s">
        <v>10079</v>
      </c>
      <c r="AJ146" s="122" t="s">
        <v>10080</v>
      </c>
      <c r="AK146" s="122"/>
      <c r="AL146" s="723" t="s">
        <v>10081</v>
      </c>
      <c r="AM146" s="122" t="s">
        <v>10082</v>
      </c>
      <c r="AN146" s="221"/>
    </row>
    <row r="147" ht="31.5" spans="1:40">
      <c r="A147" s="1585" t="s">
        <v>1488</v>
      </c>
      <c r="B147" s="100" t="s">
        <v>10083</v>
      </c>
      <c r="C147" s="697" t="s">
        <v>10084</v>
      </c>
      <c r="D147" s="738" t="s">
        <v>10085</v>
      </c>
      <c r="E147" s="700" t="s">
        <v>125</v>
      </c>
      <c r="F147" s="487" t="s">
        <v>404</v>
      </c>
      <c r="G147" s="702" t="s">
        <v>9457</v>
      </c>
      <c r="H147" s="697" t="s">
        <v>9458</v>
      </c>
      <c r="I147" s="697" t="s">
        <v>9348</v>
      </c>
      <c r="J147" s="705">
        <v>42767</v>
      </c>
      <c r="K147" s="705">
        <v>43100</v>
      </c>
      <c r="L147" s="704">
        <v>43465</v>
      </c>
      <c r="M147" s="704"/>
      <c r="N147" s="704"/>
      <c r="O147" s="432"/>
      <c r="P147" s="432"/>
      <c r="Q147" s="540">
        <f ca="1" t="shared" si="8"/>
        <v>192.61546296296</v>
      </c>
      <c r="R147" s="106" t="str">
        <f ca="1" t="shared" si="7"/>
        <v>ACTIVE</v>
      </c>
      <c r="S147" s="750">
        <v>3308750</v>
      </c>
      <c r="T147" s="750">
        <v>775000</v>
      </c>
      <c r="U147" s="750"/>
      <c r="V147" s="750"/>
      <c r="W147" s="750"/>
      <c r="X147" s="750"/>
      <c r="Y147" s="750"/>
      <c r="Z147" s="750"/>
      <c r="AA147" s="700" t="s">
        <v>112</v>
      </c>
      <c r="AB147" s="712" t="s">
        <v>8612</v>
      </c>
      <c r="AC147" s="718">
        <v>1500000</v>
      </c>
      <c r="AD147" s="700" t="s">
        <v>8613</v>
      </c>
      <c r="AE147" s="432"/>
      <c r="AF147" s="719" t="s">
        <v>10086</v>
      </c>
      <c r="AG147" s="122" t="s">
        <v>10087</v>
      </c>
      <c r="AH147" s="122" t="s">
        <v>10088</v>
      </c>
      <c r="AI147" s="122" t="s">
        <v>10089</v>
      </c>
      <c r="AJ147" s="122" t="s">
        <v>9977</v>
      </c>
      <c r="AK147" s="122"/>
      <c r="AL147" s="731" t="s">
        <v>10090</v>
      </c>
      <c r="AM147" s="122" t="s">
        <v>10091</v>
      </c>
      <c r="AN147" s="221"/>
    </row>
    <row r="148" ht="31.5" spans="1:40">
      <c r="A148" s="1585" t="s">
        <v>1499</v>
      </c>
      <c r="B148" s="100" t="s">
        <v>10092</v>
      </c>
      <c r="C148" s="697" t="s">
        <v>10093</v>
      </c>
      <c r="D148" s="738" t="s">
        <v>10094</v>
      </c>
      <c r="E148" s="700" t="s">
        <v>125</v>
      </c>
      <c r="F148" s="432" t="s">
        <v>44</v>
      </c>
      <c r="G148" s="702" t="s">
        <v>10095</v>
      </c>
      <c r="H148" s="697" t="s">
        <v>9347</v>
      </c>
      <c r="I148" s="697" t="s">
        <v>9361</v>
      </c>
      <c r="J148" s="705">
        <v>42767</v>
      </c>
      <c r="K148" s="705">
        <v>43100</v>
      </c>
      <c r="L148" s="704">
        <v>43465</v>
      </c>
      <c r="M148" s="704"/>
      <c r="N148" s="704"/>
      <c r="O148" s="432"/>
      <c r="P148" s="432"/>
      <c r="Q148" s="540">
        <f ca="1" t="shared" si="8"/>
        <v>192.61546296296</v>
      </c>
      <c r="R148" s="106" t="str">
        <f ca="1" t="shared" si="7"/>
        <v>ACTIVE</v>
      </c>
      <c r="S148" s="116">
        <v>2873036</v>
      </c>
      <c r="T148" s="750">
        <v>775000</v>
      </c>
      <c r="U148" s="750"/>
      <c r="V148" s="750"/>
      <c r="W148" s="750"/>
      <c r="X148" s="750"/>
      <c r="Y148" s="750"/>
      <c r="Z148" s="750"/>
      <c r="AA148" s="700" t="s">
        <v>112</v>
      </c>
      <c r="AB148" s="712" t="s">
        <v>8612</v>
      </c>
      <c r="AC148" s="718">
        <v>1500000</v>
      </c>
      <c r="AD148" s="700" t="s">
        <v>8613</v>
      </c>
      <c r="AE148" s="101" t="s">
        <v>10096</v>
      </c>
      <c r="AF148" s="719" t="s">
        <v>10097</v>
      </c>
      <c r="AG148" s="122" t="s">
        <v>10098</v>
      </c>
      <c r="AH148" s="122" t="s">
        <v>10099</v>
      </c>
      <c r="AI148" s="122" t="s">
        <v>9366</v>
      </c>
      <c r="AJ148" s="122" t="s">
        <v>10100</v>
      </c>
      <c r="AK148" s="122" t="s">
        <v>6517</v>
      </c>
      <c r="AL148" s="723" t="s">
        <v>10101</v>
      </c>
      <c r="AM148" s="122" t="s">
        <v>10102</v>
      </c>
      <c r="AN148" s="221"/>
    </row>
    <row r="149" ht="31.5" spans="1:40">
      <c r="A149" s="1585" t="s">
        <v>1509</v>
      </c>
      <c r="B149" s="100" t="s">
        <v>10103</v>
      </c>
      <c r="C149" s="697" t="s">
        <v>10104</v>
      </c>
      <c r="D149" s="738">
        <v>33595</v>
      </c>
      <c r="E149" s="700" t="s">
        <v>43</v>
      </c>
      <c r="F149" s="432" t="s">
        <v>44</v>
      </c>
      <c r="G149" s="702" t="s">
        <v>9457</v>
      </c>
      <c r="H149" s="697" t="s">
        <v>9385</v>
      </c>
      <c r="I149" s="697" t="s">
        <v>9386</v>
      </c>
      <c r="J149" s="705">
        <v>42767</v>
      </c>
      <c r="K149" s="705">
        <v>43100</v>
      </c>
      <c r="L149" s="704">
        <v>43465</v>
      </c>
      <c r="M149" s="704"/>
      <c r="N149" s="704"/>
      <c r="O149" s="432"/>
      <c r="P149" s="432"/>
      <c r="Q149" s="540">
        <f ca="1" t="shared" si="8"/>
        <v>192.61546296296</v>
      </c>
      <c r="R149" s="106" t="str">
        <f ca="1" t="shared" si="7"/>
        <v>ACTIVE</v>
      </c>
      <c r="S149" s="116">
        <v>2873036</v>
      </c>
      <c r="T149" s="750">
        <v>775000</v>
      </c>
      <c r="U149" s="750"/>
      <c r="V149" s="750"/>
      <c r="W149" s="750"/>
      <c r="X149" s="750"/>
      <c r="Y149" s="750"/>
      <c r="Z149" s="750"/>
      <c r="AA149" s="700" t="s">
        <v>113</v>
      </c>
      <c r="AB149" s="712" t="s">
        <v>8612</v>
      </c>
      <c r="AC149" s="718">
        <v>1500000</v>
      </c>
      <c r="AD149" s="700" t="s">
        <v>8613</v>
      </c>
      <c r="AE149" s="101" t="s">
        <v>9349</v>
      </c>
      <c r="AF149" s="719" t="s">
        <v>10105</v>
      </c>
      <c r="AG149" s="122" t="s">
        <v>10106</v>
      </c>
      <c r="AH149" s="122" t="s">
        <v>10107</v>
      </c>
      <c r="AI149" s="122" t="s">
        <v>10108</v>
      </c>
      <c r="AJ149" s="122" t="s">
        <v>10109</v>
      </c>
      <c r="AK149" s="122" t="s">
        <v>9530</v>
      </c>
      <c r="AL149" s="723" t="s">
        <v>10110</v>
      </c>
      <c r="AM149" s="122" t="s">
        <v>10111</v>
      </c>
      <c r="AN149" s="221"/>
    </row>
    <row r="150" ht="15.95" customHeight="1" spans="1:40">
      <c r="A150" s="1585" t="s">
        <v>1521</v>
      </c>
      <c r="B150" s="100" t="s">
        <v>10112</v>
      </c>
      <c r="C150" s="697" t="s">
        <v>10113</v>
      </c>
      <c r="D150" s="738" t="s">
        <v>10114</v>
      </c>
      <c r="E150" s="700" t="s">
        <v>43</v>
      </c>
      <c r="F150" s="432" t="s">
        <v>60</v>
      </c>
      <c r="G150" s="702" t="s">
        <v>10115</v>
      </c>
      <c r="H150" s="697" t="s">
        <v>9961</v>
      </c>
      <c r="I150" s="697" t="s">
        <v>920</v>
      </c>
      <c r="J150" s="705">
        <v>42887</v>
      </c>
      <c r="K150" s="705">
        <v>42978</v>
      </c>
      <c r="L150" s="705">
        <v>43008</v>
      </c>
      <c r="M150" s="704">
        <v>43100</v>
      </c>
      <c r="N150" s="704">
        <v>43465</v>
      </c>
      <c r="O150" s="432" t="s">
        <v>583</v>
      </c>
      <c r="P150" s="432" t="s">
        <v>583</v>
      </c>
      <c r="Q150" s="540">
        <f ca="1">SUM(N150-NOW())</f>
        <v>192.61546296296</v>
      </c>
      <c r="R150" s="106" t="str">
        <f ca="1" t="shared" si="7"/>
        <v>ACTIVE</v>
      </c>
      <c r="S150" s="750">
        <v>4375000</v>
      </c>
      <c r="T150" s="750">
        <v>775000</v>
      </c>
      <c r="U150" s="750"/>
      <c r="V150" s="750"/>
      <c r="W150" s="750"/>
      <c r="X150" s="750"/>
      <c r="Y150" s="750"/>
      <c r="Z150" s="750"/>
      <c r="AA150" s="700" t="s">
        <v>112</v>
      </c>
      <c r="AB150" s="712" t="s">
        <v>8612</v>
      </c>
      <c r="AC150" s="718">
        <v>2000000</v>
      </c>
      <c r="AD150" s="700" t="s">
        <v>8613</v>
      </c>
      <c r="AE150" s="432"/>
      <c r="AF150" s="719" t="s">
        <v>10116</v>
      </c>
      <c r="AG150" s="122" t="s">
        <v>10117</v>
      </c>
      <c r="AH150" s="122" t="s">
        <v>10118</v>
      </c>
      <c r="AI150" s="122" t="s">
        <v>10119</v>
      </c>
      <c r="AJ150" s="122"/>
      <c r="AK150" s="122"/>
      <c r="AL150" s="723" t="s">
        <v>10120</v>
      </c>
      <c r="AM150" s="127" t="s">
        <v>10121</v>
      </c>
      <c r="AN150" s="221"/>
    </row>
    <row r="151" ht="15.95" customHeight="1" spans="1:40">
      <c r="A151" s="1585" t="s">
        <v>1529</v>
      </c>
      <c r="B151" s="100" t="s">
        <v>10122</v>
      </c>
      <c r="C151" s="697" t="s">
        <v>10123</v>
      </c>
      <c r="D151" s="738" t="s">
        <v>10124</v>
      </c>
      <c r="E151" s="700" t="s">
        <v>43</v>
      </c>
      <c r="F151" s="432" t="s">
        <v>404</v>
      </c>
      <c r="G151" s="702" t="s">
        <v>10125</v>
      </c>
      <c r="H151" s="697" t="s">
        <v>9961</v>
      </c>
      <c r="I151" s="697" t="s">
        <v>920</v>
      </c>
      <c r="J151" s="705">
        <v>42887</v>
      </c>
      <c r="K151" s="705">
        <v>42978</v>
      </c>
      <c r="L151" s="705">
        <v>43100</v>
      </c>
      <c r="M151" s="704">
        <v>43465</v>
      </c>
      <c r="N151" s="704"/>
      <c r="O151" s="432" t="s">
        <v>583</v>
      </c>
      <c r="P151" s="432" t="s">
        <v>583</v>
      </c>
      <c r="Q151" s="540">
        <f ca="1" t="shared" ref="Q151:Q156" si="9">SUM(M151-NOW())</f>
        <v>192.61546296296</v>
      </c>
      <c r="R151" s="106" t="str">
        <f ca="1" t="shared" si="7"/>
        <v>ACTIVE</v>
      </c>
      <c r="S151" s="750">
        <v>4125000</v>
      </c>
      <c r="T151" s="750">
        <v>775000</v>
      </c>
      <c r="U151" s="750"/>
      <c r="V151" s="750"/>
      <c r="W151" s="750"/>
      <c r="X151" s="750"/>
      <c r="Y151" s="750"/>
      <c r="Z151" s="750"/>
      <c r="AA151" s="700" t="s">
        <v>112</v>
      </c>
      <c r="AB151" s="712" t="s">
        <v>8612</v>
      </c>
      <c r="AC151" s="718">
        <v>1750000</v>
      </c>
      <c r="AD151" s="700" t="s">
        <v>8613</v>
      </c>
      <c r="AE151" s="432"/>
      <c r="AF151" s="719" t="s">
        <v>10126</v>
      </c>
      <c r="AG151" s="122" t="s">
        <v>10127</v>
      </c>
      <c r="AH151" s="122" t="s">
        <v>10128</v>
      </c>
      <c r="AI151" s="122" t="s">
        <v>10129</v>
      </c>
      <c r="AJ151" s="122" t="s">
        <v>10130</v>
      </c>
      <c r="AK151" s="122" t="s">
        <v>10131</v>
      </c>
      <c r="AL151" s="723" t="s">
        <v>10132</v>
      </c>
      <c r="AM151" s="128" t="s">
        <v>10133</v>
      </c>
      <c r="AN151" s="221"/>
    </row>
    <row r="152" ht="15.95" customHeight="1" spans="1:40">
      <c r="A152" s="1585" t="s">
        <v>1538</v>
      </c>
      <c r="B152" s="100" t="s">
        <v>10134</v>
      </c>
      <c r="C152" s="697" t="s">
        <v>10135</v>
      </c>
      <c r="D152" s="738" t="s">
        <v>10136</v>
      </c>
      <c r="E152" s="700" t="s">
        <v>43</v>
      </c>
      <c r="F152" s="432" t="s">
        <v>60</v>
      </c>
      <c r="G152" s="702" t="s">
        <v>10125</v>
      </c>
      <c r="H152" s="697" t="s">
        <v>9961</v>
      </c>
      <c r="I152" s="697" t="s">
        <v>920</v>
      </c>
      <c r="J152" s="705">
        <v>42887</v>
      </c>
      <c r="K152" s="705">
        <v>42978</v>
      </c>
      <c r="L152" s="705">
        <v>43100</v>
      </c>
      <c r="M152" s="704">
        <v>43465</v>
      </c>
      <c r="N152" s="704"/>
      <c r="O152" s="432"/>
      <c r="P152" s="432"/>
      <c r="Q152" s="540">
        <f ca="1" t="shared" si="9"/>
        <v>192.61546296296</v>
      </c>
      <c r="R152" s="106" t="str">
        <f ca="1" t="shared" si="7"/>
        <v>ACTIVE</v>
      </c>
      <c r="S152" s="750">
        <v>3975000</v>
      </c>
      <c r="T152" s="750">
        <v>775000</v>
      </c>
      <c r="U152" s="750"/>
      <c r="V152" s="750" t="s">
        <v>583</v>
      </c>
      <c r="W152" s="750" t="s">
        <v>583</v>
      </c>
      <c r="X152" s="750"/>
      <c r="Y152" s="750"/>
      <c r="Z152" s="750" t="s">
        <v>583</v>
      </c>
      <c r="AA152" s="700" t="s">
        <v>112</v>
      </c>
      <c r="AB152" s="712" t="s">
        <v>8612</v>
      </c>
      <c r="AC152" s="718">
        <v>2000000</v>
      </c>
      <c r="AD152" s="700" t="s">
        <v>8613</v>
      </c>
      <c r="AE152" s="432"/>
      <c r="AF152" s="719" t="s">
        <v>10137</v>
      </c>
      <c r="AG152" s="122" t="s">
        <v>10138</v>
      </c>
      <c r="AH152" s="122" t="s">
        <v>10139</v>
      </c>
      <c r="AI152" s="122"/>
      <c r="AJ152" s="122"/>
      <c r="AK152" s="122" t="s">
        <v>10140</v>
      </c>
      <c r="AL152" s="723" t="s">
        <v>10141</v>
      </c>
      <c r="AM152" s="122" t="s">
        <v>10142</v>
      </c>
      <c r="AN152" s="221"/>
    </row>
    <row r="153" ht="15.95" customHeight="1" spans="1:40">
      <c r="A153" s="1585" t="s">
        <v>1545</v>
      </c>
      <c r="B153" s="100" t="s">
        <v>10143</v>
      </c>
      <c r="C153" s="697" t="s">
        <v>10144</v>
      </c>
      <c r="D153" s="738" t="s">
        <v>10145</v>
      </c>
      <c r="E153" s="700" t="s">
        <v>43</v>
      </c>
      <c r="F153" s="432" t="s">
        <v>44</v>
      </c>
      <c r="G153" s="702" t="s">
        <v>10146</v>
      </c>
      <c r="H153" s="697" t="s">
        <v>10011</v>
      </c>
      <c r="I153" s="697" t="s">
        <v>920</v>
      </c>
      <c r="J153" s="705">
        <v>42917</v>
      </c>
      <c r="K153" s="705">
        <v>43008</v>
      </c>
      <c r="L153" s="704">
        <v>43100</v>
      </c>
      <c r="M153" s="704">
        <v>43465</v>
      </c>
      <c r="N153" s="704"/>
      <c r="O153" s="432"/>
      <c r="P153" s="432"/>
      <c r="Q153" s="540">
        <f ca="1" t="shared" si="9"/>
        <v>192.61546296296</v>
      </c>
      <c r="R153" s="106" t="str">
        <f ca="1" t="shared" si="7"/>
        <v>ACTIVE</v>
      </c>
      <c r="S153" s="750">
        <v>7500000</v>
      </c>
      <c r="T153" s="750">
        <v>775000</v>
      </c>
      <c r="U153" s="750"/>
      <c r="V153" s="750"/>
      <c r="W153" s="750"/>
      <c r="X153" s="750"/>
      <c r="Y153" s="750"/>
      <c r="Z153" s="750"/>
      <c r="AA153" s="700" t="s">
        <v>112</v>
      </c>
      <c r="AB153" s="712" t="s">
        <v>8612</v>
      </c>
      <c r="AC153" s="718">
        <v>1500000</v>
      </c>
      <c r="AD153" s="700" t="s">
        <v>8613</v>
      </c>
      <c r="AE153" s="432"/>
      <c r="AF153" s="719" t="s">
        <v>10147</v>
      </c>
      <c r="AG153" s="122" t="s">
        <v>10148</v>
      </c>
      <c r="AH153" s="122" t="s">
        <v>10149</v>
      </c>
      <c r="AI153" s="122" t="s">
        <v>10150</v>
      </c>
      <c r="AJ153" s="122" t="s">
        <v>10151</v>
      </c>
      <c r="AK153" s="122"/>
      <c r="AL153" s="723" t="s">
        <v>10152</v>
      </c>
      <c r="AM153" s="127" t="s">
        <v>10153</v>
      </c>
      <c r="AN153" s="221"/>
    </row>
    <row r="154" ht="14.1" customHeight="1" spans="1:40">
      <c r="A154" s="1585" t="s">
        <v>1557</v>
      </c>
      <c r="B154" s="100" t="s">
        <v>10154</v>
      </c>
      <c r="C154" s="697" t="s">
        <v>10155</v>
      </c>
      <c r="D154" s="738" t="s">
        <v>10156</v>
      </c>
      <c r="E154" s="700" t="s">
        <v>43</v>
      </c>
      <c r="F154" s="432" t="s">
        <v>44</v>
      </c>
      <c r="G154" s="702" t="s">
        <v>9372</v>
      </c>
      <c r="H154" s="697" t="s">
        <v>9373</v>
      </c>
      <c r="I154" s="697" t="s">
        <v>920</v>
      </c>
      <c r="J154" s="705">
        <v>42955</v>
      </c>
      <c r="K154" s="705">
        <v>43046</v>
      </c>
      <c r="L154" s="704">
        <v>43100</v>
      </c>
      <c r="M154" s="704">
        <v>43465</v>
      </c>
      <c r="N154" s="704"/>
      <c r="O154" s="432"/>
      <c r="P154" s="432"/>
      <c r="Q154" s="540">
        <f ca="1" t="shared" si="9"/>
        <v>192.61546296296</v>
      </c>
      <c r="R154" s="106" t="str">
        <f ca="1" t="shared" si="7"/>
        <v>ACTIVE</v>
      </c>
      <c r="S154" s="116">
        <v>2873036</v>
      </c>
      <c r="T154" s="750">
        <v>775000</v>
      </c>
      <c r="U154" s="750"/>
      <c r="V154" s="750"/>
      <c r="W154" s="750"/>
      <c r="X154" s="750"/>
      <c r="Y154" s="750"/>
      <c r="Z154" s="750"/>
      <c r="AA154" s="700" t="s">
        <v>113</v>
      </c>
      <c r="AB154" s="712" t="s">
        <v>8612</v>
      </c>
      <c r="AC154" s="718">
        <v>1500000</v>
      </c>
      <c r="AD154" s="700" t="s">
        <v>8613</v>
      </c>
      <c r="AE154" s="101" t="s">
        <v>10157</v>
      </c>
      <c r="AF154" s="719" t="s">
        <v>10158</v>
      </c>
      <c r="AG154" s="122" t="s">
        <v>10159</v>
      </c>
      <c r="AH154" s="122" t="s">
        <v>10160</v>
      </c>
      <c r="AI154" s="122" t="s">
        <v>10161</v>
      </c>
      <c r="AJ154" s="122" t="s">
        <v>10162</v>
      </c>
      <c r="AK154" s="122" t="s">
        <v>10163</v>
      </c>
      <c r="AL154" s="723" t="s">
        <v>10164</v>
      </c>
      <c r="AM154" s="127" t="s">
        <v>10165</v>
      </c>
      <c r="AN154" s="221"/>
    </row>
    <row r="155" ht="14.1" customHeight="1" spans="1:40">
      <c r="A155" s="1585" t="s">
        <v>1567</v>
      </c>
      <c r="B155" s="100" t="s">
        <v>10166</v>
      </c>
      <c r="C155" s="697" t="s">
        <v>10167</v>
      </c>
      <c r="D155" s="738" t="s">
        <v>10168</v>
      </c>
      <c r="E155" s="700" t="s">
        <v>43</v>
      </c>
      <c r="F155" s="432" t="s">
        <v>60</v>
      </c>
      <c r="G155" s="702" t="s">
        <v>9372</v>
      </c>
      <c r="H155" s="697" t="s">
        <v>9373</v>
      </c>
      <c r="I155" s="697" t="s">
        <v>920</v>
      </c>
      <c r="J155" s="705">
        <v>42955</v>
      </c>
      <c r="K155" s="705">
        <v>43046</v>
      </c>
      <c r="L155" s="704">
        <v>43100</v>
      </c>
      <c r="M155" s="704">
        <v>43465</v>
      </c>
      <c r="N155" s="704"/>
      <c r="O155" s="432"/>
      <c r="P155" s="432"/>
      <c r="Q155" s="540">
        <f ca="1" t="shared" si="9"/>
        <v>192.61546296296</v>
      </c>
      <c r="R155" s="106" t="str">
        <f ca="1" t="shared" si="7"/>
        <v>ACTIVE</v>
      </c>
      <c r="S155" s="116">
        <v>2873036</v>
      </c>
      <c r="T155" s="750">
        <v>775000</v>
      </c>
      <c r="U155" s="750"/>
      <c r="V155" s="750"/>
      <c r="W155" s="750"/>
      <c r="X155" s="750"/>
      <c r="Y155" s="750"/>
      <c r="Z155" s="750"/>
      <c r="AA155" s="700" t="s">
        <v>113</v>
      </c>
      <c r="AB155" s="712" t="s">
        <v>8612</v>
      </c>
      <c r="AC155" s="718">
        <v>2000000</v>
      </c>
      <c r="AD155" s="700" t="s">
        <v>8613</v>
      </c>
      <c r="AE155" s="101" t="s">
        <v>10157</v>
      </c>
      <c r="AF155" s="719" t="s">
        <v>10169</v>
      </c>
      <c r="AG155" s="122" t="s">
        <v>10170</v>
      </c>
      <c r="AH155" s="122" t="s">
        <v>10171</v>
      </c>
      <c r="AI155" s="122" t="s">
        <v>10172</v>
      </c>
      <c r="AJ155" s="122" t="s">
        <v>10173</v>
      </c>
      <c r="AK155" s="122"/>
      <c r="AL155" s="723" t="s">
        <v>10174</v>
      </c>
      <c r="AM155" s="127" t="s">
        <v>10175</v>
      </c>
      <c r="AN155" s="221"/>
    </row>
    <row r="156" ht="31.5" spans="1:40">
      <c r="A156" s="1585" t="s">
        <v>1580</v>
      </c>
      <c r="B156" s="14" t="s">
        <v>10176</v>
      </c>
      <c r="C156" s="697" t="s">
        <v>10177</v>
      </c>
      <c r="D156" s="738" t="s">
        <v>10178</v>
      </c>
      <c r="E156" s="700" t="s">
        <v>43</v>
      </c>
      <c r="F156" s="432" t="s">
        <v>44</v>
      </c>
      <c r="G156" s="702" t="s">
        <v>2823</v>
      </c>
      <c r="H156" s="697" t="s">
        <v>9347</v>
      </c>
      <c r="I156" s="697" t="s">
        <v>920</v>
      </c>
      <c r="J156" s="705">
        <v>42982</v>
      </c>
      <c r="K156" s="705">
        <v>43069</v>
      </c>
      <c r="L156" s="704">
        <v>43100</v>
      </c>
      <c r="M156" s="704">
        <v>43465</v>
      </c>
      <c r="N156" s="704"/>
      <c r="O156" s="432"/>
      <c r="P156" s="432"/>
      <c r="Q156" s="540">
        <f ca="1" t="shared" si="9"/>
        <v>192.61546296296</v>
      </c>
      <c r="R156" s="106" t="str">
        <f ca="1" t="shared" si="7"/>
        <v>ACTIVE</v>
      </c>
      <c r="S156" s="116">
        <v>2873036</v>
      </c>
      <c r="T156" s="750">
        <v>775000</v>
      </c>
      <c r="U156" s="750"/>
      <c r="V156" s="750"/>
      <c r="W156" s="750"/>
      <c r="X156" s="750"/>
      <c r="Y156" s="750"/>
      <c r="Z156" s="750"/>
      <c r="AA156" s="700" t="s">
        <v>112</v>
      </c>
      <c r="AB156" s="712" t="s">
        <v>8612</v>
      </c>
      <c r="AC156" s="718">
        <v>1500000</v>
      </c>
      <c r="AD156" s="700" t="s">
        <v>8613</v>
      </c>
      <c r="AE156" s="101" t="s">
        <v>10179</v>
      </c>
      <c r="AF156" s="719" t="s">
        <v>10180</v>
      </c>
      <c r="AG156" s="122" t="s">
        <v>10181</v>
      </c>
      <c r="AH156" s="122" t="s">
        <v>10182</v>
      </c>
      <c r="AI156" s="122"/>
      <c r="AJ156" s="122"/>
      <c r="AK156" s="122"/>
      <c r="AL156" s="723" t="s">
        <v>10183</v>
      </c>
      <c r="AM156" s="127" t="s">
        <v>10184</v>
      </c>
      <c r="AN156" s="221"/>
    </row>
    <row r="157" ht="14.1" customHeight="1" spans="1:40">
      <c r="A157" s="1585" t="s">
        <v>1591</v>
      </c>
      <c r="B157" s="14" t="s">
        <v>10185</v>
      </c>
      <c r="C157" s="697" t="s">
        <v>10186</v>
      </c>
      <c r="D157" s="738" t="s">
        <v>10187</v>
      </c>
      <c r="E157" s="700" t="s">
        <v>125</v>
      </c>
      <c r="F157" s="432" t="s">
        <v>404</v>
      </c>
      <c r="G157" s="702" t="s">
        <v>10188</v>
      </c>
      <c r="H157" s="697" t="s">
        <v>9498</v>
      </c>
      <c r="I157" s="697" t="s">
        <v>920</v>
      </c>
      <c r="J157" s="705">
        <v>42996</v>
      </c>
      <c r="K157" s="705">
        <v>43100</v>
      </c>
      <c r="L157" s="704">
        <v>43465</v>
      </c>
      <c r="M157" s="704"/>
      <c r="N157" s="704"/>
      <c r="O157" s="432"/>
      <c r="P157" s="432"/>
      <c r="Q157" s="540">
        <f ca="1" t="shared" ref="Q157:Q159" si="10">SUM(L157-NOW())</f>
        <v>192.61546296296</v>
      </c>
      <c r="R157" s="106" t="str">
        <f ca="1" t="shared" si="7"/>
        <v>ACTIVE</v>
      </c>
      <c r="S157" s="750">
        <v>10000000</v>
      </c>
      <c r="T157" s="750">
        <v>775000</v>
      </c>
      <c r="U157" s="750"/>
      <c r="V157" s="750"/>
      <c r="W157" s="750"/>
      <c r="X157" s="750"/>
      <c r="Y157" s="750"/>
      <c r="Z157" s="750"/>
      <c r="AA157" s="431" t="s">
        <v>112</v>
      </c>
      <c r="AB157" s="752" t="s">
        <v>9864</v>
      </c>
      <c r="AC157" s="718" t="s">
        <v>9865</v>
      </c>
      <c r="AD157" s="700" t="s">
        <v>9866</v>
      </c>
      <c r="AE157" s="432" t="s">
        <v>10189</v>
      </c>
      <c r="AF157" s="719" t="s">
        <v>10190</v>
      </c>
      <c r="AG157" s="122" t="s">
        <v>10191</v>
      </c>
      <c r="AH157" s="122" t="s">
        <v>10192</v>
      </c>
      <c r="AI157" s="122" t="s">
        <v>10193</v>
      </c>
      <c r="AJ157" s="122" t="s">
        <v>2574</v>
      </c>
      <c r="AK157" s="122" t="s">
        <v>10194</v>
      </c>
      <c r="AL157" s="723" t="s">
        <v>10195</v>
      </c>
      <c r="AM157" s="127" t="s">
        <v>10196</v>
      </c>
      <c r="AN157" s="221"/>
    </row>
    <row r="158" ht="14.1" customHeight="1" spans="1:40">
      <c r="A158" s="1585" t="s">
        <v>1603</v>
      </c>
      <c r="B158" s="14" t="s">
        <v>10197</v>
      </c>
      <c r="C158" s="697" t="s">
        <v>10198</v>
      </c>
      <c r="D158" s="738" t="s">
        <v>10199</v>
      </c>
      <c r="E158" s="700" t="s">
        <v>43</v>
      </c>
      <c r="F158" s="432" t="s">
        <v>404</v>
      </c>
      <c r="G158" s="702" t="s">
        <v>9372</v>
      </c>
      <c r="H158" s="697" t="s">
        <v>9373</v>
      </c>
      <c r="I158" s="697" t="s">
        <v>920</v>
      </c>
      <c r="J158" s="705">
        <v>43038</v>
      </c>
      <c r="K158" s="705">
        <v>43100</v>
      </c>
      <c r="L158" s="704">
        <v>43465</v>
      </c>
      <c r="M158" s="704"/>
      <c r="N158" s="704"/>
      <c r="O158" s="432"/>
      <c r="P158" s="432"/>
      <c r="Q158" s="540">
        <f ca="1" t="shared" si="10"/>
        <v>192.61546296296</v>
      </c>
      <c r="R158" s="106" t="str">
        <f ca="1" t="shared" si="7"/>
        <v>ACTIVE</v>
      </c>
      <c r="S158" s="116">
        <v>2873036</v>
      </c>
      <c r="T158" s="750">
        <v>775000</v>
      </c>
      <c r="U158" s="750"/>
      <c r="V158" s="750"/>
      <c r="W158" s="750"/>
      <c r="X158" s="750"/>
      <c r="Y158" s="750"/>
      <c r="Z158" s="750"/>
      <c r="AA158" s="431" t="s">
        <v>113</v>
      </c>
      <c r="AB158" s="712" t="s">
        <v>8612</v>
      </c>
      <c r="AC158" s="718">
        <v>1750000</v>
      </c>
      <c r="AD158" s="700" t="s">
        <v>8613</v>
      </c>
      <c r="AE158" s="101" t="s">
        <v>10157</v>
      </c>
      <c r="AF158" s="719" t="s">
        <v>10200</v>
      </c>
      <c r="AG158" s="122" t="s">
        <v>10201</v>
      </c>
      <c r="AH158" s="122" t="s">
        <v>10202</v>
      </c>
      <c r="AI158" s="122" t="s">
        <v>10203</v>
      </c>
      <c r="AJ158" s="122" t="s">
        <v>10204</v>
      </c>
      <c r="AK158" s="122" t="s">
        <v>10205</v>
      </c>
      <c r="AL158" s="723" t="s">
        <v>10206</v>
      </c>
      <c r="AM158" s="127" t="s">
        <v>10207</v>
      </c>
      <c r="AN158" s="221"/>
    </row>
    <row r="159" s="693" customFormat="1" ht="63" spans="1:44">
      <c r="A159" s="1585" t="s">
        <v>1612</v>
      </c>
      <c r="B159" s="760" t="s">
        <v>10208</v>
      </c>
      <c r="C159" s="736" t="s">
        <v>10209</v>
      </c>
      <c r="D159" s="737" t="s">
        <v>10210</v>
      </c>
      <c r="E159" s="740" t="s">
        <v>43</v>
      </c>
      <c r="F159" s="741" t="s">
        <v>44</v>
      </c>
      <c r="G159" s="763" t="s">
        <v>10211</v>
      </c>
      <c r="H159" s="697" t="s">
        <v>9347</v>
      </c>
      <c r="I159" s="697" t="s">
        <v>920</v>
      </c>
      <c r="J159" s="745">
        <v>43054</v>
      </c>
      <c r="K159" s="745">
        <v>43100</v>
      </c>
      <c r="L159" s="746">
        <v>43465</v>
      </c>
      <c r="M159" s="769" t="s">
        <v>325</v>
      </c>
      <c r="N159" s="746"/>
      <c r="O159" s="741"/>
      <c r="P159" s="741"/>
      <c r="Q159" s="540">
        <f ca="1" t="shared" si="10"/>
        <v>192.61546296296</v>
      </c>
      <c r="R159" s="748" t="str">
        <f ca="1" t="shared" si="7"/>
        <v>ACTIVE</v>
      </c>
      <c r="S159" s="749">
        <v>3149431</v>
      </c>
      <c r="T159" s="749">
        <v>775000</v>
      </c>
      <c r="U159" s="775">
        <v>0</v>
      </c>
      <c r="V159" s="749"/>
      <c r="W159" s="775">
        <v>0</v>
      </c>
      <c r="X159" s="775">
        <v>0</v>
      </c>
      <c r="Y159" s="776">
        <v>0</v>
      </c>
      <c r="Z159" s="749"/>
      <c r="AA159" s="776" t="s">
        <v>113</v>
      </c>
      <c r="AB159" s="753" t="s">
        <v>8612</v>
      </c>
      <c r="AC159" s="718">
        <v>1500000</v>
      </c>
      <c r="AD159" s="700" t="s">
        <v>8613</v>
      </c>
      <c r="AE159" s="777" t="s">
        <v>10212</v>
      </c>
      <c r="AF159" s="755" t="s">
        <v>10213</v>
      </c>
      <c r="AG159" s="756" t="s">
        <v>10214</v>
      </c>
      <c r="AH159" s="756" t="s">
        <v>10215</v>
      </c>
      <c r="AI159" s="756" t="s">
        <v>10216</v>
      </c>
      <c r="AJ159" s="756"/>
      <c r="AK159" s="756"/>
      <c r="AL159" s="757" t="s">
        <v>10217</v>
      </c>
      <c r="AM159" s="758" t="s">
        <v>10218</v>
      </c>
      <c r="AN159" s="759"/>
      <c r="AO159" s="156"/>
      <c r="AP159" s="156"/>
      <c r="AQ159" s="156"/>
      <c r="AR159" s="156"/>
    </row>
    <row r="160" ht="14.1" customHeight="1" spans="1:40">
      <c r="A160" s="1585" t="s">
        <v>1620</v>
      </c>
      <c r="B160" s="14" t="s">
        <v>10219</v>
      </c>
      <c r="C160" s="733" t="s">
        <v>10220</v>
      </c>
      <c r="D160" s="734" t="s">
        <v>10221</v>
      </c>
      <c r="E160" s="431" t="s">
        <v>125</v>
      </c>
      <c r="F160" s="432" t="s">
        <v>60</v>
      </c>
      <c r="G160" s="739" t="s">
        <v>10222</v>
      </c>
      <c r="H160" s="697" t="s">
        <v>9748</v>
      </c>
      <c r="I160" s="697" t="s">
        <v>3528</v>
      </c>
      <c r="J160" s="743">
        <v>43101</v>
      </c>
      <c r="K160" s="743">
        <v>43465</v>
      </c>
      <c r="L160" s="744"/>
      <c r="M160" s="744"/>
      <c r="N160" s="744"/>
      <c r="O160" s="432"/>
      <c r="P160" s="432"/>
      <c r="Q160" s="540">
        <f ca="1" t="shared" ref="Q160:Q197" si="11">SUM(K160-NOW())</f>
        <v>192.61546296296</v>
      </c>
      <c r="R160" s="106" t="str">
        <f ca="1" t="shared" si="7"/>
        <v>ACTIVE</v>
      </c>
      <c r="S160" s="770">
        <v>6500000</v>
      </c>
      <c r="T160" s="747">
        <v>750000</v>
      </c>
      <c r="U160" s="770"/>
      <c r="V160" s="747"/>
      <c r="W160" s="770"/>
      <c r="X160" s="770"/>
      <c r="Y160" s="770"/>
      <c r="Z160" s="747"/>
      <c r="AA160" s="770"/>
      <c r="AB160" s="712" t="s">
        <v>8612</v>
      </c>
      <c r="AC160" s="718">
        <v>2000000</v>
      </c>
      <c r="AD160" s="700" t="s">
        <v>10223</v>
      </c>
      <c r="AE160" s="432"/>
      <c r="AF160" s="754" t="s">
        <v>10224</v>
      </c>
      <c r="AG160" s="122" t="s">
        <v>10225</v>
      </c>
      <c r="AH160" s="122" t="s">
        <v>10226</v>
      </c>
      <c r="AI160" s="122" t="s">
        <v>10227</v>
      </c>
      <c r="AJ160" s="122" t="s">
        <v>5647</v>
      </c>
      <c r="AK160" s="122" t="s">
        <v>10228</v>
      </c>
      <c r="AL160" s="723" t="s">
        <v>10229</v>
      </c>
      <c r="AM160" s="127" t="s">
        <v>10230</v>
      </c>
      <c r="AN160" s="221"/>
    </row>
    <row r="161" ht="14.1" customHeight="1" spans="1:40">
      <c r="A161" s="1585" t="s">
        <v>1631</v>
      </c>
      <c r="B161" s="14" t="s">
        <v>10231</v>
      </c>
      <c r="C161" s="733" t="s">
        <v>10232</v>
      </c>
      <c r="D161" s="734" t="s">
        <v>10233</v>
      </c>
      <c r="E161" s="431" t="s">
        <v>125</v>
      </c>
      <c r="F161" s="432" t="s">
        <v>44</v>
      </c>
      <c r="G161" s="739" t="s">
        <v>10222</v>
      </c>
      <c r="H161" s="697" t="s">
        <v>9748</v>
      </c>
      <c r="I161" s="697" t="s">
        <v>3528</v>
      </c>
      <c r="J161" s="743">
        <v>43101</v>
      </c>
      <c r="K161" s="743">
        <v>43465</v>
      </c>
      <c r="L161" s="744"/>
      <c r="M161" s="744"/>
      <c r="N161" s="744"/>
      <c r="O161" s="432"/>
      <c r="P161" s="432"/>
      <c r="Q161" s="540">
        <f ca="1" t="shared" si="11"/>
        <v>192.61546296296</v>
      </c>
      <c r="R161" s="106" t="str">
        <f ca="1" t="shared" si="7"/>
        <v>ACTIVE</v>
      </c>
      <c r="S161" s="770">
        <v>6000000</v>
      </c>
      <c r="T161" s="747">
        <v>750000</v>
      </c>
      <c r="U161" s="770"/>
      <c r="V161" s="747"/>
      <c r="W161" s="770"/>
      <c r="X161" s="770"/>
      <c r="Y161" s="770"/>
      <c r="Z161" s="747"/>
      <c r="AA161" s="770"/>
      <c r="AB161" s="712" t="s">
        <v>8612</v>
      </c>
      <c r="AC161" s="778"/>
      <c r="AD161" s="700" t="s">
        <v>10223</v>
      </c>
      <c r="AE161" s="432"/>
      <c r="AF161" s="754" t="s">
        <v>10234</v>
      </c>
      <c r="AG161" s="122" t="s">
        <v>10235</v>
      </c>
      <c r="AH161" s="122" t="s">
        <v>10236</v>
      </c>
      <c r="AI161" s="122" t="s">
        <v>10237</v>
      </c>
      <c r="AJ161" s="122" t="s">
        <v>10238</v>
      </c>
      <c r="AK161" s="122" t="s">
        <v>10239</v>
      </c>
      <c r="AL161" s="723" t="s">
        <v>10240</v>
      </c>
      <c r="AM161" s="127" t="s">
        <v>10241</v>
      </c>
      <c r="AN161" s="221"/>
    </row>
    <row r="162" ht="14.1" customHeight="1" spans="1:40">
      <c r="A162" s="1585" t="s">
        <v>1640</v>
      </c>
      <c r="B162" s="14" t="s">
        <v>10242</v>
      </c>
      <c r="C162" s="733" t="s">
        <v>10243</v>
      </c>
      <c r="D162" s="734" t="s">
        <v>10244</v>
      </c>
      <c r="E162" s="431" t="s">
        <v>43</v>
      </c>
      <c r="F162" s="432" t="s">
        <v>44</v>
      </c>
      <c r="G162" s="739" t="s">
        <v>10222</v>
      </c>
      <c r="H162" s="697" t="s">
        <v>9748</v>
      </c>
      <c r="I162" s="697" t="s">
        <v>3528</v>
      </c>
      <c r="J162" s="743">
        <v>43101</v>
      </c>
      <c r="K162" s="743">
        <v>43465</v>
      </c>
      <c r="L162" s="744"/>
      <c r="M162" s="744"/>
      <c r="N162" s="744"/>
      <c r="O162" s="432"/>
      <c r="P162" s="432"/>
      <c r="Q162" s="540">
        <f ca="1" t="shared" si="11"/>
        <v>192.61546296296</v>
      </c>
      <c r="R162" s="106" t="str">
        <f ca="1" t="shared" si="7"/>
        <v>ACTIVE</v>
      </c>
      <c r="S162" s="770">
        <v>3410000</v>
      </c>
      <c r="T162" s="747">
        <v>600000</v>
      </c>
      <c r="U162" s="770"/>
      <c r="V162" s="747"/>
      <c r="W162" s="770"/>
      <c r="X162" s="770"/>
      <c r="Y162" s="770"/>
      <c r="Z162" s="747"/>
      <c r="AA162" s="770"/>
      <c r="AB162" s="712" t="s">
        <v>8612</v>
      </c>
      <c r="AC162" s="778"/>
      <c r="AD162" s="700" t="s">
        <v>10223</v>
      </c>
      <c r="AE162" s="432"/>
      <c r="AF162" s="754" t="s">
        <v>10245</v>
      </c>
      <c r="AG162" s="122" t="s">
        <v>10246</v>
      </c>
      <c r="AH162" s="122" t="s">
        <v>10247</v>
      </c>
      <c r="AI162" s="122" t="s">
        <v>10248</v>
      </c>
      <c r="AJ162" s="122" t="s">
        <v>5647</v>
      </c>
      <c r="AK162" s="122" t="s">
        <v>10249</v>
      </c>
      <c r="AL162" s="723" t="s">
        <v>10250</v>
      </c>
      <c r="AM162" s="127" t="s">
        <v>10251</v>
      </c>
      <c r="AN162" s="221"/>
    </row>
    <row r="163" s="693" customFormat="1" ht="14.1" customHeight="1" spans="1:44">
      <c r="A163" s="1585" t="s">
        <v>1650</v>
      </c>
      <c r="B163" s="14" t="s">
        <v>10252</v>
      </c>
      <c r="C163" s="736" t="s">
        <v>10253</v>
      </c>
      <c r="D163" s="737" t="s">
        <v>10254</v>
      </c>
      <c r="E163" s="431" t="s">
        <v>43</v>
      </c>
      <c r="F163" s="741" t="s">
        <v>404</v>
      </c>
      <c r="G163" s="742" t="s">
        <v>9409</v>
      </c>
      <c r="H163" s="697" t="s">
        <v>9347</v>
      </c>
      <c r="I163" s="697" t="s">
        <v>3528</v>
      </c>
      <c r="J163" s="745">
        <v>43101</v>
      </c>
      <c r="K163" s="745">
        <v>43465</v>
      </c>
      <c r="L163" s="746"/>
      <c r="M163" s="746"/>
      <c r="N163" s="746"/>
      <c r="O163" s="741"/>
      <c r="P163" s="741"/>
      <c r="Q163" s="751">
        <f ca="1" t="shared" si="11"/>
        <v>192.61546296296</v>
      </c>
      <c r="R163" s="748" t="str">
        <f ca="1" t="shared" si="7"/>
        <v>ACTIVE</v>
      </c>
      <c r="S163" s="771">
        <v>3149431</v>
      </c>
      <c r="T163" s="772">
        <v>775000</v>
      </c>
      <c r="U163" s="771">
        <v>50000</v>
      </c>
      <c r="V163" s="772"/>
      <c r="W163" s="771">
        <v>500000</v>
      </c>
      <c r="X163" s="771">
        <v>1000000</v>
      </c>
      <c r="Y163" s="771">
        <v>150000</v>
      </c>
      <c r="Z163" s="772"/>
      <c r="AA163" s="771">
        <v>1500000</v>
      </c>
      <c r="AB163" s="712" t="s">
        <v>8612</v>
      </c>
      <c r="AC163" s="778"/>
      <c r="AD163" s="700" t="s">
        <v>10223</v>
      </c>
      <c r="AE163" s="741" t="s">
        <v>10255</v>
      </c>
      <c r="AF163" s="755" t="s">
        <v>10256</v>
      </c>
      <c r="AG163" s="756" t="s">
        <v>10257</v>
      </c>
      <c r="AH163" s="756" t="s">
        <v>10258</v>
      </c>
      <c r="AI163" s="756"/>
      <c r="AJ163" s="122" t="s">
        <v>5647</v>
      </c>
      <c r="AK163" s="756"/>
      <c r="AL163" s="757" t="s">
        <v>10259</v>
      </c>
      <c r="AM163" s="758"/>
      <c r="AN163" s="759"/>
      <c r="AO163" s="156"/>
      <c r="AP163" s="156"/>
      <c r="AQ163" s="156"/>
      <c r="AR163" s="156"/>
    </row>
    <row r="164" ht="14.1" customHeight="1" spans="1:40">
      <c r="A164" s="1585" t="s">
        <v>1658</v>
      </c>
      <c r="B164" s="14" t="s">
        <v>10260</v>
      </c>
      <c r="C164" s="733" t="s">
        <v>10261</v>
      </c>
      <c r="D164" s="734" t="s">
        <v>10262</v>
      </c>
      <c r="E164" s="431" t="s">
        <v>125</v>
      </c>
      <c r="F164" s="432" t="s">
        <v>60</v>
      </c>
      <c r="G164" s="739" t="s">
        <v>10263</v>
      </c>
      <c r="H164" s="697" t="s">
        <v>10264</v>
      </c>
      <c r="I164" s="697" t="s">
        <v>3528</v>
      </c>
      <c r="J164" s="743">
        <v>43101</v>
      </c>
      <c r="K164" s="743">
        <v>43465</v>
      </c>
      <c r="L164" s="744"/>
      <c r="M164" s="744"/>
      <c r="N164" s="744"/>
      <c r="O164" s="432"/>
      <c r="P164" s="432"/>
      <c r="Q164" s="540">
        <f ca="1" t="shared" si="11"/>
        <v>192.61546296296</v>
      </c>
      <c r="R164" s="106" t="str">
        <f ca="1" t="shared" si="7"/>
        <v>ACTIVE</v>
      </c>
      <c r="S164" s="770">
        <v>4020846</v>
      </c>
      <c r="T164" s="747">
        <v>600000</v>
      </c>
      <c r="U164" s="770"/>
      <c r="V164" s="747">
        <v>2000000</v>
      </c>
      <c r="W164" s="770"/>
      <c r="X164" s="770"/>
      <c r="Y164" s="770"/>
      <c r="Z164" s="747"/>
      <c r="AA164" s="770"/>
      <c r="AB164" s="712" t="s">
        <v>8612</v>
      </c>
      <c r="AC164" s="778"/>
      <c r="AD164" s="700" t="s">
        <v>10223</v>
      </c>
      <c r="AE164" s="432"/>
      <c r="AF164" s="754" t="s">
        <v>10265</v>
      </c>
      <c r="AG164" s="122" t="s">
        <v>10266</v>
      </c>
      <c r="AH164" s="122" t="s">
        <v>10267</v>
      </c>
      <c r="AI164" s="122" t="s">
        <v>10268</v>
      </c>
      <c r="AJ164" s="1579" t="s">
        <v>10269</v>
      </c>
      <c r="AK164" s="1579" t="s">
        <v>10270</v>
      </c>
      <c r="AL164" s="723" t="s">
        <v>10271</v>
      </c>
      <c r="AM164" s="127" t="s">
        <v>10272</v>
      </c>
      <c r="AN164" s="221"/>
    </row>
    <row r="165" ht="14.1" customHeight="1" spans="1:40">
      <c r="A165" s="1585" t="s">
        <v>1666</v>
      </c>
      <c r="B165" s="14" t="s">
        <v>10273</v>
      </c>
      <c r="C165" s="733" t="s">
        <v>10274</v>
      </c>
      <c r="D165" s="734" t="s">
        <v>10275</v>
      </c>
      <c r="E165" s="431" t="s">
        <v>125</v>
      </c>
      <c r="F165" s="432" t="s">
        <v>404</v>
      </c>
      <c r="G165" s="739" t="s">
        <v>7940</v>
      </c>
      <c r="H165" s="697" t="s">
        <v>9347</v>
      </c>
      <c r="I165" s="697" t="s">
        <v>3528</v>
      </c>
      <c r="J165" s="743">
        <v>43101</v>
      </c>
      <c r="K165" s="743">
        <v>43465</v>
      </c>
      <c r="L165" s="744"/>
      <c r="M165" s="744"/>
      <c r="N165" s="744"/>
      <c r="O165" s="432"/>
      <c r="P165" s="432"/>
      <c r="Q165" s="540">
        <f ca="1" t="shared" si="11"/>
        <v>192.61546296296</v>
      </c>
      <c r="R165" s="106" t="str">
        <f ca="1" t="shared" si="7"/>
        <v>ACTIVE</v>
      </c>
      <c r="S165" s="770">
        <v>3355750</v>
      </c>
      <c r="T165" s="747">
        <v>600000</v>
      </c>
      <c r="U165" s="770"/>
      <c r="V165" s="747"/>
      <c r="W165" s="770"/>
      <c r="X165" s="770"/>
      <c r="Y165" s="770"/>
      <c r="Z165" s="747"/>
      <c r="AA165" s="770"/>
      <c r="AB165" s="712" t="s">
        <v>8612</v>
      </c>
      <c r="AC165" s="778"/>
      <c r="AD165" s="700" t="s">
        <v>10223</v>
      </c>
      <c r="AE165" s="432"/>
      <c r="AF165" s="754" t="s">
        <v>10276</v>
      </c>
      <c r="AG165" s="122" t="s">
        <v>10277</v>
      </c>
      <c r="AH165" s="122" t="s">
        <v>10278</v>
      </c>
      <c r="AI165" s="122" t="s">
        <v>10279</v>
      </c>
      <c r="AJ165" s="122" t="s">
        <v>5647</v>
      </c>
      <c r="AK165" s="122"/>
      <c r="AL165" s="723" t="s">
        <v>10280</v>
      </c>
      <c r="AM165" s="127" t="s">
        <v>10281</v>
      </c>
      <c r="AN165" s="221"/>
    </row>
    <row r="166" ht="14.1" customHeight="1" spans="1:40">
      <c r="A166" s="1585" t="s">
        <v>1677</v>
      </c>
      <c r="B166" s="14" t="s">
        <v>10282</v>
      </c>
      <c r="C166" s="733" t="s">
        <v>10283</v>
      </c>
      <c r="D166" s="734" t="s">
        <v>10284</v>
      </c>
      <c r="E166" s="431" t="s">
        <v>43</v>
      </c>
      <c r="F166" s="432" t="s">
        <v>254</v>
      </c>
      <c r="G166" s="739" t="s">
        <v>2823</v>
      </c>
      <c r="H166" s="697" t="s">
        <v>9347</v>
      </c>
      <c r="I166" s="697" t="s">
        <v>3528</v>
      </c>
      <c r="J166" s="743">
        <v>43101</v>
      </c>
      <c r="K166" s="743">
        <v>43465</v>
      </c>
      <c r="L166" s="744"/>
      <c r="M166" s="744"/>
      <c r="N166" s="744"/>
      <c r="O166" s="432"/>
      <c r="P166" s="432"/>
      <c r="Q166" s="540">
        <f ca="1" t="shared" si="11"/>
        <v>192.61546296296</v>
      </c>
      <c r="R166" s="106" t="str">
        <f ca="1" t="shared" si="7"/>
        <v>ACTIVE</v>
      </c>
      <c r="S166" s="770">
        <v>3355750</v>
      </c>
      <c r="T166" s="747">
        <v>600000</v>
      </c>
      <c r="U166" s="770"/>
      <c r="V166" s="747"/>
      <c r="W166" s="770"/>
      <c r="X166" s="770"/>
      <c r="Y166" s="770"/>
      <c r="Z166" s="747"/>
      <c r="AA166" s="770"/>
      <c r="AB166" s="712" t="s">
        <v>8612</v>
      </c>
      <c r="AC166" s="778"/>
      <c r="AD166" s="700" t="s">
        <v>10223</v>
      </c>
      <c r="AE166" s="432"/>
      <c r="AF166" s="754" t="s">
        <v>10285</v>
      </c>
      <c r="AG166" s="122" t="s">
        <v>10286</v>
      </c>
      <c r="AH166" s="122" t="s">
        <v>10287</v>
      </c>
      <c r="AI166" s="122" t="s">
        <v>10288</v>
      </c>
      <c r="AJ166" s="122" t="s">
        <v>5647</v>
      </c>
      <c r="AK166" s="122" t="s">
        <v>10289</v>
      </c>
      <c r="AL166" s="723" t="s">
        <v>10290</v>
      </c>
      <c r="AM166" s="127" t="s">
        <v>10291</v>
      </c>
      <c r="AN166" s="221"/>
    </row>
    <row r="167" ht="14.1" customHeight="1" spans="1:40">
      <c r="A167" s="1585" t="s">
        <v>1683</v>
      </c>
      <c r="B167" s="14" t="s">
        <v>10292</v>
      </c>
      <c r="C167" s="733" t="s">
        <v>2945</v>
      </c>
      <c r="D167" s="734" t="s">
        <v>10293</v>
      </c>
      <c r="E167" s="431" t="s">
        <v>43</v>
      </c>
      <c r="F167" s="432" t="s">
        <v>254</v>
      </c>
      <c r="G167" s="739" t="s">
        <v>2823</v>
      </c>
      <c r="H167" s="697" t="s">
        <v>9347</v>
      </c>
      <c r="I167" s="697" t="s">
        <v>3528</v>
      </c>
      <c r="J167" s="743">
        <v>43101</v>
      </c>
      <c r="K167" s="743">
        <v>43465</v>
      </c>
      <c r="L167" s="744"/>
      <c r="M167" s="744"/>
      <c r="N167" s="744"/>
      <c r="O167" s="432"/>
      <c r="P167" s="432"/>
      <c r="Q167" s="540">
        <f ca="1" t="shared" si="11"/>
        <v>192.61546296296</v>
      </c>
      <c r="R167" s="106" t="str">
        <f ca="1" t="shared" si="7"/>
        <v>ACTIVE</v>
      </c>
      <c r="S167" s="770">
        <v>3355750</v>
      </c>
      <c r="T167" s="747">
        <v>600000</v>
      </c>
      <c r="U167" s="770"/>
      <c r="V167" s="747"/>
      <c r="W167" s="770"/>
      <c r="X167" s="770"/>
      <c r="Y167" s="770"/>
      <c r="Z167" s="747"/>
      <c r="AA167" s="770"/>
      <c r="AB167" s="712" t="s">
        <v>8612</v>
      </c>
      <c r="AC167" s="778"/>
      <c r="AD167" s="700" t="s">
        <v>10223</v>
      </c>
      <c r="AE167" s="432"/>
      <c r="AF167" s="754" t="s">
        <v>10294</v>
      </c>
      <c r="AG167" s="122" t="s">
        <v>10295</v>
      </c>
      <c r="AH167" s="122" t="s">
        <v>10296</v>
      </c>
      <c r="AI167" s="122" t="s">
        <v>10297</v>
      </c>
      <c r="AJ167" s="122" t="s">
        <v>5647</v>
      </c>
      <c r="AK167" s="122" t="s">
        <v>10298</v>
      </c>
      <c r="AL167" s="723" t="s">
        <v>10299</v>
      </c>
      <c r="AM167" s="130"/>
      <c r="AN167" s="221"/>
    </row>
    <row r="168" ht="14.1" customHeight="1" spans="1:40">
      <c r="A168" s="1585" t="s">
        <v>1694</v>
      </c>
      <c r="B168" s="14" t="s">
        <v>10300</v>
      </c>
      <c r="C168" s="733" t="s">
        <v>10301</v>
      </c>
      <c r="D168" s="734" t="s">
        <v>5447</v>
      </c>
      <c r="E168" s="431" t="s">
        <v>125</v>
      </c>
      <c r="F168" s="432" t="s">
        <v>404</v>
      </c>
      <c r="G168" s="739" t="s">
        <v>10302</v>
      </c>
      <c r="H168" s="697" t="s">
        <v>10303</v>
      </c>
      <c r="I168" s="697" t="s">
        <v>3528</v>
      </c>
      <c r="J168" s="743">
        <v>43101</v>
      </c>
      <c r="K168" s="743">
        <v>43465</v>
      </c>
      <c r="L168" s="744"/>
      <c r="M168" s="744"/>
      <c r="N168" s="744"/>
      <c r="O168" s="432"/>
      <c r="P168" s="432"/>
      <c r="Q168" s="540">
        <f ca="1" t="shared" si="11"/>
        <v>192.61546296296</v>
      </c>
      <c r="R168" s="106" t="str">
        <f ca="1" t="shared" si="7"/>
        <v>ACTIVE</v>
      </c>
      <c r="S168" s="770">
        <v>3395692</v>
      </c>
      <c r="T168" s="747">
        <v>600000</v>
      </c>
      <c r="U168" s="770"/>
      <c r="V168" s="747"/>
      <c r="W168" s="770"/>
      <c r="X168" s="770"/>
      <c r="Y168" s="770"/>
      <c r="Z168" s="747"/>
      <c r="AA168" s="770"/>
      <c r="AB168" s="712" t="s">
        <v>8612</v>
      </c>
      <c r="AC168" s="778"/>
      <c r="AD168" s="700" t="s">
        <v>10223</v>
      </c>
      <c r="AE168" s="432"/>
      <c r="AF168" s="754" t="s">
        <v>10304</v>
      </c>
      <c r="AG168" s="122" t="s">
        <v>10305</v>
      </c>
      <c r="AH168" s="122" t="s">
        <v>10306</v>
      </c>
      <c r="AI168" s="122" t="s">
        <v>10307</v>
      </c>
      <c r="AJ168" s="122" t="s">
        <v>10308</v>
      </c>
      <c r="AK168" s="122" t="s">
        <v>10309</v>
      </c>
      <c r="AL168" s="723" t="s">
        <v>10310</v>
      </c>
      <c r="AM168" s="127" t="s">
        <v>10311</v>
      </c>
      <c r="AN168" s="221"/>
    </row>
    <row r="169" ht="14.1" customHeight="1" spans="1:40">
      <c r="A169" s="1585" t="s">
        <v>1704</v>
      </c>
      <c r="B169" s="14" t="s">
        <v>10312</v>
      </c>
      <c r="C169" s="733" t="s">
        <v>10313</v>
      </c>
      <c r="D169" s="734" t="s">
        <v>10314</v>
      </c>
      <c r="E169" s="431" t="s">
        <v>43</v>
      </c>
      <c r="F169" s="432" t="s">
        <v>60</v>
      </c>
      <c r="G169" s="739" t="s">
        <v>10315</v>
      </c>
      <c r="H169" s="697" t="s">
        <v>9458</v>
      </c>
      <c r="I169" s="697" t="s">
        <v>3528</v>
      </c>
      <c r="J169" s="743">
        <v>43101</v>
      </c>
      <c r="K169" s="743">
        <v>43465</v>
      </c>
      <c r="L169" s="744"/>
      <c r="M169" s="744"/>
      <c r="N169" s="744"/>
      <c r="O169" s="432"/>
      <c r="P169" s="432"/>
      <c r="Q169" s="540">
        <f ca="1" t="shared" si="11"/>
        <v>192.61546296296</v>
      </c>
      <c r="R169" s="106" t="str">
        <f ca="1" t="shared" si="7"/>
        <v>ACTIVE</v>
      </c>
      <c r="S169" s="770">
        <v>3509000</v>
      </c>
      <c r="T169" s="747">
        <v>600000</v>
      </c>
      <c r="U169" s="770"/>
      <c r="V169" s="747"/>
      <c r="W169" s="770"/>
      <c r="X169" s="770"/>
      <c r="Y169" s="770"/>
      <c r="Z169" s="747"/>
      <c r="AA169" s="770"/>
      <c r="AB169" s="712" t="s">
        <v>8612</v>
      </c>
      <c r="AC169" s="778"/>
      <c r="AD169" s="700" t="s">
        <v>10223</v>
      </c>
      <c r="AE169" s="432"/>
      <c r="AF169" s="754" t="s">
        <v>10316</v>
      </c>
      <c r="AG169" s="122" t="s">
        <v>10317</v>
      </c>
      <c r="AH169" s="122" t="s">
        <v>10318</v>
      </c>
      <c r="AI169" s="122" t="s">
        <v>10319</v>
      </c>
      <c r="AJ169" s="122" t="s">
        <v>10320</v>
      </c>
      <c r="AK169" s="122" t="s">
        <v>10321</v>
      </c>
      <c r="AL169" s="723" t="s">
        <v>10322</v>
      </c>
      <c r="AM169" s="127" t="s">
        <v>10323</v>
      </c>
      <c r="AN169" s="221"/>
    </row>
    <row r="170" ht="14.1" customHeight="1" spans="1:40">
      <c r="A170" s="1585" t="s">
        <v>1712</v>
      </c>
      <c r="B170" s="14" t="s">
        <v>10324</v>
      </c>
      <c r="C170" s="733" t="s">
        <v>10325</v>
      </c>
      <c r="D170" s="734" t="s">
        <v>10326</v>
      </c>
      <c r="E170" s="431" t="s">
        <v>43</v>
      </c>
      <c r="F170" s="432" t="s">
        <v>44</v>
      </c>
      <c r="G170" s="739" t="s">
        <v>10315</v>
      </c>
      <c r="H170" s="697" t="s">
        <v>9458</v>
      </c>
      <c r="I170" s="697" t="s">
        <v>3528</v>
      </c>
      <c r="J170" s="743">
        <v>43101</v>
      </c>
      <c r="K170" s="743">
        <v>43465</v>
      </c>
      <c r="L170" s="744"/>
      <c r="M170" s="744"/>
      <c r="N170" s="744"/>
      <c r="O170" s="432"/>
      <c r="P170" s="432"/>
      <c r="Q170" s="540">
        <f ca="1" t="shared" si="11"/>
        <v>192.61546296296</v>
      </c>
      <c r="R170" s="106" t="str">
        <f ca="1" t="shared" si="7"/>
        <v>ACTIVE</v>
      </c>
      <c r="S170" s="770">
        <v>3373923</v>
      </c>
      <c r="T170" s="747">
        <v>600000</v>
      </c>
      <c r="U170" s="770"/>
      <c r="V170" s="747"/>
      <c r="W170" s="770"/>
      <c r="X170" s="770"/>
      <c r="Y170" s="770"/>
      <c r="Z170" s="747"/>
      <c r="AA170" s="770"/>
      <c r="AB170" s="712" t="s">
        <v>8612</v>
      </c>
      <c r="AC170" s="778"/>
      <c r="AD170" s="700" t="s">
        <v>10223</v>
      </c>
      <c r="AE170" s="432"/>
      <c r="AF170" s="754" t="s">
        <v>10327</v>
      </c>
      <c r="AG170" s="122" t="s">
        <v>10328</v>
      </c>
      <c r="AH170" s="122" t="s">
        <v>10329</v>
      </c>
      <c r="AI170" s="122" t="s">
        <v>10330</v>
      </c>
      <c r="AJ170" s="122" t="s">
        <v>10331</v>
      </c>
      <c r="AK170" s="122" t="s">
        <v>10332</v>
      </c>
      <c r="AL170" s="723" t="s">
        <v>10333</v>
      </c>
      <c r="AM170" s="127" t="s">
        <v>10334</v>
      </c>
      <c r="AN170" s="221"/>
    </row>
    <row r="171" ht="14.1" customHeight="1" spans="1:40">
      <c r="A171" s="1585" t="s">
        <v>1721</v>
      </c>
      <c r="B171" s="14" t="s">
        <v>10335</v>
      </c>
      <c r="C171" s="733" t="s">
        <v>10336</v>
      </c>
      <c r="D171" s="734" t="s">
        <v>10337</v>
      </c>
      <c r="E171" s="431" t="s">
        <v>43</v>
      </c>
      <c r="F171" s="432" t="s">
        <v>44</v>
      </c>
      <c r="G171" s="739" t="s">
        <v>10338</v>
      </c>
      <c r="H171" s="697" t="s">
        <v>10339</v>
      </c>
      <c r="I171" s="697" t="s">
        <v>3528</v>
      </c>
      <c r="J171" s="743">
        <v>43101</v>
      </c>
      <c r="K171" s="743">
        <v>43465</v>
      </c>
      <c r="L171" s="744"/>
      <c r="M171" s="744"/>
      <c r="N171" s="744"/>
      <c r="O171" s="432"/>
      <c r="P171" s="432"/>
      <c r="Q171" s="540">
        <f ca="1" t="shared" si="11"/>
        <v>192.61546296296</v>
      </c>
      <c r="R171" s="106" t="str">
        <f ca="1" t="shared" si="7"/>
        <v>ACTIVE</v>
      </c>
      <c r="S171" s="770">
        <v>3375192</v>
      </c>
      <c r="T171" s="747">
        <v>600000</v>
      </c>
      <c r="U171" s="770"/>
      <c r="V171" s="747">
        <v>675038</v>
      </c>
      <c r="W171" s="770"/>
      <c r="X171" s="770"/>
      <c r="Y171" s="770"/>
      <c r="Z171" s="747"/>
      <c r="AA171" s="770"/>
      <c r="AB171" s="712" t="s">
        <v>8612</v>
      </c>
      <c r="AC171" s="778"/>
      <c r="AD171" s="700" t="s">
        <v>10223</v>
      </c>
      <c r="AE171" s="432"/>
      <c r="AF171" s="754" t="s">
        <v>10340</v>
      </c>
      <c r="AG171" s="122" t="s">
        <v>10341</v>
      </c>
      <c r="AH171" s="122" t="s">
        <v>10342</v>
      </c>
      <c r="AI171" s="122"/>
      <c r="AJ171" s="122"/>
      <c r="AK171" s="122" t="s">
        <v>10343</v>
      </c>
      <c r="AL171" s="723" t="s">
        <v>10344</v>
      </c>
      <c r="AM171" s="130"/>
      <c r="AN171" s="221"/>
    </row>
    <row r="172" ht="14.1" customHeight="1" spans="1:40">
      <c r="A172" s="1585" t="s">
        <v>1733</v>
      </c>
      <c r="B172" s="14" t="s">
        <v>10345</v>
      </c>
      <c r="C172" s="733" t="s">
        <v>10346</v>
      </c>
      <c r="D172" s="734" t="s">
        <v>10347</v>
      </c>
      <c r="E172" s="431" t="s">
        <v>43</v>
      </c>
      <c r="F172" s="432" t="s">
        <v>404</v>
      </c>
      <c r="G172" s="739" t="s">
        <v>9114</v>
      </c>
      <c r="H172" s="697" t="s">
        <v>9103</v>
      </c>
      <c r="I172" s="697" t="s">
        <v>2832</v>
      </c>
      <c r="J172" s="743">
        <v>43101</v>
      </c>
      <c r="K172" s="743">
        <v>43465</v>
      </c>
      <c r="L172" s="744"/>
      <c r="M172" s="744"/>
      <c r="N172" s="744"/>
      <c r="O172" s="432"/>
      <c r="P172" s="432"/>
      <c r="Q172" s="540">
        <f ca="1" t="shared" si="11"/>
        <v>192.61546296296</v>
      </c>
      <c r="R172" s="106" t="str">
        <f ca="1" t="shared" si="7"/>
        <v>ACTIVE</v>
      </c>
      <c r="S172" s="116">
        <v>3048036</v>
      </c>
      <c r="T172" s="747">
        <v>600000</v>
      </c>
      <c r="U172" s="770"/>
      <c r="V172" s="747"/>
      <c r="W172" s="770"/>
      <c r="X172" s="770"/>
      <c r="Y172" s="770"/>
      <c r="Z172" s="747"/>
      <c r="AA172" s="770"/>
      <c r="AB172" s="712" t="s">
        <v>8612</v>
      </c>
      <c r="AC172" s="778"/>
      <c r="AD172" s="700" t="s">
        <v>10223</v>
      </c>
      <c r="AE172" s="101" t="s">
        <v>10348</v>
      </c>
      <c r="AF172" s="754" t="s">
        <v>10349</v>
      </c>
      <c r="AG172" s="122" t="s">
        <v>10350</v>
      </c>
      <c r="AH172" s="122" t="s">
        <v>10351</v>
      </c>
      <c r="AI172" s="122" t="s">
        <v>10352</v>
      </c>
      <c r="AJ172" s="122" t="s">
        <v>10353</v>
      </c>
      <c r="AK172" s="122" t="s">
        <v>10354</v>
      </c>
      <c r="AL172" s="723" t="s">
        <v>10355</v>
      </c>
      <c r="AM172" s="127" t="s">
        <v>10356</v>
      </c>
      <c r="AN172" s="221"/>
    </row>
    <row r="173" ht="14.1" customHeight="1" spans="1:40">
      <c r="A173" s="1585" t="s">
        <v>1742</v>
      </c>
      <c r="B173" s="14" t="s">
        <v>10357</v>
      </c>
      <c r="C173" s="733" t="s">
        <v>10358</v>
      </c>
      <c r="D173" s="734" t="s">
        <v>10359</v>
      </c>
      <c r="E173" s="431" t="s">
        <v>43</v>
      </c>
      <c r="F173" s="432" t="s">
        <v>44</v>
      </c>
      <c r="G173" s="739" t="s">
        <v>9114</v>
      </c>
      <c r="H173" s="697" t="s">
        <v>9103</v>
      </c>
      <c r="I173" s="697" t="s">
        <v>3089</v>
      </c>
      <c r="J173" s="743">
        <v>43101</v>
      </c>
      <c r="K173" s="743">
        <v>43465</v>
      </c>
      <c r="L173" s="744"/>
      <c r="M173" s="744"/>
      <c r="N173" s="744"/>
      <c r="O173" s="432"/>
      <c r="P173" s="432"/>
      <c r="Q173" s="540">
        <f ca="1" t="shared" si="11"/>
        <v>192.61546296296</v>
      </c>
      <c r="R173" s="106" t="str">
        <f ca="1" t="shared" si="7"/>
        <v>ACTIVE</v>
      </c>
      <c r="S173" s="770">
        <v>3296212</v>
      </c>
      <c r="T173" s="747">
        <v>600000</v>
      </c>
      <c r="U173" s="770"/>
      <c r="V173" s="747"/>
      <c r="W173" s="770"/>
      <c r="X173" s="770"/>
      <c r="Y173" s="770"/>
      <c r="Z173" s="747"/>
      <c r="AA173" s="770"/>
      <c r="AB173" s="712" t="s">
        <v>8612</v>
      </c>
      <c r="AC173" s="778"/>
      <c r="AD173" s="700" t="s">
        <v>10223</v>
      </c>
      <c r="AE173" s="432"/>
      <c r="AF173" s="754" t="s">
        <v>10360</v>
      </c>
      <c r="AG173" s="122" t="s">
        <v>10361</v>
      </c>
      <c r="AH173" s="122" t="s">
        <v>10362</v>
      </c>
      <c r="AI173" s="122" t="s">
        <v>10363</v>
      </c>
      <c r="AJ173" s="122" t="s">
        <v>10364</v>
      </c>
      <c r="AK173" s="122"/>
      <c r="AL173" s="723" t="s">
        <v>10365</v>
      </c>
      <c r="AM173" s="127" t="s">
        <v>10366</v>
      </c>
      <c r="AN173" s="221"/>
    </row>
    <row r="174" ht="14.1" customHeight="1" spans="1:40">
      <c r="A174" s="1585" t="s">
        <v>1754</v>
      </c>
      <c r="B174" s="14" t="s">
        <v>10367</v>
      </c>
      <c r="C174" s="733" t="s">
        <v>10368</v>
      </c>
      <c r="D174" s="734" t="s">
        <v>10369</v>
      </c>
      <c r="E174" s="431" t="s">
        <v>43</v>
      </c>
      <c r="F174" s="432" t="s">
        <v>404</v>
      </c>
      <c r="G174" s="739" t="s">
        <v>9114</v>
      </c>
      <c r="H174" s="697" t="s">
        <v>9103</v>
      </c>
      <c r="I174" s="697" t="s">
        <v>10370</v>
      </c>
      <c r="J174" s="743">
        <v>43101</v>
      </c>
      <c r="K174" s="743">
        <v>43465</v>
      </c>
      <c r="L174" s="744"/>
      <c r="M174" s="744"/>
      <c r="N174" s="744"/>
      <c r="O174" s="432"/>
      <c r="P174" s="432"/>
      <c r="Q174" s="540">
        <f ca="1" t="shared" si="11"/>
        <v>192.61546296296</v>
      </c>
      <c r="R174" s="106" t="str">
        <f ca="1" t="shared" si="7"/>
        <v>ACTIVE</v>
      </c>
      <c r="S174" s="116">
        <v>3048036</v>
      </c>
      <c r="T174" s="747">
        <v>600000</v>
      </c>
      <c r="U174" s="770"/>
      <c r="V174" s="747"/>
      <c r="W174" s="770"/>
      <c r="X174" s="770"/>
      <c r="Y174" s="770"/>
      <c r="Z174" s="747"/>
      <c r="AA174" s="770"/>
      <c r="AB174" s="712" t="s">
        <v>8612</v>
      </c>
      <c r="AC174" s="778"/>
      <c r="AD174" s="700" t="s">
        <v>10223</v>
      </c>
      <c r="AE174" s="101" t="s">
        <v>10371</v>
      </c>
      <c r="AF174" s="754" t="s">
        <v>10372</v>
      </c>
      <c r="AG174" s="122" t="s">
        <v>10373</v>
      </c>
      <c r="AH174" s="122" t="s">
        <v>10374</v>
      </c>
      <c r="AI174" s="122" t="s">
        <v>10375</v>
      </c>
      <c r="AJ174" s="122" t="s">
        <v>10376</v>
      </c>
      <c r="AK174" s="122" t="s">
        <v>10377</v>
      </c>
      <c r="AL174" s="723" t="s">
        <v>10378</v>
      </c>
      <c r="AM174" s="127" t="s">
        <v>10379</v>
      </c>
      <c r="AN174" s="221"/>
    </row>
    <row r="175" ht="14.1" customHeight="1" spans="1:40">
      <c r="A175" s="1585" t="s">
        <v>1764</v>
      </c>
      <c r="B175" s="14" t="s">
        <v>10380</v>
      </c>
      <c r="C175" s="733" t="s">
        <v>10381</v>
      </c>
      <c r="D175" s="734" t="s">
        <v>10382</v>
      </c>
      <c r="E175" s="431" t="s">
        <v>43</v>
      </c>
      <c r="F175" s="432" t="s">
        <v>404</v>
      </c>
      <c r="G175" s="739" t="s">
        <v>10383</v>
      </c>
      <c r="H175" s="697" t="s">
        <v>9373</v>
      </c>
      <c r="I175" s="697" t="s">
        <v>3528</v>
      </c>
      <c r="J175" s="743">
        <v>43101</v>
      </c>
      <c r="K175" s="743">
        <v>43465</v>
      </c>
      <c r="L175" s="744"/>
      <c r="M175" s="744"/>
      <c r="N175" s="744"/>
      <c r="O175" s="432"/>
      <c r="P175" s="432"/>
      <c r="Q175" s="540">
        <f ca="1" t="shared" si="11"/>
        <v>192.61546296296</v>
      </c>
      <c r="R175" s="106" t="str">
        <f ca="1" t="shared" si="7"/>
        <v>ACTIVE</v>
      </c>
      <c r="S175" s="770">
        <v>3355750</v>
      </c>
      <c r="T175" s="747">
        <v>600000</v>
      </c>
      <c r="U175" s="770"/>
      <c r="V175" s="747"/>
      <c r="W175" s="770"/>
      <c r="X175" s="770"/>
      <c r="Y175" s="770"/>
      <c r="Z175" s="747"/>
      <c r="AA175" s="770"/>
      <c r="AB175" s="712" t="s">
        <v>8612</v>
      </c>
      <c r="AC175" s="778"/>
      <c r="AD175" s="700" t="s">
        <v>10223</v>
      </c>
      <c r="AE175" s="432"/>
      <c r="AF175" s="754" t="s">
        <v>10384</v>
      </c>
      <c r="AG175" s="122" t="s">
        <v>10385</v>
      </c>
      <c r="AH175" s="122" t="s">
        <v>10386</v>
      </c>
      <c r="AI175" s="122" t="s">
        <v>10387</v>
      </c>
      <c r="AJ175" s="122"/>
      <c r="AK175" s="122"/>
      <c r="AL175" s="723" t="s">
        <v>10388</v>
      </c>
      <c r="AM175" s="127" t="s">
        <v>10389</v>
      </c>
      <c r="AN175" s="221"/>
    </row>
    <row r="176" ht="14.1" customHeight="1" spans="1:40">
      <c r="A176" s="1585" t="s">
        <v>1773</v>
      </c>
      <c r="B176" s="14" t="s">
        <v>10390</v>
      </c>
      <c r="C176" s="733" t="s">
        <v>10391</v>
      </c>
      <c r="D176" s="734" t="s">
        <v>10392</v>
      </c>
      <c r="E176" s="431" t="s">
        <v>125</v>
      </c>
      <c r="F176" s="432" t="s">
        <v>44</v>
      </c>
      <c r="G176" s="739" t="s">
        <v>10383</v>
      </c>
      <c r="H176" s="697" t="s">
        <v>9373</v>
      </c>
      <c r="I176" s="697" t="s">
        <v>3528</v>
      </c>
      <c r="J176" s="743">
        <v>43101</v>
      </c>
      <c r="K176" s="743">
        <v>43281</v>
      </c>
      <c r="L176" s="744"/>
      <c r="M176" s="744"/>
      <c r="N176" s="744"/>
      <c r="O176" s="432"/>
      <c r="P176" s="432"/>
      <c r="Q176" s="540">
        <f ca="1" t="shared" si="11"/>
        <v>8.61546296296001</v>
      </c>
      <c r="R176" s="106" t="str">
        <f ca="1" t="shared" si="7"/>
        <v>WARNING</v>
      </c>
      <c r="S176" s="770">
        <v>3355750</v>
      </c>
      <c r="T176" s="747">
        <v>600000</v>
      </c>
      <c r="U176" s="770"/>
      <c r="V176" s="747"/>
      <c r="W176" s="770"/>
      <c r="X176" s="770"/>
      <c r="Y176" s="770"/>
      <c r="Z176" s="747"/>
      <c r="AA176" s="770"/>
      <c r="AB176" s="712" t="s">
        <v>8612</v>
      </c>
      <c r="AC176" s="778"/>
      <c r="AD176" s="700" t="s">
        <v>10223</v>
      </c>
      <c r="AE176" s="432"/>
      <c r="AF176" s="754" t="s">
        <v>10393</v>
      </c>
      <c r="AG176" s="122" t="s">
        <v>10394</v>
      </c>
      <c r="AH176" s="122" t="s">
        <v>10395</v>
      </c>
      <c r="AI176" s="122" t="s">
        <v>10396</v>
      </c>
      <c r="AJ176" s="122" t="s">
        <v>10397</v>
      </c>
      <c r="AK176" s="122" t="s">
        <v>10398</v>
      </c>
      <c r="AL176" s="723" t="s">
        <v>10399</v>
      </c>
      <c r="AM176" s="127" t="s">
        <v>10400</v>
      </c>
      <c r="AN176" s="221"/>
    </row>
    <row r="177" ht="14.1" customHeight="1" spans="1:40">
      <c r="A177" s="1585" t="s">
        <v>1782</v>
      </c>
      <c r="B177" s="14" t="s">
        <v>10401</v>
      </c>
      <c r="C177" s="733" t="s">
        <v>10402</v>
      </c>
      <c r="D177" s="734" t="s">
        <v>10403</v>
      </c>
      <c r="E177" s="431" t="s">
        <v>125</v>
      </c>
      <c r="F177" s="432" t="s">
        <v>44</v>
      </c>
      <c r="G177" s="739" t="s">
        <v>10383</v>
      </c>
      <c r="H177" s="697" t="s">
        <v>9373</v>
      </c>
      <c r="I177" s="697" t="s">
        <v>3528</v>
      </c>
      <c r="J177" s="743">
        <v>43101</v>
      </c>
      <c r="K177" s="743">
        <v>43465</v>
      </c>
      <c r="L177" s="744"/>
      <c r="M177" s="744"/>
      <c r="N177" s="744"/>
      <c r="O177" s="432"/>
      <c r="P177" s="432"/>
      <c r="Q177" s="540">
        <f ca="1" t="shared" si="11"/>
        <v>192.61546296296</v>
      </c>
      <c r="R177" s="106" t="str">
        <f ca="1" t="shared" si="7"/>
        <v>ACTIVE</v>
      </c>
      <c r="S177" s="770">
        <v>3355750</v>
      </c>
      <c r="T177" s="747">
        <v>600000</v>
      </c>
      <c r="U177" s="770"/>
      <c r="V177" s="747"/>
      <c r="W177" s="770"/>
      <c r="X177" s="770"/>
      <c r="Y177" s="770"/>
      <c r="Z177" s="747"/>
      <c r="AA177" s="770"/>
      <c r="AB177" s="712" t="s">
        <v>8612</v>
      </c>
      <c r="AC177" s="778"/>
      <c r="AD177" s="700" t="s">
        <v>10223</v>
      </c>
      <c r="AE177" s="432"/>
      <c r="AF177" s="754" t="s">
        <v>10404</v>
      </c>
      <c r="AG177" s="122" t="s">
        <v>10405</v>
      </c>
      <c r="AH177" s="122" t="s">
        <v>10406</v>
      </c>
      <c r="AI177" s="122" t="s">
        <v>10407</v>
      </c>
      <c r="AJ177" s="122" t="s">
        <v>5647</v>
      </c>
      <c r="AK177" s="122" t="s">
        <v>10408</v>
      </c>
      <c r="AL177" s="723" t="s">
        <v>10409</v>
      </c>
      <c r="AM177" s="127" t="s">
        <v>10410</v>
      </c>
      <c r="AN177" s="221"/>
    </row>
    <row r="178" s="155" customFormat="1" ht="14.1" customHeight="1" spans="1:40">
      <c r="A178" s="1585" t="s">
        <v>1789</v>
      </c>
      <c r="B178" s="32" t="s">
        <v>10411</v>
      </c>
      <c r="C178" s="761" t="s">
        <v>10412</v>
      </c>
      <c r="D178" s="762" t="s">
        <v>10413</v>
      </c>
      <c r="E178" s="764" t="s">
        <v>125</v>
      </c>
      <c r="F178" s="180" t="s">
        <v>60</v>
      </c>
      <c r="G178" s="765" t="s">
        <v>9114</v>
      </c>
      <c r="H178" s="761" t="s">
        <v>9103</v>
      </c>
      <c r="I178" s="761" t="s">
        <v>3528</v>
      </c>
      <c r="J178" s="767">
        <v>43101</v>
      </c>
      <c r="K178" s="767">
        <v>43465</v>
      </c>
      <c r="L178" s="768"/>
      <c r="M178" s="768"/>
      <c r="N178" s="768"/>
      <c r="O178" s="180"/>
      <c r="P178" s="180"/>
      <c r="Q178" s="542">
        <f ca="1" t="shared" si="11"/>
        <v>192.61546296296</v>
      </c>
      <c r="R178" s="175" t="str">
        <f ca="1" t="shared" si="7"/>
        <v>ACTIVE</v>
      </c>
      <c r="S178" s="773">
        <v>3355750</v>
      </c>
      <c r="T178" s="774">
        <v>600000</v>
      </c>
      <c r="U178" s="773"/>
      <c r="V178" s="774"/>
      <c r="W178" s="773"/>
      <c r="X178" s="773"/>
      <c r="Y178" s="773"/>
      <c r="Z178" s="774"/>
      <c r="AA178" s="773"/>
      <c r="AB178" s="712" t="s">
        <v>8612</v>
      </c>
      <c r="AC178" s="779"/>
      <c r="AD178" s="764" t="s">
        <v>10223</v>
      </c>
      <c r="AE178" s="180"/>
      <c r="AF178" s="780" t="s">
        <v>10414</v>
      </c>
      <c r="AG178" s="1581" t="s">
        <v>10415</v>
      </c>
      <c r="AH178" s="224" t="s">
        <v>10416</v>
      </c>
      <c r="AI178" s="224"/>
      <c r="AJ178" s="224" t="s">
        <v>5647</v>
      </c>
      <c r="AK178" s="224" t="s">
        <v>10417</v>
      </c>
      <c r="AL178" s="781" t="s">
        <v>10418</v>
      </c>
      <c r="AM178" s="229" t="s">
        <v>10419</v>
      </c>
      <c r="AN178" s="222" t="s">
        <v>10420</v>
      </c>
    </row>
    <row r="179" ht="14.1" customHeight="1" spans="1:40">
      <c r="A179" s="1585" t="s">
        <v>1801</v>
      </c>
      <c r="B179" s="14" t="s">
        <v>10421</v>
      </c>
      <c r="C179" s="733" t="s">
        <v>10422</v>
      </c>
      <c r="D179" s="734" t="s">
        <v>10423</v>
      </c>
      <c r="E179" s="431" t="s">
        <v>125</v>
      </c>
      <c r="F179" s="432" t="s">
        <v>60</v>
      </c>
      <c r="G179" s="739" t="s">
        <v>9114</v>
      </c>
      <c r="H179" s="697" t="s">
        <v>9103</v>
      </c>
      <c r="I179" s="697" t="s">
        <v>3528</v>
      </c>
      <c r="J179" s="743">
        <v>43101</v>
      </c>
      <c r="K179" s="743">
        <v>43465</v>
      </c>
      <c r="L179" s="744"/>
      <c r="M179" s="744"/>
      <c r="N179" s="744"/>
      <c r="O179" s="432"/>
      <c r="P179" s="432"/>
      <c r="Q179" s="540">
        <f ca="1" t="shared" si="11"/>
        <v>192.61546296296</v>
      </c>
      <c r="R179" s="106" t="str">
        <f ca="1" t="shared" ref="R179:R197" si="12">IF(Q179&lt;=40,"WARNING","ACTIVE")</f>
        <v>ACTIVE</v>
      </c>
      <c r="S179" s="770">
        <v>3355750</v>
      </c>
      <c r="T179" s="747">
        <v>600000</v>
      </c>
      <c r="U179" s="770"/>
      <c r="V179" s="747"/>
      <c r="W179" s="770"/>
      <c r="X179" s="770"/>
      <c r="Y179" s="770"/>
      <c r="Z179" s="747"/>
      <c r="AA179" s="770"/>
      <c r="AB179" s="712" t="s">
        <v>8612</v>
      </c>
      <c r="AC179" s="778"/>
      <c r="AD179" s="700" t="s">
        <v>10223</v>
      </c>
      <c r="AE179" s="432"/>
      <c r="AF179" s="754" t="s">
        <v>10424</v>
      </c>
      <c r="AG179" s="122" t="s">
        <v>10425</v>
      </c>
      <c r="AH179" s="122" t="s">
        <v>10426</v>
      </c>
      <c r="AI179" s="122"/>
      <c r="AJ179" s="122" t="s">
        <v>10427</v>
      </c>
      <c r="AK179" s="122"/>
      <c r="AL179" s="723" t="s">
        <v>10428</v>
      </c>
      <c r="AM179" s="127" t="s">
        <v>10429</v>
      </c>
      <c r="AN179" s="221"/>
    </row>
    <row r="180" ht="14.1" customHeight="1" spans="1:40">
      <c r="A180" s="1585" t="s">
        <v>1810</v>
      </c>
      <c r="B180" s="14" t="s">
        <v>10430</v>
      </c>
      <c r="C180" s="733" t="s">
        <v>10431</v>
      </c>
      <c r="D180" s="734" t="s">
        <v>10432</v>
      </c>
      <c r="E180" s="431" t="s">
        <v>43</v>
      </c>
      <c r="F180" s="432" t="s">
        <v>60</v>
      </c>
      <c r="G180" s="739" t="s">
        <v>9114</v>
      </c>
      <c r="H180" s="697" t="s">
        <v>9103</v>
      </c>
      <c r="I180" s="697" t="s">
        <v>3528</v>
      </c>
      <c r="J180" s="743">
        <v>43101</v>
      </c>
      <c r="K180" s="743">
        <v>43465</v>
      </c>
      <c r="L180" s="744"/>
      <c r="M180" s="744"/>
      <c r="N180" s="744"/>
      <c r="O180" s="432"/>
      <c r="P180" s="432"/>
      <c r="Q180" s="540">
        <f ca="1" t="shared" si="11"/>
        <v>192.61546296296</v>
      </c>
      <c r="R180" s="106" t="str">
        <f ca="1" t="shared" si="12"/>
        <v>ACTIVE</v>
      </c>
      <c r="S180" s="770">
        <v>3355750</v>
      </c>
      <c r="T180" s="747">
        <v>600000</v>
      </c>
      <c r="U180" s="770"/>
      <c r="V180" s="747"/>
      <c r="W180" s="770"/>
      <c r="X180" s="770"/>
      <c r="Y180" s="770"/>
      <c r="Z180" s="747"/>
      <c r="AA180" s="770"/>
      <c r="AB180" s="712" t="s">
        <v>8612</v>
      </c>
      <c r="AC180" s="778"/>
      <c r="AD180" s="700" t="s">
        <v>10223</v>
      </c>
      <c r="AE180" s="432"/>
      <c r="AF180" s="754" t="s">
        <v>10433</v>
      </c>
      <c r="AG180" s="122" t="s">
        <v>10434</v>
      </c>
      <c r="AH180" s="122" t="s">
        <v>10435</v>
      </c>
      <c r="AI180" s="122" t="s">
        <v>10436</v>
      </c>
      <c r="AJ180" s="122" t="s">
        <v>5647</v>
      </c>
      <c r="AK180" s="122"/>
      <c r="AL180" s="723" t="s">
        <v>10437</v>
      </c>
      <c r="AM180" s="127" t="s">
        <v>10438</v>
      </c>
      <c r="AN180" s="221"/>
    </row>
    <row r="181" ht="14.1" customHeight="1" spans="1:40">
      <c r="A181" s="1585" t="s">
        <v>1819</v>
      </c>
      <c r="B181" s="14" t="s">
        <v>10439</v>
      </c>
      <c r="C181" s="733" t="s">
        <v>10440</v>
      </c>
      <c r="D181" s="734" t="s">
        <v>10441</v>
      </c>
      <c r="E181" s="431" t="s">
        <v>43</v>
      </c>
      <c r="F181" s="432" t="s">
        <v>44</v>
      </c>
      <c r="G181" s="739" t="s">
        <v>10442</v>
      </c>
      <c r="H181" s="697" t="s">
        <v>8611</v>
      </c>
      <c r="I181" s="697" t="s">
        <v>3528</v>
      </c>
      <c r="J181" s="743">
        <v>43101</v>
      </c>
      <c r="K181" s="743">
        <v>43465</v>
      </c>
      <c r="L181" s="744"/>
      <c r="M181" s="744"/>
      <c r="N181" s="744"/>
      <c r="O181" s="432"/>
      <c r="P181" s="432"/>
      <c r="Q181" s="540">
        <f ca="1" t="shared" si="11"/>
        <v>192.61546296296</v>
      </c>
      <c r="R181" s="106" t="str">
        <f ca="1" t="shared" si="12"/>
        <v>ACTIVE</v>
      </c>
      <c r="S181" s="770">
        <v>3355750</v>
      </c>
      <c r="T181" s="747">
        <v>600000</v>
      </c>
      <c r="U181" s="770"/>
      <c r="V181" s="747"/>
      <c r="W181" s="770"/>
      <c r="X181" s="770"/>
      <c r="Y181" s="770"/>
      <c r="Z181" s="747"/>
      <c r="AA181" s="770"/>
      <c r="AB181" s="712" t="s">
        <v>8612</v>
      </c>
      <c r="AC181" s="778"/>
      <c r="AD181" s="700" t="s">
        <v>10223</v>
      </c>
      <c r="AE181" s="432"/>
      <c r="AF181" s="754" t="s">
        <v>10443</v>
      </c>
      <c r="AG181" s="122" t="s">
        <v>10444</v>
      </c>
      <c r="AH181" s="122" t="s">
        <v>10445</v>
      </c>
      <c r="AI181" s="122" t="s">
        <v>10446</v>
      </c>
      <c r="AJ181" s="122" t="s">
        <v>5647</v>
      </c>
      <c r="AK181" s="122" t="s">
        <v>10447</v>
      </c>
      <c r="AL181" s="723" t="s">
        <v>10448</v>
      </c>
      <c r="AM181" s="127" t="s">
        <v>10449</v>
      </c>
      <c r="AN181" s="221"/>
    </row>
    <row r="182" ht="14.1" customHeight="1" spans="1:40">
      <c r="A182" s="1585" t="s">
        <v>1828</v>
      </c>
      <c r="B182" s="14" t="s">
        <v>10450</v>
      </c>
      <c r="C182" s="733" t="s">
        <v>10451</v>
      </c>
      <c r="D182" s="734" t="s">
        <v>10452</v>
      </c>
      <c r="E182" s="431" t="s">
        <v>43</v>
      </c>
      <c r="F182" s="432" t="s">
        <v>404</v>
      </c>
      <c r="G182" s="739" t="s">
        <v>10383</v>
      </c>
      <c r="H182" s="697" t="s">
        <v>9373</v>
      </c>
      <c r="I182" s="697" t="s">
        <v>3528</v>
      </c>
      <c r="J182" s="743">
        <v>43101</v>
      </c>
      <c r="K182" s="743">
        <v>43465</v>
      </c>
      <c r="L182" s="744"/>
      <c r="M182" s="744"/>
      <c r="N182" s="744"/>
      <c r="O182" s="432"/>
      <c r="P182" s="432"/>
      <c r="Q182" s="540">
        <f ca="1" t="shared" si="11"/>
        <v>192.61546296296</v>
      </c>
      <c r="R182" s="106" t="str">
        <f ca="1" t="shared" si="12"/>
        <v>ACTIVE</v>
      </c>
      <c r="S182" s="770">
        <v>3355750</v>
      </c>
      <c r="T182" s="747">
        <v>600000</v>
      </c>
      <c r="U182" s="770"/>
      <c r="V182" s="747"/>
      <c r="W182" s="770"/>
      <c r="X182" s="770"/>
      <c r="Y182" s="770"/>
      <c r="Z182" s="747"/>
      <c r="AA182" s="770"/>
      <c r="AB182" s="712" t="s">
        <v>8612</v>
      </c>
      <c r="AC182" s="778"/>
      <c r="AD182" s="700" t="s">
        <v>10223</v>
      </c>
      <c r="AE182" s="432"/>
      <c r="AF182" s="754" t="s">
        <v>10453</v>
      </c>
      <c r="AG182" s="122" t="s">
        <v>10454</v>
      </c>
      <c r="AH182" s="122" t="s">
        <v>10455</v>
      </c>
      <c r="AI182" s="122"/>
      <c r="AJ182" s="122" t="s">
        <v>10456</v>
      </c>
      <c r="AK182" s="122" t="s">
        <v>10457</v>
      </c>
      <c r="AL182" s="723" t="s">
        <v>10458</v>
      </c>
      <c r="AM182" s="127" t="s">
        <v>10459</v>
      </c>
      <c r="AN182" s="221"/>
    </row>
    <row r="183" ht="14.1" customHeight="1" spans="1:40">
      <c r="A183" s="1585" t="s">
        <v>1836</v>
      </c>
      <c r="B183" s="14" t="s">
        <v>10460</v>
      </c>
      <c r="C183" s="733" t="s">
        <v>10461</v>
      </c>
      <c r="D183" s="734" t="s">
        <v>10462</v>
      </c>
      <c r="E183" s="431" t="s">
        <v>43</v>
      </c>
      <c r="F183" s="432" t="s">
        <v>44</v>
      </c>
      <c r="G183" s="739" t="s">
        <v>10383</v>
      </c>
      <c r="H183" s="697" t="s">
        <v>9373</v>
      </c>
      <c r="I183" s="697" t="s">
        <v>3528</v>
      </c>
      <c r="J183" s="743">
        <v>43101</v>
      </c>
      <c r="K183" s="743">
        <v>43465</v>
      </c>
      <c r="L183" s="744"/>
      <c r="M183" s="744"/>
      <c r="N183" s="744"/>
      <c r="O183" s="432"/>
      <c r="P183" s="432"/>
      <c r="Q183" s="540">
        <f ca="1" t="shared" si="11"/>
        <v>192.61546296296</v>
      </c>
      <c r="R183" s="106" t="str">
        <f ca="1" t="shared" si="12"/>
        <v>ACTIVE</v>
      </c>
      <c r="S183" s="770">
        <v>3355750</v>
      </c>
      <c r="T183" s="747">
        <v>600000</v>
      </c>
      <c r="U183" s="770"/>
      <c r="V183" s="747"/>
      <c r="W183" s="770"/>
      <c r="X183" s="770"/>
      <c r="Y183" s="770"/>
      <c r="Z183" s="747"/>
      <c r="AA183" s="770"/>
      <c r="AB183" s="712" t="s">
        <v>8612</v>
      </c>
      <c r="AC183" s="778"/>
      <c r="AD183" s="700" t="s">
        <v>10223</v>
      </c>
      <c r="AE183" s="432"/>
      <c r="AF183" s="754" t="s">
        <v>10463</v>
      </c>
      <c r="AG183" s="122" t="s">
        <v>10464</v>
      </c>
      <c r="AH183" s="122" t="s">
        <v>10465</v>
      </c>
      <c r="AI183" s="122"/>
      <c r="AJ183" s="122" t="s">
        <v>10466</v>
      </c>
      <c r="AK183" s="122" t="s">
        <v>10467</v>
      </c>
      <c r="AL183" s="723" t="s">
        <v>10468</v>
      </c>
      <c r="AM183" s="127" t="s">
        <v>10469</v>
      </c>
      <c r="AN183" s="221"/>
    </row>
    <row r="184" ht="14.1" customHeight="1" spans="1:40">
      <c r="A184" s="1585" t="s">
        <v>1848</v>
      </c>
      <c r="B184" s="14" t="s">
        <v>10470</v>
      </c>
      <c r="C184" s="733" t="s">
        <v>10471</v>
      </c>
      <c r="D184" s="734" t="s">
        <v>10472</v>
      </c>
      <c r="E184" s="431" t="s">
        <v>43</v>
      </c>
      <c r="F184" s="432" t="s">
        <v>60</v>
      </c>
      <c r="G184" s="766" t="s">
        <v>10473</v>
      </c>
      <c r="H184" s="697" t="s">
        <v>9458</v>
      </c>
      <c r="I184" s="697" t="s">
        <v>3528</v>
      </c>
      <c r="J184" s="743">
        <v>43101</v>
      </c>
      <c r="K184" s="743">
        <v>43465</v>
      </c>
      <c r="L184" s="746" t="s">
        <v>325</v>
      </c>
      <c r="M184" s="744"/>
      <c r="N184" s="744"/>
      <c r="O184" s="432"/>
      <c r="P184" s="432"/>
      <c r="Q184" s="540">
        <f ca="1" t="shared" si="11"/>
        <v>192.61546296296</v>
      </c>
      <c r="R184" s="106" t="str">
        <f ca="1" t="shared" si="12"/>
        <v>ACTIVE</v>
      </c>
      <c r="S184" s="116">
        <v>3648036</v>
      </c>
      <c r="T184" s="747"/>
      <c r="U184" s="770"/>
      <c r="V184" s="747"/>
      <c r="W184" s="770"/>
      <c r="X184" s="770"/>
      <c r="Y184" s="770"/>
      <c r="Z184" s="747"/>
      <c r="AA184" s="770"/>
      <c r="AB184" s="712" t="s">
        <v>8612</v>
      </c>
      <c r="AC184" s="778"/>
      <c r="AD184" s="700" t="s">
        <v>10223</v>
      </c>
      <c r="AE184" s="101" t="s">
        <v>10474</v>
      </c>
      <c r="AF184" s="754" t="s">
        <v>10475</v>
      </c>
      <c r="AG184" s="122" t="s">
        <v>10476</v>
      </c>
      <c r="AH184" s="122" t="s">
        <v>10477</v>
      </c>
      <c r="AI184" s="122"/>
      <c r="AJ184" s="122" t="s">
        <v>10478</v>
      </c>
      <c r="AK184" s="122"/>
      <c r="AL184" s="723" t="s">
        <v>10479</v>
      </c>
      <c r="AM184" s="130" t="s">
        <v>10480</v>
      </c>
      <c r="AN184" s="221"/>
    </row>
    <row r="185" ht="14.1" customHeight="1" spans="1:40">
      <c r="A185" s="1585" t="s">
        <v>1858</v>
      </c>
      <c r="B185" s="14" t="s">
        <v>10481</v>
      </c>
      <c r="C185" s="733" t="s">
        <v>10482</v>
      </c>
      <c r="D185" s="734" t="s">
        <v>10483</v>
      </c>
      <c r="E185" s="431" t="s">
        <v>43</v>
      </c>
      <c r="F185" s="432" t="s">
        <v>404</v>
      </c>
      <c r="G185" s="739" t="s">
        <v>2823</v>
      </c>
      <c r="H185" s="697" t="s">
        <v>9347</v>
      </c>
      <c r="I185" s="697" t="s">
        <v>3528</v>
      </c>
      <c r="J185" s="743">
        <v>43132</v>
      </c>
      <c r="K185" s="743">
        <v>43220</v>
      </c>
      <c r="L185" s="744">
        <v>43465</v>
      </c>
      <c r="M185" s="744"/>
      <c r="N185" s="744"/>
      <c r="O185" s="432"/>
      <c r="P185" s="432"/>
      <c r="Q185" s="540">
        <f ca="1">SUM(L185-NOW())</f>
        <v>192.61546296296</v>
      </c>
      <c r="R185" s="106" t="str">
        <f ca="1" t="shared" si="12"/>
        <v>ACTIVE</v>
      </c>
      <c r="S185" s="116">
        <v>2745000</v>
      </c>
      <c r="T185" s="747">
        <v>775000</v>
      </c>
      <c r="U185" s="770"/>
      <c r="V185" s="747"/>
      <c r="W185" s="770"/>
      <c r="X185" s="770"/>
      <c r="Y185" s="770"/>
      <c r="Z185" s="747"/>
      <c r="AA185" s="770"/>
      <c r="AB185" s="712" t="s">
        <v>8612</v>
      </c>
      <c r="AC185" s="778"/>
      <c r="AD185" s="700" t="s">
        <v>10223</v>
      </c>
      <c r="AE185" s="101"/>
      <c r="AF185" s="754" t="s">
        <v>10484</v>
      </c>
      <c r="AG185" s="122"/>
      <c r="AH185" s="122"/>
      <c r="AI185" s="122"/>
      <c r="AJ185" s="122"/>
      <c r="AK185" s="122"/>
      <c r="AL185" s="723" t="s">
        <v>10485</v>
      </c>
      <c r="AM185" s="127"/>
      <c r="AN185" s="221"/>
    </row>
    <row r="186" ht="14.1" customHeight="1" spans="1:40">
      <c r="A186" s="1585" t="s">
        <v>1867</v>
      </c>
      <c r="B186" s="14" t="s">
        <v>10486</v>
      </c>
      <c r="C186" s="733" t="s">
        <v>10487</v>
      </c>
      <c r="D186" s="734" t="s">
        <v>10488</v>
      </c>
      <c r="E186" s="431" t="s">
        <v>43</v>
      </c>
      <c r="F186" s="432" t="s">
        <v>96</v>
      </c>
      <c r="G186" s="739" t="s">
        <v>10489</v>
      </c>
      <c r="H186" s="697" t="s">
        <v>9347</v>
      </c>
      <c r="I186" s="697" t="s">
        <v>3528</v>
      </c>
      <c r="J186" s="743">
        <v>43132</v>
      </c>
      <c r="K186" s="743">
        <v>43465</v>
      </c>
      <c r="L186" s="744"/>
      <c r="M186" s="744"/>
      <c r="N186" s="744"/>
      <c r="O186" s="432"/>
      <c r="P186" s="432"/>
      <c r="Q186" s="540">
        <f ca="1" t="shared" si="11"/>
        <v>192.61546296296</v>
      </c>
      <c r="R186" s="106" t="str">
        <f ca="1" t="shared" si="12"/>
        <v>ACTIVE</v>
      </c>
      <c r="S186" s="116">
        <v>3025000</v>
      </c>
      <c r="T186" s="747">
        <v>775000</v>
      </c>
      <c r="U186" s="770"/>
      <c r="V186" s="747"/>
      <c r="W186" s="770"/>
      <c r="X186" s="770"/>
      <c r="Y186" s="770"/>
      <c r="Z186" s="747"/>
      <c r="AA186" s="770"/>
      <c r="AB186" s="712" t="s">
        <v>8612</v>
      </c>
      <c r="AC186" s="778"/>
      <c r="AD186" s="700" t="s">
        <v>10490</v>
      </c>
      <c r="AE186" s="101"/>
      <c r="AF186" s="754" t="s">
        <v>10491</v>
      </c>
      <c r="AG186" s="122" t="s">
        <v>10492</v>
      </c>
      <c r="AH186" s="122" t="s">
        <v>10493</v>
      </c>
      <c r="AI186" s="122" t="s">
        <v>10494</v>
      </c>
      <c r="AJ186" s="122" t="s">
        <v>5647</v>
      </c>
      <c r="AK186" s="122"/>
      <c r="AL186" s="782" t="s">
        <v>10495</v>
      </c>
      <c r="AM186" s="127" t="s">
        <v>10496</v>
      </c>
      <c r="AN186" s="221"/>
    </row>
    <row r="187" ht="14.1" customHeight="1" spans="1:40">
      <c r="A187" s="1585" t="s">
        <v>1876</v>
      </c>
      <c r="B187" s="14" t="s">
        <v>10497</v>
      </c>
      <c r="C187" s="733" t="s">
        <v>10498</v>
      </c>
      <c r="D187" s="734" t="s">
        <v>10499</v>
      </c>
      <c r="E187" s="431" t="s">
        <v>43</v>
      </c>
      <c r="F187" s="432" t="s">
        <v>60</v>
      </c>
      <c r="G187" s="739" t="s">
        <v>10489</v>
      </c>
      <c r="H187" s="697" t="s">
        <v>9347</v>
      </c>
      <c r="I187" s="697" t="s">
        <v>3528</v>
      </c>
      <c r="J187" s="743">
        <v>43132</v>
      </c>
      <c r="K187" s="743">
        <v>43465</v>
      </c>
      <c r="L187" s="744"/>
      <c r="M187" s="744"/>
      <c r="N187" s="744"/>
      <c r="O187" s="432"/>
      <c r="P187" s="432"/>
      <c r="Q187" s="540">
        <f ca="1" t="shared" si="11"/>
        <v>192.61546296296</v>
      </c>
      <c r="R187" s="106" t="str">
        <f ca="1" t="shared" si="12"/>
        <v>ACTIVE</v>
      </c>
      <c r="S187" s="116">
        <v>2873036</v>
      </c>
      <c r="T187" s="747">
        <v>775000</v>
      </c>
      <c r="U187" s="770"/>
      <c r="V187" s="747"/>
      <c r="W187" s="770"/>
      <c r="X187" s="770"/>
      <c r="Y187" s="770"/>
      <c r="Z187" s="747"/>
      <c r="AA187" s="770"/>
      <c r="AB187" s="712" t="s">
        <v>8612</v>
      </c>
      <c r="AC187" s="778"/>
      <c r="AD187" s="700" t="s">
        <v>10490</v>
      </c>
      <c r="AE187" s="101"/>
      <c r="AF187" s="754" t="s">
        <v>10500</v>
      </c>
      <c r="AG187" s="122"/>
      <c r="AH187" s="122" t="s">
        <v>10501</v>
      </c>
      <c r="AI187" s="122" t="s">
        <v>10502</v>
      </c>
      <c r="AJ187" s="122" t="s">
        <v>5647</v>
      </c>
      <c r="AK187" s="122" t="s">
        <v>10503</v>
      </c>
      <c r="AL187" s="782" t="s">
        <v>10504</v>
      </c>
      <c r="AM187" s="127" t="s">
        <v>10505</v>
      </c>
      <c r="AN187" s="221"/>
    </row>
    <row r="188" ht="14.1" customHeight="1" spans="1:40">
      <c r="A188" s="1585" t="s">
        <v>1885</v>
      </c>
      <c r="B188" s="14" t="s">
        <v>10506</v>
      </c>
      <c r="C188" s="733" t="s">
        <v>10507</v>
      </c>
      <c r="D188" s="734" t="s">
        <v>10508</v>
      </c>
      <c r="E188" s="431" t="s">
        <v>43</v>
      </c>
      <c r="F188" s="432" t="s">
        <v>404</v>
      </c>
      <c r="G188" s="739" t="s">
        <v>10489</v>
      </c>
      <c r="H188" s="697" t="s">
        <v>9347</v>
      </c>
      <c r="I188" s="697" t="s">
        <v>3528</v>
      </c>
      <c r="J188" s="743">
        <v>43132</v>
      </c>
      <c r="K188" s="743">
        <v>43465</v>
      </c>
      <c r="L188" s="744"/>
      <c r="M188" s="744"/>
      <c r="N188" s="744"/>
      <c r="O188" s="432"/>
      <c r="P188" s="432"/>
      <c r="Q188" s="540">
        <f ca="1" t="shared" si="11"/>
        <v>192.61546296296</v>
      </c>
      <c r="R188" s="106" t="str">
        <f ca="1" t="shared" si="12"/>
        <v>ACTIVE</v>
      </c>
      <c r="S188" s="116">
        <v>2873036</v>
      </c>
      <c r="T188" s="747">
        <v>775000</v>
      </c>
      <c r="U188" s="770"/>
      <c r="V188" s="747"/>
      <c r="W188" s="770"/>
      <c r="X188" s="770"/>
      <c r="Y188" s="770"/>
      <c r="Z188" s="747"/>
      <c r="AA188" s="770"/>
      <c r="AB188" s="712" t="s">
        <v>8612</v>
      </c>
      <c r="AC188" s="778"/>
      <c r="AD188" s="700" t="s">
        <v>10490</v>
      </c>
      <c r="AE188" s="101"/>
      <c r="AF188" s="754" t="s">
        <v>10509</v>
      </c>
      <c r="AG188" s="122" t="s">
        <v>10510</v>
      </c>
      <c r="AH188" s="122" t="s">
        <v>10511</v>
      </c>
      <c r="AI188" s="122" t="s">
        <v>10512</v>
      </c>
      <c r="AJ188" s="122" t="s">
        <v>5647</v>
      </c>
      <c r="AK188" s="122" t="s">
        <v>10513</v>
      </c>
      <c r="AL188" s="782" t="s">
        <v>10514</v>
      </c>
      <c r="AM188" s="127"/>
      <c r="AN188" s="221"/>
    </row>
    <row r="189" ht="14.1" customHeight="1" spans="1:40">
      <c r="A189" s="1585" t="s">
        <v>1895</v>
      </c>
      <c r="B189" s="14" t="s">
        <v>10515</v>
      </c>
      <c r="C189" s="733" t="s">
        <v>10516</v>
      </c>
      <c r="D189" s="734" t="s">
        <v>10517</v>
      </c>
      <c r="E189" s="431" t="s">
        <v>43</v>
      </c>
      <c r="F189" s="432" t="s">
        <v>254</v>
      </c>
      <c r="G189" s="739" t="s">
        <v>10489</v>
      </c>
      <c r="H189" s="697" t="s">
        <v>9347</v>
      </c>
      <c r="I189" s="697" t="s">
        <v>3528</v>
      </c>
      <c r="J189" s="743">
        <v>43132</v>
      </c>
      <c r="K189" s="743">
        <v>43465</v>
      </c>
      <c r="L189" s="744"/>
      <c r="M189" s="744"/>
      <c r="N189" s="744"/>
      <c r="O189" s="432"/>
      <c r="P189" s="432"/>
      <c r="Q189" s="540">
        <f ca="1" t="shared" si="11"/>
        <v>192.61546296296</v>
      </c>
      <c r="R189" s="106" t="str">
        <f ca="1" t="shared" si="12"/>
        <v>ACTIVE</v>
      </c>
      <c r="S189" s="116">
        <v>2873036</v>
      </c>
      <c r="T189" s="747">
        <v>775000</v>
      </c>
      <c r="U189" s="770"/>
      <c r="V189" s="747"/>
      <c r="W189" s="770"/>
      <c r="X189" s="770"/>
      <c r="Y189" s="770"/>
      <c r="Z189" s="747"/>
      <c r="AA189" s="770"/>
      <c r="AB189" s="712" t="s">
        <v>8612</v>
      </c>
      <c r="AC189" s="778"/>
      <c r="AD189" s="700" t="s">
        <v>10490</v>
      </c>
      <c r="AE189" s="101"/>
      <c r="AF189" s="754" t="s">
        <v>10518</v>
      </c>
      <c r="AG189" s="122"/>
      <c r="AH189" s="122" t="s">
        <v>10519</v>
      </c>
      <c r="AI189" s="122"/>
      <c r="AJ189" s="122"/>
      <c r="AK189" s="122" t="s">
        <v>10520</v>
      </c>
      <c r="AL189" s="782" t="s">
        <v>10521</v>
      </c>
      <c r="AM189" s="127"/>
      <c r="AN189" s="221"/>
    </row>
    <row r="190" ht="14.1" customHeight="1" spans="1:40">
      <c r="A190" s="1585" t="s">
        <v>1902</v>
      </c>
      <c r="B190" s="14" t="s">
        <v>10522</v>
      </c>
      <c r="C190" s="733" t="s">
        <v>10523</v>
      </c>
      <c r="D190" s="734" t="s">
        <v>10524</v>
      </c>
      <c r="E190" s="431" t="s">
        <v>43</v>
      </c>
      <c r="F190" s="432" t="s">
        <v>404</v>
      </c>
      <c r="G190" s="739" t="s">
        <v>10525</v>
      </c>
      <c r="H190" s="697" t="s">
        <v>9347</v>
      </c>
      <c r="I190" s="697" t="s">
        <v>3528</v>
      </c>
      <c r="J190" s="743">
        <v>43132</v>
      </c>
      <c r="K190" s="743">
        <v>43465</v>
      </c>
      <c r="L190" s="744"/>
      <c r="M190" s="744"/>
      <c r="N190" s="744"/>
      <c r="O190" s="432"/>
      <c r="P190" s="432"/>
      <c r="Q190" s="540">
        <f ca="1" t="shared" si="11"/>
        <v>192.61546296296</v>
      </c>
      <c r="R190" s="106" t="str">
        <f ca="1" t="shared" si="12"/>
        <v>ACTIVE</v>
      </c>
      <c r="S190" s="116">
        <v>2873036</v>
      </c>
      <c r="T190" s="747">
        <v>775000</v>
      </c>
      <c r="U190" s="770"/>
      <c r="V190" s="747"/>
      <c r="W190" s="770"/>
      <c r="X190" s="770"/>
      <c r="Y190" s="770"/>
      <c r="Z190" s="747"/>
      <c r="AA190" s="770"/>
      <c r="AB190" s="712" t="s">
        <v>8612</v>
      </c>
      <c r="AC190" s="778"/>
      <c r="AD190" s="700" t="s">
        <v>10490</v>
      </c>
      <c r="AE190" s="101"/>
      <c r="AF190" s="754" t="s">
        <v>10526</v>
      </c>
      <c r="AG190" s="122" t="s">
        <v>10527</v>
      </c>
      <c r="AH190" s="122" t="s">
        <v>10528</v>
      </c>
      <c r="AI190" s="122" t="s">
        <v>10529</v>
      </c>
      <c r="AJ190" s="122" t="s">
        <v>10530</v>
      </c>
      <c r="AK190" s="122" t="s">
        <v>10531</v>
      </c>
      <c r="AL190" s="782" t="s">
        <v>10532</v>
      </c>
      <c r="AM190" s="127"/>
      <c r="AN190" s="221"/>
    </row>
    <row r="191" ht="14.1" customHeight="1" spans="1:40">
      <c r="A191" s="1585" t="s">
        <v>3452</v>
      </c>
      <c r="B191" s="14" t="s">
        <v>10533</v>
      </c>
      <c r="C191" s="733" t="s">
        <v>10534</v>
      </c>
      <c r="D191" s="734" t="s">
        <v>10535</v>
      </c>
      <c r="E191" s="431" t="s">
        <v>43</v>
      </c>
      <c r="F191" s="432" t="s">
        <v>254</v>
      </c>
      <c r="G191" s="739" t="s">
        <v>10525</v>
      </c>
      <c r="H191" s="697" t="s">
        <v>9347</v>
      </c>
      <c r="I191" s="697" t="s">
        <v>3528</v>
      </c>
      <c r="J191" s="743">
        <v>43132</v>
      </c>
      <c r="K191" s="743">
        <v>43465</v>
      </c>
      <c r="L191" s="744"/>
      <c r="M191" s="744"/>
      <c r="N191" s="744"/>
      <c r="O191" s="432"/>
      <c r="P191" s="432"/>
      <c r="Q191" s="540">
        <f ca="1" t="shared" si="11"/>
        <v>192.61546296296</v>
      </c>
      <c r="R191" s="106" t="str">
        <f ca="1" t="shared" si="12"/>
        <v>ACTIVE</v>
      </c>
      <c r="S191" s="116">
        <v>2873036</v>
      </c>
      <c r="T191" s="747">
        <v>775000</v>
      </c>
      <c r="U191" s="770"/>
      <c r="V191" s="747"/>
      <c r="W191" s="770"/>
      <c r="X191" s="770"/>
      <c r="Y191" s="770"/>
      <c r="Z191" s="747"/>
      <c r="AA191" s="770"/>
      <c r="AB191" s="712" t="s">
        <v>8612</v>
      </c>
      <c r="AC191" s="778"/>
      <c r="AD191" s="700" t="s">
        <v>10490</v>
      </c>
      <c r="AE191" s="101"/>
      <c r="AF191" s="754" t="s">
        <v>10536</v>
      </c>
      <c r="AG191" s="122" t="s">
        <v>10537</v>
      </c>
      <c r="AH191" s="122" t="s">
        <v>10538</v>
      </c>
      <c r="AI191" s="122" t="s">
        <v>10539</v>
      </c>
      <c r="AJ191" s="122"/>
      <c r="AK191" s="122"/>
      <c r="AL191" s="782" t="s">
        <v>10540</v>
      </c>
      <c r="AM191" s="127"/>
      <c r="AN191" s="221"/>
    </row>
    <row r="192" ht="14.1" customHeight="1" spans="1:40">
      <c r="A192" s="1585" t="s">
        <v>1910</v>
      </c>
      <c r="B192" s="14" t="s">
        <v>10541</v>
      </c>
      <c r="C192" s="733" t="s">
        <v>10542</v>
      </c>
      <c r="D192" s="734" t="s">
        <v>10543</v>
      </c>
      <c r="E192" s="431" t="s">
        <v>43</v>
      </c>
      <c r="F192" s="432" t="s">
        <v>254</v>
      </c>
      <c r="G192" s="739" t="s">
        <v>10525</v>
      </c>
      <c r="H192" s="697" t="s">
        <v>9347</v>
      </c>
      <c r="I192" s="697" t="s">
        <v>3528</v>
      </c>
      <c r="J192" s="743">
        <v>43132</v>
      </c>
      <c r="K192" s="743">
        <v>43465</v>
      </c>
      <c r="L192" s="744"/>
      <c r="M192" s="744"/>
      <c r="N192" s="744"/>
      <c r="O192" s="432"/>
      <c r="P192" s="432"/>
      <c r="Q192" s="540">
        <f ca="1" t="shared" si="11"/>
        <v>192.61546296296</v>
      </c>
      <c r="R192" s="106" t="str">
        <f ca="1" t="shared" si="12"/>
        <v>ACTIVE</v>
      </c>
      <c r="S192" s="116">
        <v>2873036</v>
      </c>
      <c r="T192" s="747">
        <v>775000</v>
      </c>
      <c r="U192" s="770"/>
      <c r="V192" s="747"/>
      <c r="W192" s="770"/>
      <c r="X192" s="770"/>
      <c r="Y192" s="770"/>
      <c r="Z192" s="747"/>
      <c r="AA192" s="770"/>
      <c r="AB192" s="712" t="s">
        <v>8612</v>
      </c>
      <c r="AC192" s="778"/>
      <c r="AD192" s="700" t="s">
        <v>10490</v>
      </c>
      <c r="AE192" s="101"/>
      <c r="AF192" s="754" t="s">
        <v>10544</v>
      </c>
      <c r="AG192" s="122" t="s">
        <v>10545</v>
      </c>
      <c r="AH192" s="122" t="s">
        <v>10546</v>
      </c>
      <c r="AI192" s="122" t="s">
        <v>10547</v>
      </c>
      <c r="AJ192" s="122" t="s">
        <v>5647</v>
      </c>
      <c r="AK192" s="122" t="s">
        <v>10548</v>
      </c>
      <c r="AL192" s="782" t="s">
        <v>10549</v>
      </c>
      <c r="AM192" s="127" t="s">
        <v>10550</v>
      </c>
      <c r="AN192" s="221"/>
    </row>
    <row r="193" ht="14.1" customHeight="1" spans="1:40">
      <c r="A193" s="1585" t="s">
        <v>1922</v>
      </c>
      <c r="B193" s="14" t="s">
        <v>10551</v>
      </c>
      <c r="C193" s="733" t="s">
        <v>10552</v>
      </c>
      <c r="D193" s="734" t="s">
        <v>10553</v>
      </c>
      <c r="E193" s="431" t="s">
        <v>43</v>
      </c>
      <c r="F193" s="432" t="s">
        <v>96</v>
      </c>
      <c r="G193" s="739" t="s">
        <v>10554</v>
      </c>
      <c r="H193" s="697" t="s">
        <v>9347</v>
      </c>
      <c r="I193" s="697" t="s">
        <v>3528</v>
      </c>
      <c r="J193" s="743">
        <v>43132</v>
      </c>
      <c r="K193" s="743">
        <v>43465</v>
      </c>
      <c r="L193" s="744"/>
      <c r="M193" s="744"/>
      <c r="N193" s="744"/>
      <c r="O193" s="432"/>
      <c r="P193" s="432"/>
      <c r="Q193" s="540">
        <f ca="1" t="shared" si="11"/>
        <v>192.61546296296</v>
      </c>
      <c r="R193" s="106" t="str">
        <f ca="1" t="shared" si="12"/>
        <v>ACTIVE</v>
      </c>
      <c r="S193" s="116">
        <v>2873036</v>
      </c>
      <c r="T193" s="747">
        <v>775000</v>
      </c>
      <c r="U193" s="770"/>
      <c r="V193" s="747"/>
      <c r="W193" s="770"/>
      <c r="X193" s="770"/>
      <c r="Y193" s="770"/>
      <c r="Z193" s="747"/>
      <c r="AA193" s="770"/>
      <c r="AB193" s="712" t="s">
        <v>8612</v>
      </c>
      <c r="AC193" s="778"/>
      <c r="AD193" s="700" t="s">
        <v>10490</v>
      </c>
      <c r="AE193" s="101"/>
      <c r="AF193" s="754" t="s">
        <v>10555</v>
      </c>
      <c r="AG193" s="122" t="s">
        <v>10556</v>
      </c>
      <c r="AH193" s="122" t="s">
        <v>10557</v>
      </c>
      <c r="AI193" s="122" t="s">
        <v>10558</v>
      </c>
      <c r="AJ193" s="122"/>
      <c r="AK193" s="122" t="s">
        <v>10559</v>
      </c>
      <c r="AL193" s="782" t="s">
        <v>10560</v>
      </c>
      <c r="AM193" s="127" t="s">
        <v>10561</v>
      </c>
      <c r="AN193" s="221"/>
    </row>
    <row r="194" ht="14.1" customHeight="1" spans="1:40">
      <c r="A194" s="1585" t="s">
        <v>1931</v>
      </c>
      <c r="B194" s="14" t="s">
        <v>10562</v>
      </c>
      <c r="C194" s="733" t="s">
        <v>10563</v>
      </c>
      <c r="D194" s="734" t="s">
        <v>10564</v>
      </c>
      <c r="E194" s="431" t="s">
        <v>43</v>
      </c>
      <c r="F194" s="432" t="s">
        <v>96</v>
      </c>
      <c r="G194" s="739" t="s">
        <v>10565</v>
      </c>
      <c r="H194" s="697" t="s">
        <v>9347</v>
      </c>
      <c r="I194" s="697" t="s">
        <v>3528</v>
      </c>
      <c r="J194" s="743">
        <v>43132</v>
      </c>
      <c r="K194" s="743">
        <v>43465</v>
      </c>
      <c r="L194" s="744"/>
      <c r="M194" s="744"/>
      <c r="N194" s="744"/>
      <c r="O194" s="432"/>
      <c r="P194" s="432"/>
      <c r="Q194" s="540">
        <f ca="1" t="shared" si="11"/>
        <v>192.61546296296</v>
      </c>
      <c r="R194" s="106" t="str">
        <f ca="1" t="shared" si="12"/>
        <v>ACTIVE</v>
      </c>
      <c r="S194" s="116">
        <v>2873036</v>
      </c>
      <c r="T194" s="747">
        <v>775000</v>
      </c>
      <c r="U194" s="770"/>
      <c r="V194" s="747"/>
      <c r="W194" s="770"/>
      <c r="X194" s="770"/>
      <c r="Y194" s="770"/>
      <c r="Z194" s="747"/>
      <c r="AA194" s="770"/>
      <c r="AB194" s="712" t="s">
        <v>8612</v>
      </c>
      <c r="AC194" s="778"/>
      <c r="AD194" s="700" t="s">
        <v>10490</v>
      </c>
      <c r="AE194" s="101"/>
      <c r="AF194" s="754" t="s">
        <v>10566</v>
      </c>
      <c r="AG194" s="122" t="s">
        <v>10567</v>
      </c>
      <c r="AH194" s="122" t="s">
        <v>10568</v>
      </c>
      <c r="AI194" s="122" t="s">
        <v>10569</v>
      </c>
      <c r="AJ194" s="122" t="s">
        <v>5647</v>
      </c>
      <c r="AK194" s="122" t="s">
        <v>10570</v>
      </c>
      <c r="AL194" s="723" t="s">
        <v>10571</v>
      </c>
      <c r="AM194" s="127"/>
      <c r="AN194" s="221"/>
    </row>
    <row r="195" ht="14.1" customHeight="1" spans="1:40">
      <c r="A195" s="1585" t="s">
        <v>1941</v>
      </c>
      <c r="B195" s="14" t="s">
        <v>10572</v>
      </c>
      <c r="C195" s="733" t="s">
        <v>10573</v>
      </c>
      <c r="D195" s="734" t="s">
        <v>10574</v>
      </c>
      <c r="E195" s="431" t="s">
        <v>43</v>
      </c>
      <c r="F195" s="432" t="s">
        <v>404</v>
      </c>
      <c r="G195" s="739" t="s">
        <v>9999</v>
      </c>
      <c r="H195" s="697"/>
      <c r="I195" s="697" t="s">
        <v>3528</v>
      </c>
      <c r="J195" s="743">
        <v>43164</v>
      </c>
      <c r="K195" s="743">
        <v>43465</v>
      </c>
      <c r="L195" s="744"/>
      <c r="M195" s="744"/>
      <c r="N195" s="744"/>
      <c r="O195" s="432"/>
      <c r="P195" s="432"/>
      <c r="Q195" s="540">
        <f ca="1" t="shared" si="11"/>
        <v>192.61546296296</v>
      </c>
      <c r="R195" s="106" t="str">
        <f ca="1" t="shared" si="12"/>
        <v>ACTIVE</v>
      </c>
      <c r="S195" s="116">
        <v>8812800</v>
      </c>
      <c r="T195" s="747">
        <v>935000</v>
      </c>
      <c r="U195" s="770"/>
      <c r="V195" s="747"/>
      <c r="W195" s="770"/>
      <c r="X195" s="770"/>
      <c r="Y195" s="770"/>
      <c r="Z195" s="747"/>
      <c r="AA195" s="770"/>
      <c r="AB195" s="712" t="s">
        <v>8612</v>
      </c>
      <c r="AC195" s="778"/>
      <c r="AD195" s="700" t="s">
        <v>10575</v>
      </c>
      <c r="AE195" s="101"/>
      <c r="AF195" s="754" t="s">
        <v>10576</v>
      </c>
      <c r="AG195" s="1579" t="s">
        <v>10577</v>
      </c>
      <c r="AH195" s="122" t="s">
        <v>10578</v>
      </c>
      <c r="AI195" s="122" t="s">
        <v>10579</v>
      </c>
      <c r="AJ195" s="122" t="s">
        <v>10580</v>
      </c>
      <c r="AK195" s="122" t="s">
        <v>10581</v>
      </c>
      <c r="AL195" s="723" t="s">
        <v>10582</v>
      </c>
      <c r="AM195" s="127" t="s">
        <v>10583</v>
      </c>
      <c r="AN195" s="221"/>
    </row>
    <row r="196" ht="14.1" customHeight="1" spans="1:40">
      <c r="A196" s="1585" t="s">
        <v>1948</v>
      </c>
      <c r="B196" s="14" t="s">
        <v>10584</v>
      </c>
      <c r="C196" s="733" t="s">
        <v>10585</v>
      </c>
      <c r="D196" s="734" t="s">
        <v>10586</v>
      </c>
      <c r="E196" s="431" t="s">
        <v>125</v>
      </c>
      <c r="F196" s="432" t="s">
        <v>44</v>
      </c>
      <c r="G196" s="739" t="s">
        <v>9114</v>
      </c>
      <c r="H196" s="697" t="s">
        <v>9103</v>
      </c>
      <c r="I196" s="697" t="s">
        <v>3528</v>
      </c>
      <c r="J196" s="743">
        <v>43191</v>
      </c>
      <c r="K196" s="743">
        <v>43373</v>
      </c>
      <c r="L196" s="744"/>
      <c r="M196" s="744" t="s">
        <v>583</v>
      </c>
      <c r="N196" s="744" t="s">
        <v>583</v>
      </c>
      <c r="O196" s="432" t="s">
        <v>583</v>
      </c>
      <c r="P196" s="432" t="s">
        <v>583</v>
      </c>
      <c r="Q196" s="540">
        <f ca="1" t="shared" si="11"/>
        <v>100.61546296296</v>
      </c>
      <c r="R196" s="106" t="str">
        <f ca="1" t="shared" si="12"/>
        <v>ACTIVE</v>
      </c>
      <c r="S196" s="116">
        <v>2873036</v>
      </c>
      <c r="T196" s="747">
        <v>775000</v>
      </c>
      <c r="U196" s="770"/>
      <c r="V196" s="747"/>
      <c r="W196" s="770"/>
      <c r="X196" s="770"/>
      <c r="Y196" s="770"/>
      <c r="Z196" s="747"/>
      <c r="AA196" s="770"/>
      <c r="AB196" s="712" t="s">
        <v>8612</v>
      </c>
      <c r="AC196" s="778"/>
      <c r="AD196" s="700"/>
      <c r="AE196" s="101"/>
      <c r="AF196" s="754" t="s">
        <v>10587</v>
      </c>
      <c r="AG196" s="122" t="s">
        <v>10588</v>
      </c>
      <c r="AH196" s="1579" t="s">
        <v>10589</v>
      </c>
      <c r="AI196" s="679" t="s">
        <v>10590</v>
      </c>
      <c r="AJ196" s="122"/>
      <c r="AK196" s="122"/>
      <c r="AL196" s="731" t="s">
        <v>10591</v>
      </c>
      <c r="AM196" s="1543" t="s">
        <v>10592</v>
      </c>
      <c r="AN196" s="221"/>
    </row>
    <row r="197" ht="14.1" customHeight="1" spans="1:40">
      <c r="A197" s="1585" t="s">
        <v>1958</v>
      </c>
      <c r="B197" s="14" t="s">
        <v>10593</v>
      </c>
      <c r="C197" s="733" t="s">
        <v>10594</v>
      </c>
      <c r="D197" s="734" t="s">
        <v>10595</v>
      </c>
      <c r="E197" s="431" t="s">
        <v>43</v>
      </c>
      <c r="F197" s="432" t="s">
        <v>60</v>
      </c>
      <c r="G197" s="739" t="s">
        <v>10596</v>
      </c>
      <c r="H197" s="697"/>
      <c r="I197" s="697" t="s">
        <v>3528</v>
      </c>
      <c r="J197" s="743">
        <v>43234</v>
      </c>
      <c r="K197" s="743">
        <v>43465</v>
      </c>
      <c r="L197" s="744"/>
      <c r="M197" s="744"/>
      <c r="N197" s="744"/>
      <c r="O197" s="432"/>
      <c r="P197" s="432"/>
      <c r="Q197" s="540">
        <f ca="1" t="shared" si="11"/>
        <v>192.61546296296</v>
      </c>
      <c r="R197" s="106" t="str">
        <f ca="1" t="shared" si="12"/>
        <v>ACTIVE</v>
      </c>
      <c r="S197" s="116">
        <v>15000000</v>
      </c>
      <c r="T197" s="747">
        <v>935000</v>
      </c>
      <c r="U197" s="770"/>
      <c r="V197" s="747" t="s">
        <v>583</v>
      </c>
      <c r="W197" s="770" t="s">
        <v>583</v>
      </c>
      <c r="X197" s="770" t="s">
        <v>583</v>
      </c>
      <c r="Y197" s="770" t="s">
        <v>583</v>
      </c>
      <c r="Z197" s="747" t="s">
        <v>10597</v>
      </c>
      <c r="AA197" s="700" t="s">
        <v>112</v>
      </c>
      <c r="AB197" s="712" t="s">
        <v>10598</v>
      </c>
      <c r="AC197" s="778"/>
      <c r="AD197" s="700" t="s">
        <v>9866</v>
      </c>
      <c r="AE197" s="101"/>
      <c r="AF197" s="754" t="s">
        <v>10599</v>
      </c>
      <c r="AG197" s="122" t="s">
        <v>10600</v>
      </c>
      <c r="AH197" s="1579" t="s">
        <v>10601</v>
      </c>
      <c r="AI197" s="1579" t="s">
        <v>10602</v>
      </c>
      <c r="AJ197" s="1579" t="s">
        <v>10603</v>
      </c>
      <c r="AK197" s="1579" t="s">
        <v>10604</v>
      </c>
      <c r="AL197" s="723" t="s">
        <v>10605</v>
      </c>
      <c r="AM197" s="1543" t="s">
        <v>10606</v>
      </c>
      <c r="AN197" s="221"/>
    </row>
    <row r="198" ht="14.1" customHeight="1" spans="1:39">
      <c r="A198" s="156"/>
      <c r="AG198" s="156"/>
      <c r="AH198" s="156"/>
      <c r="AI198" s="156"/>
      <c r="AJ198" s="156"/>
      <c r="AK198" s="156"/>
      <c r="AL198" s="156"/>
      <c r="AM198" s="156"/>
    </row>
    <row r="199" ht="14.1" customHeight="1" spans="1:39">
      <c r="A199" s="156"/>
      <c r="AG199" s="156"/>
      <c r="AH199" s="156"/>
      <c r="AI199" s="156"/>
      <c r="AJ199" s="156"/>
      <c r="AK199" s="156"/>
      <c r="AL199" s="156"/>
      <c r="AM199" s="156"/>
    </row>
    <row r="200" ht="14.1" customHeight="1" spans="1:39">
      <c r="A200" s="156"/>
      <c r="AG200" s="156"/>
      <c r="AH200" s="156"/>
      <c r="AI200" s="156"/>
      <c r="AJ200" s="156"/>
      <c r="AK200" s="156"/>
      <c r="AL200" s="156"/>
      <c r="AM200" s="156"/>
    </row>
    <row r="201" ht="14.1" customHeight="1" spans="1:39">
      <c r="A201" s="156"/>
      <c r="AG201" s="156"/>
      <c r="AH201" s="156"/>
      <c r="AI201" s="156"/>
      <c r="AJ201" s="156"/>
      <c r="AK201" s="156"/>
      <c r="AL201" s="156"/>
      <c r="AM201" s="156"/>
    </row>
    <row r="202" ht="14.1" customHeight="1" spans="1:39">
      <c r="A202" s="156"/>
      <c r="AG202" s="156"/>
      <c r="AH202" s="156"/>
      <c r="AI202" s="156"/>
      <c r="AJ202" s="156"/>
      <c r="AK202" s="156"/>
      <c r="AL202" s="156"/>
      <c r="AM202" s="156"/>
    </row>
    <row r="203" ht="14.1" customHeight="1" spans="1:39">
      <c r="A203" s="156"/>
      <c r="AG203" s="156"/>
      <c r="AH203" s="156"/>
      <c r="AI203" s="156"/>
      <c r="AJ203" s="156"/>
      <c r="AK203" s="156"/>
      <c r="AL203" s="156"/>
      <c r="AM203" s="156"/>
    </row>
    <row r="204" ht="14.1" customHeight="1" spans="1:39">
      <c r="A204" s="156"/>
      <c r="AG204" s="156"/>
      <c r="AH204" s="156"/>
      <c r="AI204" s="156"/>
      <c r="AJ204" s="156"/>
      <c r="AK204" s="156"/>
      <c r="AL204" s="156"/>
      <c r="AM204" s="156"/>
    </row>
    <row r="205" ht="14.1" customHeight="1" spans="1:39">
      <c r="A205" s="156"/>
      <c r="E205" s="156"/>
      <c r="F205" s="156"/>
      <c r="L205" s="156"/>
      <c r="M205" s="156"/>
      <c r="N205" s="156"/>
      <c r="U205" s="156"/>
      <c r="V205" s="156"/>
      <c r="W205" s="156"/>
      <c r="X205" s="156"/>
      <c r="Y205" s="156"/>
      <c r="Z205" s="156"/>
      <c r="AA205" s="156"/>
      <c r="AB205" s="156"/>
      <c r="AC205" s="788"/>
      <c r="AG205" s="156"/>
      <c r="AH205" s="156"/>
      <c r="AI205" s="156"/>
      <c r="AJ205" s="156"/>
      <c r="AK205" s="156"/>
      <c r="AL205" s="156"/>
      <c r="AM205" s="156"/>
    </row>
    <row r="206" ht="14.1" customHeight="1" spans="1:2">
      <c r="A206" s="783" t="s">
        <v>2552</v>
      </c>
      <c r="B206" s="465"/>
    </row>
    <row r="207" ht="14.1" customHeight="1" spans="1:40">
      <c r="A207" s="1590" t="s">
        <v>1006</v>
      </c>
      <c r="B207" s="161" t="s">
        <v>10607</v>
      </c>
      <c r="C207" s="761" t="s">
        <v>9347</v>
      </c>
      <c r="D207" s="762" t="s">
        <v>10608</v>
      </c>
      <c r="E207" s="764" t="s">
        <v>43</v>
      </c>
      <c r="F207" s="180" t="s">
        <v>60</v>
      </c>
      <c r="G207" s="765" t="s">
        <v>10609</v>
      </c>
      <c r="H207" s="761" t="s">
        <v>10610</v>
      </c>
      <c r="I207" s="784" t="s">
        <v>9361</v>
      </c>
      <c r="J207" s="767">
        <v>42767</v>
      </c>
      <c r="K207" s="767">
        <v>43100</v>
      </c>
      <c r="L207" s="768"/>
      <c r="M207" s="768"/>
      <c r="N207" s="768"/>
      <c r="O207" s="180"/>
      <c r="P207" s="180"/>
      <c r="Q207" s="542">
        <f ca="1" t="shared" ref="Q207:Q209" si="13">SUM(K207-NOW())</f>
        <v>-172.38453703704</v>
      </c>
      <c r="R207" s="175" t="str">
        <f ca="1" t="shared" ref="R207:R209" si="14">IF(Q207&lt;=40,"WARNING","ACTIVE")</f>
        <v>WARNING</v>
      </c>
      <c r="S207" s="774">
        <v>9092325</v>
      </c>
      <c r="T207" s="774">
        <v>775000</v>
      </c>
      <c r="U207" s="774"/>
      <c r="V207" s="774"/>
      <c r="W207" s="774"/>
      <c r="X207" s="774"/>
      <c r="Y207" s="774"/>
      <c r="Z207" s="774"/>
      <c r="AA207" s="764" t="s">
        <v>112</v>
      </c>
      <c r="AB207" s="779" t="s">
        <v>8612</v>
      </c>
      <c r="AC207" s="778">
        <f>IF(F207="S",1500000,IF(F207="M0",1750000,IF(F207="M1",2000000,IF(F207="M2",2250000,IF(F207="M3",2500000,IF(F207="S1",2000000,IF(F207="S2",2250000,IF(F207="S3",2500000,0))))))))</f>
        <v>2000000</v>
      </c>
      <c r="AD207" s="764" t="s">
        <v>10611</v>
      </c>
      <c r="AE207" s="180"/>
      <c r="AF207" s="780" t="s">
        <v>10612</v>
      </c>
      <c r="AG207" s="224" t="s">
        <v>10613</v>
      </c>
      <c r="AH207" s="224" t="s">
        <v>10614</v>
      </c>
      <c r="AI207" s="224" t="s">
        <v>10615</v>
      </c>
      <c r="AJ207" s="224" t="s">
        <v>5647</v>
      </c>
      <c r="AK207" s="224"/>
      <c r="AL207" s="781" t="s">
        <v>10616</v>
      </c>
      <c r="AM207" s="224" t="s">
        <v>10617</v>
      </c>
      <c r="AN207" s="222" t="s">
        <v>10618</v>
      </c>
    </row>
    <row r="208" ht="14.1" customHeight="1" spans="1:40">
      <c r="A208" s="1590" t="s">
        <v>1631</v>
      </c>
      <c r="B208" s="161" t="s">
        <v>10619</v>
      </c>
      <c r="C208" s="761" t="s">
        <v>10620</v>
      </c>
      <c r="D208" s="762" t="s">
        <v>10621</v>
      </c>
      <c r="E208" s="764" t="s">
        <v>43</v>
      </c>
      <c r="F208" s="180" t="s">
        <v>404</v>
      </c>
      <c r="G208" s="765" t="s">
        <v>9372</v>
      </c>
      <c r="H208" s="761" t="s">
        <v>9373</v>
      </c>
      <c r="I208" s="784" t="s">
        <v>9361</v>
      </c>
      <c r="J208" s="767">
        <v>42767</v>
      </c>
      <c r="K208" s="767">
        <v>43100</v>
      </c>
      <c r="L208" s="768"/>
      <c r="M208" s="768"/>
      <c r="N208" s="768"/>
      <c r="O208" s="180"/>
      <c r="P208" s="180"/>
      <c r="Q208" s="542">
        <f ca="1" t="shared" si="13"/>
        <v>-172.38453703704</v>
      </c>
      <c r="R208" s="175" t="str">
        <f ca="1" t="shared" si="14"/>
        <v>WARNING</v>
      </c>
      <c r="S208" s="774">
        <v>2887500</v>
      </c>
      <c r="T208" s="774">
        <v>775000</v>
      </c>
      <c r="U208" s="774"/>
      <c r="V208" s="774"/>
      <c r="W208" s="774"/>
      <c r="X208" s="774"/>
      <c r="Y208" s="774"/>
      <c r="Z208" s="774"/>
      <c r="AA208" s="764" t="s">
        <v>113</v>
      </c>
      <c r="AB208" s="779" t="s">
        <v>8612</v>
      </c>
      <c r="AC208" s="778">
        <f>IF(F208="S",1500000,IF(F208="M0",1750000,IF(F208="M1",2000000,IF(F208="M2",2250000,IF(F208="M3",2500000,IF(F208="S1",2000000,IF(F208="S2",2250000,IF(F208="S3",2500000,0))))))))</f>
        <v>1750000</v>
      </c>
      <c r="AD208" s="764" t="s">
        <v>10611</v>
      </c>
      <c r="AE208" s="180"/>
      <c r="AF208" s="780" t="s">
        <v>10622</v>
      </c>
      <c r="AG208" s="224" t="s">
        <v>10623</v>
      </c>
      <c r="AH208" s="224" t="s">
        <v>10624</v>
      </c>
      <c r="AI208" s="224" t="s">
        <v>10625</v>
      </c>
      <c r="AJ208" s="224" t="s">
        <v>10626</v>
      </c>
      <c r="AK208" s="224"/>
      <c r="AL208" s="781" t="s">
        <v>10627</v>
      </c>
      <c r="AM208" s="224" t="s">
        <v>10628</v>
      </c>
      <c r="AN208" s="222" t="s">
        <v>10629</v>
      </c>
    </row>
    <row r="209" ht="14.1" customHeight="1" spans="1:40">
      <c r="A209" s="1590" t="s">
        <v>1650</v>
      </c>
      <c r="B209" s="161" t="s">
        <v>10630</v>
      </c>
      <c r="C209" s="761" t="s">
        <v>10631</v>
      </c>
      <c r="D209" s="762" t="s">
        <v>10632</v>
      </c>
      <c r="E209" s="764" t="s">
        <v>43</v>
      </c>
      <c r="F209" s="180" t="s">
        <v>44</v>
      </c>
      <c r="G209" s="765" t="s">
        <v>9999</v>
      </c>
      <c r="H209" s="761" t="s">
        <v>10023</v>
      </c>
      <c r="I209" s="784" t="s">
        <v>9361</v>
      </c>
      <c r="J209" s="767">
        <v>42767</v>
      </c>
      <c r="K209" s="767">
        <v>43100</v>
      </c>
      <c r="L209" s="768"/>
      <c r="M209" s="768"/>
      <c r="N209" s="768"/>
      <c r="O209" s="180"/>
      <c r="P209" s="180"/>
      <c r="Q209" s="542">
        <f ca="1" t="shared" si="13"/>
        <v>-172.38453703704</v>
      </c>
      <c r="R209" s="175" t="str">
        <f ca="1" t="shared" si="14"/>
        <v>WARNING</v>
      </c>
      <c r="S209" s="774">
        <v>5621200</v>
      </c>
      <c r="T209" s="774">
        <v>935000</v>
      </c>
      <c r="U209" s="774"/>
      <c r="V209" s="774"/>
      <c r="W209" s="774"/>
      <c r="X209" s="774"/>
      <c r="Y209" s="774"/>
      <c r="Z209" s="774">
        <v>13231440</v>
      </c>
      <c r="AA209" s="764" t="s">
        <v>112</v>
      </c>
      <c r="AB209" s="779" t="s">
        <v>9864</v>
      </c>
      <c r="AC209" s="778" t="s">
        <v>9865</v>
      </c>
      <c r="AD209" s="764" t="s">
        <v>10633</v>
      </c>
      <c r="AE209" s="180"/>
      <c r="AF209" s="780" t="s">
        <v>10634</v>
      </c>
      <c r="AG209" s="224" t="s">
        <v>10635</v>
      </c>
      <c r="AH209" s="224" t="s">
        <v>10636</v>
      </c>
      <c r="AI209" s="224" t="s">
        <v>10637</v>
      </c>
      <c r="AJ209" s="224" t="s">
        <v>10638</v>
      </c>
      <c r="AK209" s="224"/>
      <c r="AL209" s="781" t="s">
        <v>10639</v>
      </c>
      <c r="AM209" s="224" t="s">
        <v>10640</v>
      </c>
      <c r="AN209" s="222" t="s">
        <v>10641</v>
      </c>
    </row>
    <row r="210" ht="14.1" customHeight="1" spans="1:40">
      <c r="A210" s="1590" t="s">
        <v>1216</v>
      </c>
      <c r="B210" s="161" t="s">
        <v>10642</v>
      </c>
      <c r="C210" s="761" t="s">
        <v>1924</v>
      </c>
      <c r="D210" s="762" t="s">
        <v>10643</v>
      </c>
      <c r="E210" s="764" t="s">
        <v>43</v>
      </c>
      <c r="F210" s="180" t="s">
        <v>96</v>
      </c>
      <c r="G210" s="765" t="s">
        <v>2823</v>
      </c>
      <c r="H210" s="761" t="s">
        <v>9347</v>
      </c>
      <c r="I210" s="784" t="s">
        <v>9361</v>
      </c>
      <c r="J210" s="767">
        <v>42767</v>
      </c>
      <c r="K210" s="767">
        <v>43100</v>
      </c>
      <c r="L210" s="768"/>
      <c r="M210" s="768"/>
      <c r="N210" s="768"/>
      <c r="O210" s="180"/>
      <c r="P210" s="180"/>
      <c r="Q210" s="542">
        <v>99.4092474537028</v>
      </c>
      <c r="R210" s="175" t="s">
        <v>745</v>
      </c>
      <c r="S210" s="774">
        <v>2782500</v>
      </c>
      <c r="T210" s="774">
        <v>775000</v>
      </c>
      <c r="U210" s="774"/>
      <c r="V210" s="774"/>
      <c r="W210" s="774"/>
      <c r="X210" s="774"/>
      <c r="Y210" s="774"/>
      <c r="Z210" s="774"/>
      <c r="AA210" s="764" t="s">
        <v>113</v>
      </c>
      <c r="AB210" s="779" t="s">
        <v>8612</v>
      </c>
      <c r="AC210" s="778">
        <v>2500000</v>
      </c>
      <c r="AD210" s="764" t="s">
        <v>10611</v>
      </c>
      <c r="AE210" s="180"/>
      <c r="AF210" s="780" t="s">
        <v>10644</v>
      </c>
      <c r="AG210" s="224" t="s">
        <v>10645</v>
      </c>
      <c r="AH210" s="224" t="s">
        <v>10646</v>
      </c>
      <c r="AI210" s="224" t="s">
        <v>10647</v>
      </c>
      <c r="AJ210" s="224" t="s">
        <v>5647</v>
      </c>
      <c r="AK210" s="224" t="s">
        <v>10648</v>
      </c>
      <c r="AL210" s="781" t="s">
        <v>10649</v>
      </c>
      <c r="AM210" s="224" t="s">
        <v>10650</v>
      </c>
      <c r="AN210" s="222" t="s">
        <v>10651</v>
      </c>
    </row>
    <row r="211" ht="14.1" customHeight="1" spans="1:40">
      <c r="A211" s="1590" t="s">
        <v>1521</v>
      </c>
      <c r="B211" s="161" t="s">
        <v>10652</v>
      </c>
      <c r="C211" s="761" t="s">
        <v>10653</v>
      </c>
      <c r="D211" s="762" t="s">
        <v>10654</v>
      </c>
      <c r="E211" s="764" t="s">
        <v>43</v>
      </c>
      <c r="F211" s="180" t="s">
        <v>404</v>
      </c>
      <c r="G211" s="765" t="s">
        <v>9372</v>
      </c>
      <c r="H211" s="761" t="s">
        <v>9373</v>
      </c>
      <c r="I211" s="784" t="s">
        <v>9361</v>
      </c>
      <c r="J211" s="767">
        <v>42767</v>
      </c>
      <c r="K211" s="767">
        <v>43100</v>
      </c>
      <c r="L211" s="768"/>
      <c r="M211" s="768"/>
      <c r="N211" s="768"/>
      <c r="O211" s="180"/>
      <c r="P211" s="180"/>
      <c r="Q211" s="542">
        <v>99.4092474537028</v>
      </c>
      <c r="R211" s="175" t="s">
        <v>745</v>
      </c>
      <c r="S211" s="774">
        <v>2835000</v>
      </c>
      <c r="T211" s="774">
        <v>775000</v>
      </c>
      <c r="U211" s="774"/>
      <c r="V211" s="774"/>
      <c r="W211" s="774"/>
      <c r="X211" s="774"/>
      <c r="Y211" s="774"/>
      <c r="Z211" s="774"/>
      <c r="AA211" s="764" t="s">
        <v>113</v>
      </c>
      <c r="AB211" s="779" t="s">
        <v>8612</v>
      </c>
      <c r="AC211" s="778">
        <v>1750000</v>
      </c>
      <c r="AD211" s="764" t="s">
        <v>10611</v>
      </c>
      <c r="AE211" s="180"/>
      <c r="AF211" s="780" t="s">
        <v>10655</v>
      </c>
      <c r="AG211" s="224" t="s">
        <v>10656</v>
      </c>
      <c r="AH211" s="224" t="s">
        <v>10657</v>
      </c>
      <c r="AI211" s="224" t="s">
        <v>10658</v>
      </c>
      <c r="AJ211" s="224" t="s">
        <v>10659</v>
      </c>
      <c r="AK211" s="224"/>
      <c r="AL211" s="781" t="s">
        <v>10660</v>
      </c>
      <c r="AM211" s="229" t="s">
        <v>10661</v>
      </c>
      <c r="AN211" s="222" t="s">
        <v>10662</v>
      </c>
    </row>
    <row r="212" ht="14.1" customHeight="1" spans="1:40">
      <c r="A212" s="1590" t="s">
        <v>1801</v>
      </c>
      <c r="B212" s="161" t="s">
        <v>10663</v>
      </c>
      <c r="C212" s="761" t="s">
        <v>10664</v>
      </c>
      <c r="D212" s="762" t="s">
        <v>10665</v>
      </c>
      <c r="E212" s="764" t="s">
        <v>43</v>
      </c>
      <c r="F212" s="180" t="s">
        <v>44</v>
      </c>
      <c r="G212" s="765" t="s">
        <v>2823</v>
      </c>
      <c r="H212" s="761" t="s">
        <v>9347</v>
      </c>
      <c r="I212" s="784" t="s">
        <v>9348</v>
      </c>
      <c r="J212" s="767">
        <v>42767</v>
      </c>
      <c r="K212" s="767">
        <v>43100</v>
      </c>
      <c r="L212" s="768"/>
      <c r="M212" s="768"/>
      <c r="N212" s="768"/>
      <c r="O212" s="180"/>
      <c r="P212" s="180"/>
      <c r="Q212" s="542">
        <v>99.4092474537028</v>
      </c>
      <c r="R212" s="175" t="s">
        <v>745</v>
      </c>
      <c r="S212" s="774">
        <v>2782500</v>
      </c>
      <c r="T212" s="774">
        <v>775000</v>
      </c>
      <c r="U212" s="774"/>
      <c r="V212" s="774"/>
      <c r="W212" s="774"/>
      <c r="X212" s="774"/>
      <c r="Y212" s="774"/>
      <c r="Z212" s="774"/>
      <c r="AA212" s="764" t="s">
        <v>113</v>
      </c>
      <c r="AB212" s="779" t="s">
        <v>8612</v>
      </c>
      <c r="AC212" s="778">
        <v>1500000</v>
      </c>
      <c r="AD212" s="764" t="s">
        <v>10611</v>
      </c>
      <c r="AE212" s="180"/>
      <c r="AF212" s="780" t="s">
        <v>10666</v>
      </c>
      <c r="AG212" s="224" t="s">
        <v>10667</v>
      </c>
      <c r="AH212" s="224" t="s">
        <v>10668</v>
      </c>
      <c r="AI212" s="224" t="s">
        <v>9366</v>
      </c>
      <c r="AJ212" s="224" t="s">
        <v>10669</v>
      </c>
      <c r="AK212" s="224"/>
      <c r="AL212" s="224" t="s">
        <v>10670</v>
      </c>
      <c r="AM212" s="224"/>
      <c r="AN212" s="222" t="s">
        <v>5854</v>
      </c>
    </row>
    <row r="213" ht="14.1" customHeight="1" spans="1:40">
      <c r="A213" s="1590" t="s">
        <v>121</v>
      </c>
      <c r="B213" s="161" t="s">
        <v>10671</v>
      </c>
      <c r="C213" s="761" t="s">
        <v>10672</v>
      </c>
      <c r="D213" s="761" t="s">
        <v>10673</v>
      </c>
      <c r="E213" s="764" t="s">
        <v>43</v>
      </c>
      <c r="F213" s="161" t="s">
        <v>44</v>
      </c>
      <c r="G213" s="761" t="s">
        <v>8683</v>
      </c>
      <c r="H213" s="761" t="s">
        <v>8611</v>
      </c>
      <c r="I213" s="761" t="s">
        <v>920</v>
      </c>
      <c r="J213" s="785">
        <v>42401</v>
      </c>
      <c r="K213" s="785">
        <v>42766</v>
      </c>
      <c r="L213" s="768">
        <v>42947</v>
      </c>
      <c r="M213" s="768">
        <v>43100</v>
      </c>
      <c r="N213" s="768"/>
      <c r="O213" s="163"/>
      <c r="P213" s="163"/>
      <c r="Q213" s="542">
        <v>65.3006947916656</v>
      </c>
      <c r="R213" s="175" t="s">
        <v>745</v>
      </c>
      <c r="S213" s="179">
        <v>2837640</v>
      </c>
      <c r="T213" s="179">
        <v>775000</v>
      </c>
      <c r="U213" s="764" t="s">
        <v>583</v>
      </c>
      <c r="V213" s="764"/>
      <c r="W213" s="764"/>
      <c r="X213" s="764"/>
      <c r="Y213" s="764"/>
      <c r="Z213" s="764"/>
      <c r="AA213" s="764" t="s">
        <v>112</v>
      </c>
      <c r="AB213" s="779" t="s">
        <v>8612</v>
      </c>
      <c r="AC213" s="778">
        <v>1500000</v>
      </c>
      <c r="AD213" s="764" t="s">
        <v>10611</v>
      </c>
      <c r="AE213" s="163" t="s">
        <v>10674</v>
      </c>
      <c r="AF213" s="761" t="s">
        <v>10675</v>
      </c>
      <c r="AG213" s="1591" t="s">
        <v>10676</v>
      </c>
      <c r="AH213" s="1591" t="s">
        <v>10677</v>
      </c>
      <c r="AI213" s="222" t="s">
        <v>112</v>
      </c>
      <c r="AJ213" s="222" t="s">
        <v>8619</v>
      </c>
      <c r="AK213" s="225" t="s">
        <v>10678</v>
      </c>
      <c r="AL213" s="781" t="s">
        <v>10679</v>
      </c>
      <c r="AM213" s="224" t="s">
        <v>10680</v>
      </c>
      <c r="AN213" s="222" t="s">
        <v>10681</v>
      </c>
    </row>
    <row r="214" ht="14.1" customHeight="1" spans="1:40">
      <c r="A214" s="1590" t="s">
        <v>1538</v>
      </c>
      <c r="B214" s="161" t="s">
        <v>10682</v>
      </c>
      <c r="C214" s="761" t="s">
        <v>10683</v>
      </c>
      <c r="D214" s="762" t="s">
        <v>10684</v>
      </c>
      <c r="E214" s="764" t="s">
        <v>43</v>
      </c>
      <c r="F214" s="180" t="s">
        <v>60</v>
      </c>
      <c r="G214" s="765" t="s">
        <v>9861</v>
      </c>
      <c r="H214" s="761" t="s">
        <v>9862</v>
      </c>
      <c r="I214" s="784" t="s">
        <v>10685</v>
      </c>
      <c r="J214" s="767">
        <v>42767</v>
      </c>
      <c r="K214" s="767">
        <v>43100</v>
      </c>
      <c r="L214" s="768"/>
      <c r="M214" s="768"/>
      <c r="N214" s="768"/>
      <c r="O214" s="180"/>
      <c r="P214" s="180"/>
      <c r="Q214" s="542">
        <v>65.3006947916656</v>
      </c>
      <c r="R214" s="175" t="s">
        <v>745</v>
      </c>
      <c r="S214" s="774">
        <v>10004500</v>
      </c>
      <c r="T214" s="774">
        <v>935000</v>
      </c>
      <c r="U214" s="774"/>
      <c r="V214" s="774"/>
      <c r="W214" s="774"/>
      <c r="X214" s="774"/>
      <c r="Y214" s="774"/>
      <c r="Z214" s="774">
        <v>19635000</v>
      </c>
      <c r="AA214" s="764" t="s">
        <v>112</v>
      </c>
      <c r="AB214" s="779" t="s">
        <v>9864</v>
      </c>
      <c r="AC214" s="778" t="s">
        <v>9865</v>
      </c>
      <c r="AD214" s="764" t="s">
        <v>10633</v>
      </c>
      <c r="AE214" s="180"/>
      <c r="AF214" s="780" t="s">
        <v>10686</v>
      </c>
      <c r="AG214" s="224" t="s">
        <v>10687</v>
      </c>
      <c r="AH214" s="224"/>
      <c r="AI214" s="224" t="s">
        <v>10688</v>
      </c>
      <c r="AJ214" s="224" t="s">
        <v>10689</v>
      </c>
      <c r="AK214" s="224" t="s">
        <v>10690</v>
      </c>
      <c r="AL214" s="781" t="s">
        <v>10691</v>
      </c>
      <c r="AM214" s="224" t="s">
        <v>10692</v>
      </c>
      <c r="AN214" s="222" t="s">
        <v>10693</v>
      </c>
    </row>
    <row r="215" ht="14.1" customHeight="1" spans="1:40">
      <c r="A215" s="1590" t="s">
        <v>1677</v>
      </c>
      <c r="B215" s="161" t="s">
        <v>10694</v>
      </c>
      <c r="C215" s="761" t="s">
        <v>10695</v>
      </c>
      <c r="D215" s="762" t="s">
        <v>10696</v>
      </c>
      <c r="E215" s="764" t="s">
        <v>43</v>
      </c>
      <c r="F215" s="180" t="s">
        <v>60</v>
      </c>
      <c r="G215" s="765" t="s">
        <v>8171</v>
      </c>
      <c r="H215" s="761" t="s">
        <v>9862</v>
      </c>
      <c r="I215" s="784" t="s">
        <v>9361</v>
      </c>
      <c r="J215" s="767">
        <v>42767</v>
      </c>
      <c r="K215" s="767">
        <v>43100</v>
      </c>
      <c r="L215" s="768"/>
      <c r="M215" s="768"/>
      <c r="N215" s="768"/>
      <c r="O215" s="180"/>
      <c r="P215" s="180"/>
      <c r="Q215" s="542">
        <v>65.3006947916656</v>
      </c>
      <c r="R215" s="175" t="s">
        <v>745</v>
      </c>
      <c r="S215" s="774">
        <v>21481200</v>
      </c>
      <c r="T215" s="774">
        <v>935000</v>
      </c>
      <c r="U215" s="774"/>
      <c r="V215" s="774"/>
      <c r="W215" s="774"/>
      <c r="X215" s="774"/>
      <c r="Y215" s="774"/>
      <c r="Z215" s="774">
        <v>33048000</v>
      </c>
      <c r="AA215" s="764" t="s">
        <v>112</v>
      </c>
      <c r="AB215" s="779" t="s">
        <v>9864</v>
      </c>
      <c r="AC215" s="778" t="s">
        <v>9865</v>
      </c>
      <c r="AD215" s="764" t="s">
        <v>10697</v>
      </c>
      <c r="AE215" s="180"/>
      <c r="AF215" s="780" t="s">
        <v>10698</v>
      </c>
      <c r="AG215" s="224" t="s">
        <v>10699</v>
      </c>
      <c r="AH215" s="224" t="s">
        <v>10700</v>
      </c>
      <c r="AI215" s="224" t="s">
        <v>10701</v>
      </c>
      <c r="AJ215" s="224" t="s">
        <v>10702</v>
      </c>
      <c r="AK215" s="224" t="s">
        <v>9530</v>
      </c>
      <c r="AL215" s="781" t="s">
        <v>10703</v>
      </c>
      <c r="AM215" s="224" t="s">
        <v>10704</v>
      </c>
      <c r="AN215" s="222" t="s">
        <v>10693</v>
      </c>
    </row>
    <row r="216" ht="14.1" customHeight="1" spans="1:40">
      <c r="A216" s="1590" t="s">
        <v>1704</v>
      </c>
      <c r="B216" s="161" t="s">
        <v>10705</v>
      </c>
      <c r="C216" s="761" t="s">
        <v>10706</v>
      </c>
      <c r="D216" s="762" t="s">
        <v>10707</v>
      </c>
      <c r="E216" s="764" t="s">
        <v>43</v>
      </c>
      <c r="F216" s="180" t="s">
        <v>44</v>
      </c>
      <c r="G216" s="765" t="s">
        <v>8171</v>
      </c>
      <c r="H216" s="761" t="s">
        <v>9862</v>
      </c>
      <c r="I216" s="784" t="s">
        <v>9361</v>
      </c>
      <c r="J216" s="767">
        <v>42767</v>
      </c>
      <c r="K216" s="767">
        <v>43100</v>
      </c>
      <c r="L216" s="768"/>
      <c r="M216" s="768"/>
      <c r="N216" s="768"/>
      <c r="O216" s="180"/>
      <c r="P216" s="180"/>
      <c r="Q216" s="542">
        <v>65.3006947916656</v>
      </c>
      <c r="R216" s="175" t="s">
        <v>745</v>
      </c>
      <c r="S216" s="774">
        <v>16129800</v>
      </c>
      <c r="T216" s="774">
        <v>935000</v>
      </c>
      <c r="U216" s="774"/>
      <c r="V216" s="774"/>
      <c r="W216" s="774"/>
      <c r="X216" s="774"/>
      <c r="Y216" s="774"/>
      <c r="Z216" s="774">
        <v>27540000</v>
      </c>
      <c r="AA216" s="764" t="s">
        <v>112</v>
      </c>
      <c r="AB216" s="779" t="s">
        <v>9864</v>
      </c>
      <c r="AC216" s="778" t="s">
        <v>9865</v>
      </c>
      <c r="AD216" s="764" t="s">
        <v>10708</v>
      </c>
      <c r="AE216" s="180"/>
      <c r="AF216" s="780" t="s">
        <v>10709</v>
      </c>
      <c r="AG216" s="224" t="s">
        <v>10710</v>
      </c>
      <c r="AH216" s="224" t="s">
        <v>10711</v>
      </c>
      <c r="AI216" s="224" t="s">
        <v>10712</v>
      </c>
      <c r="AJ216" s="224" t="s">
        <v>10713</v>
      </c>
      <c r="AK216" s="224"/>
      <c r="AL216" s="781" t="s">
        <v>10714</v>
      </c>
      <c r="AM216" s="224" t="s">
        <v>10715</v>
      </c>
      <c r="AN216" s="222" t="s">
        <v>10716</v>
      </c>
    </row>
    <row r="217" ht="14.1" customHeight="1" spans="1:40">
      <c r="A217" s="1585" t="s">
        <v>1006</v>
      </c>
      <c r="B217" s="161" t="s">
        <v>10717</v>
      </c>
      <c r="C217" s="761" t="s">
        <v>10718</v>
      </c>
      <c r="D217" s="762" t="s">
        <v>10719</v>
      </c>
      <c r="E217" s="764" t="s">
        <v>43</v>
      </c>
      <c r="F217" s="180" t="s">
        <v>96</v>
      </c>
      <c r="G217" s="765" t="s">
        <v>10720</v>
      </c>
      <c r="H217" s="761" t="s">
        <v>10721</v>
      </c>
      <c r="I217" s="784" t="s">
        <v>9361</v>
      </c>
      <c r="J217" s="767">
        <v>42767</v>
      </c>
      <c r="K217" s="767">
        <v>43100</v>
      </c>
      <c r="L217" s="768"/>
      <c r="M217" s="768"/>
      <c r="N217" s="768"/>
      <c r="O217" s="180"/>
      <c r="P217" s="180"/>
      <c r="Q217" s="542">
        <v>33.3942456018485</v>
      </c>
      <c r="R217" s="175" t="s">
        <v>2569</v>
      </c>
      <c r="S217" s="774">
        <v>13825635</v>
      </c>
      <c r="T217" s="774">
        <v>775000</v>
      </c>
      <c r="U217" s="774"/>
      <c r="V217" s="774"/>
      <c r="W217" s="774"/>
      <c r="X217" s="774"/>
      <c r="Y217" s="774"/>
      <c r="Z217" s="774">
        <v>40000000</v>
      </c>
      <c r="AA217" s="764" t="s">
        <v>112</v>
      </c>
      <c r="AB217" s="779" t="s">
        <v>9864</v>
      </c>
      <c r="AC217" s="778" t="s">
        <v>9865</v>
      </c>
      <c r="AD217" s="764" t="s">
        <v>10633</v>
      </c>
      <c r="AE217" s="180"/>
      <c r="AF217" s="780" t="s">
        <v>10722</v>
      </c>
      <c r="AG217" s="224" t="s">
        <v>10723</v>
      </c>
      <c r="AH217" s="224" t="s">
        <v>10724</v>
      </c>
      <c r="AI217" s="224" t="s">
        <v>10725</v>
      </c>
      <c r="AJ217" s="224" t="s">
        <v>5647</v>
      </c>
      <c r="AK217" s="224"/>
      <c r="AL217" s="781" t="s">
        <v>10726</v>
      </c>
      <c r="AM217" s="224" t="s">
        <v>10727</v>
      </c>
      <c r="AN217" s="222" t="s">
        <v>4749</v>
      </c>
    </row>
    <row r="218" ht="14.1" customHeight="1" spans="1:40">
      <c r="A218" s="1590" t="s">
        <v>1288</v>
      </c>
      <c r="B218" s="161" t="s">
        <v>10728</v>
      </c>
      <c r="C218" s="761" t="s">
        <v>9458</v>
      </c>
      <c r="D218" s="762" t="s">
        <v>10729</v>
      </c>
      <c r="E218" s="764" t="s">
        <v>125</v>
      </c>
      <c r="F218" s="180" t="s">
        <v>44</v>
      </c>
      <c r="G218" s="765" t="s">
        <v>10730</v>
      </c>
      <c r="H218" s="761" t="s">
        <v>10731</v>
      </c>
      <c r="I218" s="784" t="s">
        <v>9348</v>
      </c>
      <c r="J218" s="767">
        <v>42767</v>
      </c>
      <c r="K218" s="767">
        <v>43100</v>
      </c>
      <c r="L218" s="768"/>
      <c r="M218" s="768"/>
      <c r="N218" s="768"/>
      <c r="O218" s="180"/>
      <c r="P218" s="180"/>
      <c r="Q218" s="542">
        <v>33.3942456018485</v>
      </c>
      <c r="R218" s="175" t="s">
        <v>2569</v>
      </c>
      <c r="S218" s="774">
        <v>8228552</v>
      </c>
      <c r="T218" s="774">
        <v>775000</v>
      </c>
      <c r="U218" s="774"/>
      <c r="V218" s="774"/>
      <c r="W218" s="774"/>
      <c r="X218" s="774"/>
      <c r="Y218" s="774"/>
      <c r="Z218" s="774"/>
      <c r="AA218" s="764" t="s">
        <v>112</v>
      </c>
      <c r="AB218" s="779" t="s">
        <v>8612</v>
      </c>
      <c r="AC218" s="778">
        <v>1500000</v>
      </c>
      <c r="AD218" s="764" t="s">
        <v>10611</v>
      </c>
      <c r="AE218" s="180"/>
      <c r="AF218" s="780" t="s">
        <v>10732</v>
      </c>
      <c r="AG218" s="224" t="s">
        <v>10733</v>
      </c>
      <c r="AH218" s="224" t="s">
        <v>10734</v>
      </c>
      <c r="AI218" s="224" t="s">
        <v>10735</v>
      </c>
      <c r="AJ218" s="224" t="s">
        <v>5647</v>
      </c>
      <c r="AK218" s="224"/>
      <c r="AL218" s="781" t="s">
        <v>10736</v>
      </c>
      <c r="AM218" s="224" t="s">
        <v>10737</v>
      </c>
      <c r="AN218" s="222" t="s">
        <v>10738</v>
      </c>
    </row>
    <row r="219" ht="14.1" customHeight="1" spans="1:40">
      <c r="A219" s="1590" t="s">
        <v>1318</v>
      </c>
      <c r="B219" s="161" t="s">
        <v>10739</v>
      </c>
      <c r="C219" s="761" t="s">
        <v>9385</v>
      </c>
      <c r="D219" s="762">
        <v>28708</v>
      </c>
      <c r="E219" s="764" t="s">
        <v>43</v>
      </c>
      <c r="F219" s="180" t="s">
        <v>254</v>
      </c>
      <c r="G219" s="765" t="s">
        <v>8120</v>
      </c>
      <c r="H219" s="761" t="s">
        <v>10718</v>
      </c>
      <c r="I219" s="784" t="s">
        <v>9386</v>
      </c>
      <c r="J219" s="767">
        <v>42767</v>
      </c>
      <c r="K219" s="767">
        <v>43100</v>
      </c>
      <c r="L219" s="768"/>
      <c r="M219" s="768"/>
      <c r="N219" s="768"/>
      <c r="O219" s="180"/>
      <c r="P219" s="180"/>
      <c r="Q219" s="542">
        <v>33.3942456018485</v>
      </c>
      <c r="R219" s="175" t="s">
        <v>2569</v>
      </c>
      <c r="S219" s="774">
        <v>10250000</v>
      </c>
      <c r="T219" s="774">
        <v>775000</v>
      </c>
      <c r="U219" s="774"/>
      <c r="V219" s="774"/>
      <c r="W219" s="774"/>
      <c r="X219" s="774"/>
      <c r="Y219" s="774"/>
      <c r="Z219" s="774"/>
      <c r="AA219" s="764" t="s">
        <v>112</v>
      </c>
      <c r="AB219" s="779" t="s">
        <v>8612</v>
      </c>
      <c r="AC219" s="778">
        <v>2250000</v>
      </c>
      <c r="AD219" s="764" t="s">
        <v>10611</v>
      </c>
      <c r="AE219" s="180"/>
      <c r="AF219" s="780" t="s">
        <v>10740</v>
      </c>
      <c r="AG219" s="224" t="s">
        <v>10741</v>
      </c>
      <c r="AH219" s="224" t="s">
        <v>10742</v>
      </c>
      <c r="AI219" s="224" t="s">
        <v>10743</v>
      </c>
      <c r="AJ219" s="224" t="s">
        <v>10744</v>
      </c>
      <c r="AK219" s="224" t="s">
        <v>9934</v>
      </c>
      <c r="AL219" s="781" t="s">
        <v>10745</v>
      </c>
      <c r="AM219" s="224" t="s">
        <v>10746</v>
      </c>
      <c r="AN219" s="222" t="s">
        <v>10738</v>
      </c>
    </row>
    <row r="220" ht="14.1" customHeight="1" spans="1:40">
      <c r="A220" s="1590" t="s">
        <v>1666</v>
      </c>
      <c r="B220" s="161" t="s">
        <v>10747</v>
      </c>
      <c r="C220" s="761" t="s">
        <v>10534</v>
      </c>
      <c r="D220" s="762" t="s">
        <v>10748</v>
      </c>
      <c r="E220" s="764" t="s">
        <v>43</v>
      </c>
      <c r="F220" s="180" t="s">
        <v>254</v>
      </c>
      <c r="G220" s="765" t="s">
        <v>2823</v>
      </c>
      <c r="H220" s="761" t="s">
        <v>9347</v>
      </c>
      <c r="I220" s="784" t="s">
        <v>9348</v>
      </c>
      <c r="J220" s="767">
        <v>42767</v>
      </c>
      <c r="K220" s="767">
        <v>43100</v>
      </c>
      <c r="L220" s="768"/>
      <c r="M220" s="768"/>
      <c r="N220" s="768"/>
      <c r="O220" s="180"/>
      <c r="P220" s="180"/>
      <c r="Q220" s="542">
        <v>33.3942456018485</v>
      </c>
      <c r="R220" s="175" t="s">
        <v>2569</v>
      </c>
      <c r="S220" s="774">
        <v>2782500</v>
      </c>
      <c r="T220" s="774">
        <v>775000</v>
      </c>
      <c r="U220" s="774"/>
      <c r="V220" s="774"/>
      <c r="W220" s="774"/>
      <c r="X220" s="774"/>
      <c r="Y220" s="774"/>
      <c r="Z220" s="774"/>
      <c r="AA220" s="764" t="s">
        <v>113</v>
      </c>
      <c r="AB220" s="779" t="s">
        <v>8612</v>
      </c>
      <c r="AC220" s="778">
        <v>2250000</v>
      </c>
      <c r="AD220" s="764" t="s">
        <v>10611</v>
      </c>
      <c r="AE220" s="180"/>
      <c r="AF220" s="780" t="s">
        <v>10536</v>
      </c>
      <c r="AG220" s="224" t="s">
        <v>10749</v>
      </c>
      <c r="AH220" s="224" t="s">
        <v>10538</v>
      </c>
      <c r="AI220" s="224" t="s">
        <v>10750</v>
      </c>
      <c r="AJ220" s="224" t="s">
        <v>5647</v>
      </c>
      <c r="AK220" s="224"/>
      <c r="AL220" s="781" t="s">
        <v>10751</v>
      </c>
      <c r="AM220" s="224" t="s">
        <v>10752</v>
      </c>
      <c r="AN220" s="222" t="s">
        <v>10753</v>
      </c>
    </row>
    <row r="221" ht="14.1" customHeight="1" spans="1:40">
      <c r="A221" s="1590" t="s">
        <v>1431</v>
      </c>
      <c r="B221" s="161" t="s">
        <v>10754</v>
      </c>
      <c r="C221" s="761" t="s">
        <v>10755</v>
      </c>
      <c r="D221" s="762" t="s">
        <v>10756</v>
      </c>
      <c r="E221" s="764" t="s">
        <v>125</v>
      </c>
      <c r="F221" s="180" t="s">
        <v>44</v>
      </c>
      <c r="G221" s="765" t="s">
        <v>9861</v>
      </c>
      <c r="H221" s="761" t="s">
        <v>9862</v>
      </c>
      <c r="I221" s="784" t="s">
        <v>9863</v>
      </c>
      <c r="J221" s="767">
        <v>42767</v>
      </c>
      <c r="K221" s="767">
        <v>43100</v>
      </c>
      <c r="L221" s="768"/>
      <c r="M221" s="768"/>
      <c r="N221" s="768"/>
      <c r="O221" s="180"/>
      <c r="P221" s="180"/>
      <c r="Q221" s="542">
        <v>11.3776575231459</v>
      </c>
      <c r="R221" s="175" t="s">
        <v>2569</v>
      </c>
      <c r="S221" s="774">
        <v>8854684</v>
      </c>
      <c r="T221" s="774">
        <v>935000</v>
      </c>
      <c r="U221" s="774"/>
      <c r="V221" s="774"/>
      <c r="W221" s="774"/>
      <c r="X221" s="774"/>
      <c r="Y221" s="774"/>
      <c r="Z221" s="774">
        <v>19242300</v>
      </c>
      <c r="AA221" s="764" t="s">
        <v>112</v>
      </c>
      <c r="AB221" s="779" t="s">
        <v>9864</v>
      </c>
      <c r="AC221" s="778" t="s">
        <v>9865</v>
      </c>
      <c r="AD221" s="764" t="s">
        <v>10633</v>
      </c>
      <c r="AE221" s="180"/>
      <c r="AF221" s="780" t="s">
        <v>10757</v>
      </c>
      <c r="AG221" s="224" t="s">
        <v>10758</v>
      </c>
      <c r="AH221" s="224" t="s">
        <v>10759</v>
      </c>
      <c r="AI221" s="224" t="s">
        <v>10760</v>
      </c>
      <c r="AJ221" s="224" t="s">
        <v>10761</v>
      </c>
      <c r="AK221" s="224"/>
      <c r="AL221" s="781" t="s">
        <v>10762</v>
      </c>
      <c r="AM221" s="224" t="s">
        <v>10763</v>
      </c>
      <c r="AN221" s="222" t="s">
        <v>10764</v>
      </c>
    </row>
    <row r="222" ht="14.1" customHeight="1" spans="1:40">
      <c r="A222" s="1590" t="s">
        <v>1721</v>
      </c>
      <c r="B222" s="161" t="s">
        <v>10765</v>
      </c>
      <c r="C222" s="761" t="s">
        <v>10766</v>
      </c>
      <c r="D222" s="762">
        <v>33603</v>
      </c>
      <c r="E222" s="764" t="s">
        <v>43</v>
      </c>
      <c r="F222" s="180" t="s">
        <v>44</v>
      </c>
      <c r="G222" s="765" t="s">
        <v>9999</v>
      </c>
      <c r="H222" s="761" t="s">
        <v>10767</v>
      </c>
      <c r="I222" s="784" t="s">
        <v>9361</v>
      </c>
      <c r="J222" s="767">
        <v>42767</v>
      </c>
      <c r="K222" s="767">
        <v>43100</v>
      </c>
      <c r="L222" s="768"/>
      <c r="M222" s="768"/>
      <c r="N222" s="768"/>
      <c r="O222" s="180"/>
      <c r="P222" s="180"/>
      <c r="Q222" s="542">
        <v>11.3776575231459</v>
      </c>
      <c r="R222" s="175" t="s">
        <v>2569</v>
      </c>
      <c r="S222" s="774">
        <v>4527600</v>
      </c>
      <c r="T222" s="774">
        <v>935000</v>
      </c>
      <c r="U222" s="774"/>
      <c r="V222" s="774"/>
      <c r="W222" s="774"/>
      <c r="X222" s="774"/>
      <c r="Y222" s="774"/>
      <c r="Z222" s="774">
        <v>10780000</v>
      </c>
      <c r="AA222" s="764" t="s">
        <v>112</v>
      </c>
      <c r="AB222" s="779" t="s">
        <v>9864</v>
      </c>
      <c r="AC222" s="778" t="s">
        <v>9865</v>
      </c>
      <c r="AD222" s="764" t="s">
        <v>10633</v>
      </c>
      <c r="AE222" s="180"/>
      <c r="AF222" s="780" t="s">
        <v>10768</v>
      </c>
      <c r="AG222" s="224" t="s">
        <v>10769</v>
      </c>
      <c r="AH222" s="224" t="s">
        <v>10770</v>
      </c>
      <c r="AI222" s="224" t="s">
        <v>9366</v>
      </c>
      <c r="AJ222" s="224" t="s">
        <v>10771</v>
      </c>
      <c r="AK222" s="224"/>
      <c r="AL222" s="781" t="s">
        <v>10772</v>
      </c>
      <c r="AM222" s="224" t="s">
        <v>10773</v>
      </c>
      <c r="AN222" s="222" t="s">
        <v>10774</v>
      </c>
    </row>
    <row r="223" ht="14.1" customHeight="1" spans="1:40">
      <c r="A223" s="1590" t="s">
        <v>1016</v>
      </c>
      <c r="B223" s="161" t="s">
        <v>10775</v>
      </c>
      <c r="C223" s="761" t="s">
        <v>10776</v>
      </c>
      <c r="D223" s="762" t="s">
        <v>10777</v>
      </c>
      <c r="E223" s="764" t="s">
        <v>43</v>
      </c>
      <c r="F223" s="180" t="s">
        <v>254</v>
      </c>
      <c r="G223" s="765" t="s">
        <v>9384</v>
      </c>
      <c r="H223" s="761" t="s">
        <v>10731</v>
      </c>
      <c r="I223" s="784" t="s">
        <v>9348</v>
      </c>
      <c r="J223" s="767">
        <v>42767</v>
      </c>
      <c r="K223" s="767">
        <v>43100</v>
      </c>
      <c r="L223" s="768"/>
      <c r="M223" s="768"/>
      <c r="N223" s="768"/>
      <c r="O223" s="180"/>
      <c r="P223" s="180"/>
      <c r="Q223" s="542">
        <v>-17.5395570601831</v>
      </c>
      <c r="R223" s="175" t="s">
        <v>2569</v>
      </c>
      <c r="S223" s="774">
        <v>2703750</v>
      </c>
      <c r="T223" s="774">
        <v>775000</v>
      </c>
      <c r="U223" s="774"/>
      <c r="V223" s="774"/>
      <c r="W223" s="774"/>
      <c r="X223" s="774"/>
      <c r="Y223" s="774"/>
      <c r="Z223" s="774"/>
      <c r="AA223" s="764" t="s">
        <v>113</v>
      </c>
      <c r="AB223" s="779" t="s">
        <v>8612</v>
      </c>
      <c r="AC223" s="778">
        <v>2250000</v>
      </c>
      <c r="AD223" s="764" t="s">
        <v>10611</v>
      </c>
      <c r="AE223" s="180"/>
      <c r="AF223" s="780" t="s">
        <v>10778</v>
      </c>
      <c r="AG223" s="224" t="s">
        <v>10779</v>
      </c>
      <c r="AH223" s="224" t="s">
        <v>10780</v>
      </c>
      <c r="AI223" s="224" t="s">
        <v>10781</v>
      </c>
      <c r="AJ223" s="224" t="s">
        <v>5647</v>
      </c>
      <c r="AK223" s="224"/>
      <c r="AL223" s="781" t="s">
        <v>10782</v>
      </c>
      <c r="AM223" s="224" t="s">
        <v>10783</v>
      </c>
      <c r="AN223" s="222" t="s">
        <v>10784</v>
      </c>
    </row>
    <row r="224" ht="14.1" customHeight="1" spans="1:40">
      <c r="A224" s="1590" t="s">
        <v>1195</v>
      </c>
      <c r="B224" s="161" t="s">
        <v>10785</v>
      </c>
      <c r="C224" s="761" t="s">
        <v>10786</v>
      </c>
      <c r="D224" s="762">
        <v>29151</v>
      </c>
      <c r="E224" s="764" t="s">
        <v>43</v>
      </c>
      <c r="F224" s="180" t="s">
        <v>254</v>
      </c>
      <c r="G224" s="765" t="s">
        <v>9384</v>
      </c>
      <c r="H224" s="761" t="s">
        <v>10731</v>
      </c>
      <c r="I224" s="784" t="s">
        <v>9348</v>
      </c>
      <c r="J224" s="767">
        <v>42767</v>
      </c>
      <c r="K224" s="767">
        <v>43100</v>
      </c>
      <c r="L224" s="768"/>
      <c r="M224" s="768"/>
      <c r="N224" s="768"/>
      <c r="O224" s="180"/>
      <c r="P224" s="180"/>
      <c r="Q224" s="542">
        <v>-17.5395570601831</v>
      </c>
      <c r="R224" s="175" t="s">
        <v>2569</v>
      </c>
      <c r="S224" s="774">
        <v>2703750</v>
      </c>
      <c r="T224" s="774">
        <v>775000</v>
      </c>
      <c r="U224" s="774"/>
      <c r="V224" s="774"/>
      <c r="W224" s="774"/>
      <c r="X224" s="774"/>
      <c r="Y224" s="774"/>
      <c r="Z224" s="774"/>
      <c r="AA224" s="764" t="s">
        <v>113</v>
      </c>
      <c r="AB224" s="779" t="s">
        <v>8612</v>
      </c>
      <c r="AC224" s="778">
        <v>2250000</v>
      </c>
      <c r="AD224" s="764" t="s">
        <v>10611</v>
      </c>
      <c r="AE224" s="180"/>
      <c r="AF224" s="780" t="s">
        <v>10787</v>
      </c>
      <c r="AG224" s="224" t="s">
        <v>10788</v>
      </c>
      <c r="AH224" s="224" t="s">
        <v>10789</v>
      </c>
      <c r="AI224" s="224" t="s">
        <v>10790</v>
      </c>
      <c r="AJ224" s="224" t="s">
        <v>10791</v>
      </c>
      <c r="AK224" s="224" t="s">
        <v>10792</v>
      </c>
      <c r="AL224" s="781" t="s">
        <v>10793</v>
      </c>
      <c r="AM224" s="224"/>
      <c r="AN224" s="222" t="s">
        <v>10784</v>
      </c>
    </row>
    <row r="225" ht="14.1" customHeight="1" spans="1:40">
      <c r="A225" s="1590" t="s">
        <v>1277</v>
      </c>
      <c r="B225" s="161" t="s">
        <v>10794</v>
      </c>
      <c r="C225" s="761" t="s">
        <v>10795</v>
      </c>
      <c r="D225" s="762" t="s">
        <v>10796</v>
      </c>
      <c r="E225" s="764" t="s">
        <v>43</v>
      </c>
      <c r="F225" s="180" t="s">
        <v>44</v>
      </c>
      <c r="G225" s="765" t="s">
        <v>9384</v>
      </c>
      <c r="H225" s="761" t="s">
        <v>10797</v>
      </c>
      <c r="I225" s="784" t="s">
        <v>9348</v>
      </c>
      <c r="J225" s="767">
        <v>42767</v>
      </c>
      <c r="K225" s="767">
        <v>43100</v>
      </c>
      <c r="L225" s="768"/>
      <c r="M225" s="768"/>
      <c r="N225" s="768"/>
      <c r="O225" s="180"/>
      <c r="P225" s="180"/>
      <c r="Q225" s="542">
        <v>-17.5395570601831</v>
      </c>
      <c r="R225" s="175" t="s">
        <v>2569</v>
      </c>
      <c r="S225" s="774">
        <v>2703750</v>
      </c>
      <c r="T225" s="774">
        <v>775000</v>
      </c>
      <c r="U225" s="774"/>
      <c r="V225" s="774"/>
      <c r="W225" s="774"/>
      <c r="X225" s="774"/>
      <c r="Y225" s="774"/>
      <c r="Z225" s="774"/>
      <c r="AA225" s="764" t="s">
        <v>113</v>
      </c>
      <c r="AB225" s="779" t="s">
        <v>8612</v>
      </c>
      <c r="AC225" s="778">
        <v>1500000</v>
      </c>
      <c r="AD225" s="764" t="s">
        <v>10611</v>
      </c>
      <c r="AE225" s="180"/>
      <c r="AF225" s="780" t="s">
        <v>10798</v>
      </c>
      <c r="AG225" s="224" t="s">
        <v>10799</v>
      </c>
      <c r="AH225" s="224" t="s">
        <v>10800</v>
      </c>
      <c r="AI225" s="224" t="s">
        <v>10801</v>
      </c>
      <c r="AJ225" s="224" t="s">
        <v>10802</v>
      </c>
      <c r="AK225" s="224" t="s">
        <v>10803</v>
      </c>
      <c r="AL225" s="781" t="s">
        <v>10804</v>
      </c>
      <c r="AM225" s="224" t="s">
        <v>10805</v>
      </c>
      <c r="AN225" s="222" t="s">
        <v>10784</v>
      </c>
    </row>
    <row r="226" ht="14.1" customHeight="1" spans="1:40">
      <c r="A226" s="1590" t="s">
        <v>1677</v>
      </c>
      <c r="B226" s="161" t="s">
        <v>10806</v>
      </c>
      <c r="C226" s="761" t="s">
        <v>10807</v>
      </c>
      <c r="D226" s="762" t="s">
        <v>10808</v>
      </c>
      <c r="E226" s="764" t="s">
        <v>125</v>
      </c>
      <c r="F226" s="180" t="s">
        <v>404</v>
      </c>
      <c r="G226" s="765" t="s">
        <v>10809</v>
      </c>
      <c r="H226" s="761" t="s">
        <v>10810</v>
      </c>
      <c r="I226" s="784" t="s">
        <v>9361</v>
      </c>
      <c r="J226" s="767">
        <v>42767</v>
      </c>
      <c r="K226" s="767">
        <v>43100</v>
      </c>
      <c r="L226" s="768"/>
      <c r="M226" s="768"/>
      <c r="N226" s="768"/>
      <c r="O226" s="180"/>
      <c r="P226" s="180"/>
      <c r="Q226" s="542">
        <v>-17.5395570601831</v>
      </c>
      <c r="R226" s="175" t="s">
        <v>2569</v>
      </c>
      <c r="S226" s="774">
        <v>4819500</v>
      </c>
      <c r="T226" s="774">
        <v>1150000</v>
      </c>
      <c r="U226" s="774"/>
      <c r="V226" s="774"/>
      <c r="W226" s="774">
        <v>3650000</v>
      </c>
      <c r="X226" s="774"/>
      <c r="Y226" s="774"/>
      <c r="Z226" s="774">
        <v>16320000</v>
      </c>
      <c r="AA226" s="764" t="s">
        <v>112</v>
      </c>
      <c r="AB226" s="779" t="s">
        <v>9864</v>
      </c>
      <c r="AC226" s="778" t="s">
        <v>9865</v>
      </c>
      <c r="AD226" s="764" t="s">
        <v>10633</v>
      </c>
      <c r="AE226" s="180"/>
      <c r="AF226" s="780" t="s">
        <v>10811</v>
      </c>
      <c r="AG226" s="224" t="s">
        <v>10812</v>
      </c>
      <c r="AH226" s="224" t="s">
        <v>10813</v>
      </c>
      <c r="AI226" s="224" t="s">
        <v>10814</v>
      </c>
      <c r="AJ226" s="224" t="s">
        <v>5647</v>
      </c>
      <c r="AK226" s="224"/>
      <c r="AL226" s="781" t="s">
        <v>10815</v>
      </c>
      <c r="AM226" s="224" t="s">
        <v>10816</v>
      </c>
      <c r="AN226" s="222" t="s">
        <v>6167</v>
      </c>
    </row>
    <row r="227" ht="14.1" customHeight="1" spans="1:40">
      <c r="A227" s="1590" t="s">
        <v>1867</v>
      </c>
      <c r="B227" s="32" t="s">
        <v>10817</v>
      </c>
      <c r="C227" s="761" t="s">
        <v>10818</v>
      </c>
      <c r="D227" s="762" t="s">
        <v>10819</v>
      </c>
      <c r="E227" s="764" t="s">
        <v>43</v>
      </c>
      <c r="F227" s="180" t="s">
        <v>44</v>
      </c>
      <c r="G227" s="765" t="s">
        <v>2823</v>
      </c>
      <c r="H227" s="761"/>
      <c r="I227" s="784" t="s">
        <v>920</v>
      </c>
      <c r="J227" s="767">
        <v>42996</v>
      </c>
      <c r="K227" s="767">
        <v>43086</v>
      </c>
      <c r="L227" s="768">
        <v>43100</v>
      </c>
      <c r="M227" s="768">
        <v>43465</v>
      </c>
      <c r="N227" s="768"/>
      <c r="O227" s="180"/>
      <c r="P227" s="180"/>
      <c r="Q227" s="542">
        <v>347.460442939817</v>
      </c>
      <c r="R227" s="175" t="s">
        <v>745</v>
      </c>
      <c r="S227" s="774">
        <v>2745000</v>
      </c>
      <c r="T227" s="774">
        <v>775000</v>
      </c>
      <c r="U227" s="774"/>
      <c r="V227" s="774"/>
      <c r="W227" s="774"/>
      <c r="X227" s="774"/>
      <c r="Y227" s="774"/>
      <c r="Z227" s="774"/>
      <c r="AA227" s="764" t="s">
        <v>112</v>
      </c>
      <c r="AB227" s="779" t="s">
        <v>8612</v>
      </c>
      <c r="AC227" s="778">
        <v>1500000</v>
      </c>
      <c r="AD227" s="764" t="s">
        <v>10611</v>
      </c>
      <c r="AE227" s="180"/>
      <c r="AF227" s="780" t="s">
        <v>10820</v>
      </c>
      <c r="AG227" s="224" t="s">
        <v>10821</v>
      </c>
      <c r="AH227" s="224" t="s">
        <v>10822</v>
      </c>
      <c r="AI227" s="224" t="s">
        <v>10823</v>
      </c>
      <c r="AJ227" s="224"/>
      <c r="AK227" s="224"/>
      <c r="AL227" s="781" t="s">
        <v>10824</v>
      </c>
      <c r="AM227" s="229" t="s">
        <v>10825</v>
      </c>
      <c r="AN227" s="222" t="s">
        <v>3157</v>
      </c>
    </row>
    <row r="228" ht="14.1" customHeight="1" spans="1:40">
      <c r="A228" s="1590" t="s">
        <v>1885</v>
      </c>
      <c r="B228" s="32" t="s">
        <v>10826</v>
      </c>
      <c r="C228" s="761" t="s">
        <v>10827</v>
      </c>
      <c r="D228" s="762" t="s">
        <v>10828</v>
      </c>
      <c r="E228" s="764" t="s">
        <v>125</v>
      </c>
      <c r="F228" s="180" t="s">
        <v>44</v>
      </c>
      <c r="G228" s="765" t="s">
        <v>10829</v>
      </c>
      <c r="H228" s="761"/>
      <c r="I228" s="784" t="s">
        <v>920</v>
      </c>
      <c r="J228" s="767">
        <v>43031</v>
      </c>
      <c r="K228" s="767">
        <v>43100</v>
      </c>
      <c r="L228" s="768"/>
      <c r="M228" s="768"/>
      <c r="N228" s="768"/>
      <c r="O228" s="180"/>
      <c r="P228" s="180"/>
      <c r="Q228" s="542">
        <v>-17.5395570601831</v>
      </c>
      <c r="R228" s="175" t="s">
        <v>2569</v>
      </c>
      <c r="S228" s="774">
        <v>2580750</v>
      </c>
      <c r="T228" s="774">
        <v>775000</v>
      </c>
      <c r="U228" s="774"/>
      <c r="V228" s="774"/>
      <c r="W228" s="774"/>
      <c r="X228" s="774"/>
      <c r="Y228" s="774"/>
      <c r="Z228" s="774"/>
      <c r="AA228" s="764"/>
      <c r="AB228" s="779" t="s">
        <v>8612</v>
      </c>
      <c r="AC228" s="778">
        <v>1500000</v>
      </c>
      <c r="AD228" s="764" t="s">
        <v>10611</v>
      </c>
      <c r="AE228" s="180"/>
      <c r="AF228" s="780" t="s">
        <v>10830</v>
      </c>
      <c r="AG228" s="224" t="s">
        <v>10831</v>
      </c>
      <c r="AH228" s="224" t="s">
        <v>10832</v>
      </c>
      <c r="AI228" s="224"/>
      <c r="AJ228" s="224"/>
      <c r="AK228" s="224"/>
      <c r="AL228" s="781" t="s">
        <v>10833</v>
      </c>
      <c r="AM228" s="229" t="s">
        <v>10834</v>
      </c>
      <c r="AN228" s="222" t="s">
        <v>3157</v>
      </c>
    </row>
    <row r="229" ht="14.1" customHeight="1" spans="1:40">
      <c r="A229" s="1590" t="s">
        <v>1902</v>
      </c>
      <c r="B229" s="32" t="s">
        <v>10835</v>
      </c>
      <c r="C229" s="761" t="s">
        <v>10836</v>
      </c>
      <c r="D229" s="762" t="s">
        <v>10837</v>
      </c>
      <c r="E229" s="764" t="s">
        <v>43</v>
      </c>
      <c r="F229" s="180" t="s">
        <v>60</v>
      </c>
      <c r="G229" s="765" t="s">
        <v>10838</v>
      </c>
      <c r="H229" s="761" t="s">
        <v>9347</v>
      </c>
      <c r="I229" s="784" t="s">
        <v>920</v>
      </c>
      <c r="J229" s="767">
        <v>43054</v>
      </c>
      <c r="K229" s="767">
        <v>43100</v>
      </c>
      <c r="L229" s="768"/>
      <c r="M229" s="768"/>
      <c r="N229" s="768"/>
      <c r="O229" s="180"/>
      <c r="P229" s="180"/>
      <c r="Q229" s="542">
        <v>-17.5395570601831</v>
      </c>
      <c r="R229" s="175" t="s">
        <v>2569</v>
      </c>
      <c r="S229" s="773">
        <v>2808750</v>
      </c>
      <c r="T229" s="774">
        <v>775000</v>
      </c>
      <c r="U229" s="773"/>
      <c r="V229" s="774"/>
      <c r="W229" s="773">
        <v>500000</v>
      </c>
      <c r="X229" s="773"/>
      <c r="Y229" s="773"/>
      <c r="Z229" s="774"/>
      <c r="AA229" s="773">
        <v>1000000</v>
      </c>
      <c r="AB229" s="779" t="s">
        <v>8612</v>
      </c>
      <c r="AC229" s="778">
        <v>2000000</v>
      </c>
      <c r="AD229" s="764" t="s">
        <v>10611</v>
      </c>
      <c r="AE229" s="180"/>
      <c r="AF229" s="780" t="s">
        <v>10839</v>
      </c>
      <c r="AG229" s="224" t="s">
        <v>10840</v>
      </c>
      <c r="AH229" s="224" t="s">
        <v>10841</v>
      </c>
      <c r="AI229" s="224" t="s">
        <v>10842</v>
      </c>
      <c r="AJ229" s="224"/>
      <c r="AK229" s="224"/>
      <c r="AL229" s="781" t="s">
        <v>10843</v>
      </c>
      <c r="AM229" s="229" t="s">
        <v>10844</v>
      </c>
      <c r="AN229" s="222" t="s">
        <v>2986</v>
      </c>
    </row>
    <row r="230" ht="14.1" customHeight="1" spans="1:40">
      <c r="A230" s="1590" t="s">
        <v>1910</v>
      </c>
      <c r="B230" s="32" t="s">
        <v>10845</v>
      </c>
      <c r="C230" s="761" t="s">
        <v>10846</v>
      </c>
      <c r="D230" s="762" t="s">
        <v>10847</v>
      </c>
      <c r="E230" s="764" t="s">
        <v>43</v>
      </c>
      <c r="F230" s="180" t="s">
        <v>44</v>
      </c>
      <c r="G230" s="765" t="s">
        <v>10838</v>
      </c>
      <c r="H230" s="761" t="s">
        <v>9347</v>
      </c>
      <c r="I230" s="784" t="s">
        <v>920</v>
      </c>
      <c r="J230" s="767">
        <v>43054</v>
      </c>
      <c r="K230" s="767">
        <v>43100</v>
      </c>
      <c r="L230" s="768"/>
      <c r="M230" s="768"/>
      <c r="N230" s="768"/>
      <c r="O230" s="180"/>
      <c r="P230" s="180"/>
      <c r="Q230" s="542">
        <v>-17.5395570601831</v>
      </c>
      <c r="R230" s="175" t="s">
        <v>2569</v>
      </c>
      <c r="S230" s="773">
        <v>2808750</v>
      </c>
      <c r="T230" s="774">
        <v>775000</v>
      </c>
      <c r="U230" s="773"/>
      <c r="V230" s="774"/>
      <c r="W230" s="773">
        <v>500000</v>
      </c>
      <c r="X230" s="773"/>
      <c r="Y230" s="773"/>
      <c r="Z230" s="774"/>
      <c r="AA230" s="773">
        <v>1000000</v>
      </c>
      <c r="AB230" s="779" t="s">
        <v>8612</v>
      </c>
      <c r="AC230" s="778">
        <v>1500000</v>
      </c>
      <c r="AD230" s="764" t="s">
        <v>10611</v>
      </c>
      <c r="AE230" s="180"/>
      <c r="AF230" s="780" t="s">
        <v>10848</v>
      </c>
      <c r="AG230" s="224" t="s">
        <v>10849</v>
      </c>
      <c r="AH230" s="224" t="s">
        <v>10850</v>
      </c>
      <c r="AI230" s="224" t="s">
        <v>10851</v>
      </c>
      <c r="AJ230" s="224"/>
      <c r="AK230" s="224" t="s">
        <v>10852</v>
      </c>
      <c r="AL230" s="781" t="s">
        <v>10853</v>
      </c>
      <c r="AM230" s="229" t="s">
        <v>10854</v>
      </c>
      <c r="AN230" s="222" t="s">
        <v>2986</v>
      </c>
    </row>
    <row r="231" ht="14.1" customHeight="1" spans="1:40">
      <c r="A231" s="1585" t="s">
        <v>1521</v>
      </c>
      <c r="B231" s="161" t="s">
        <v>10855</v>
      </c>
      <c r="C231" s="761" t="s">
        <v>10856</v>
      </c>
      <c r="D231" s="762" t="s">
        <v>10857</v>
      </c>
      <c r="E231" s="764" t="s">
        <v>43</v>
      </c>
      <c r="F231" s="180" t="s">
        <v>60</v>
      </c>
      <c r="G231" s="765" t="s">
        <v>10858</v>
      </c>
      <c r="H231" s="761" t="s">
        <v>10859</v>
      </c>
      <c r="I231" s="784" t="s">
        <v>9863</v>
      </c>
      <c r="J231" s="767">
        <v>42767</v>
      </c>
      <c r="K231" s="767">
        <v>43100</v>
      </c>
      <c r="L231" s="768">
        <v>43465</v>
      </c>
      <c r="M231" s="768"/>
      <c r="N231" s="768"/>
      <c r="O231" s="180"/>
      <c r="P231" s="180"/>
      <c r="Q231" s="540">
        <v>325.358007175928</v>
      </c>
      <c r="R231" s="175" t="s">
        <v>745</v>
      </c>
      <c r="S231" s="774">
        <v>6032000</v>
      </c>
      <c r="T231" s="774">
        <v>935000</v>
      </c>
      <c r="U231" s="774"/>
      <c r="V231" s="774"/>
      <c r="W231" s="774"/>
      <c r="X231" s="774"/>
      <c r="Y231" s="774"/>
      <c r="Z231" s="774">
        <v>16771860</v>
      </c>
      <c r="AA231" s="764" t="s">
        <v>112</v>
      </c>
      <c r="AB231" s="779" t="s">
        <v>9864</v>
      </c>
      <c r="AC231" s="778" t="s">
        <v>9865</v>
      </c>
      <c r="AD231" s="764" t="s">
        <v>10633</v>
      </c>
      <c r="AE231" s="180"/>
      <c r="AF231" s="780" t="s">
        <v>10860</v>
      </c>
      <c r="AG231" s="224" t="s">
        <v>10861</v>
      </c>
      <c r="AH231" s="224" t="s">
        <v>10862</v>
      </c>
      <c r="AI231" s="224" t="s">
        <v>10863</v>
      </c>
      <c r="AJ231" s="224" t="s">
        <v>5647</v>
      </c>
      <c r="AK231" s="224"/>
      <c r="AL231" s="781" t="s">
        <v>10864</v>
      </c>
      <c r="AM231" s="224" t="s">
        <v>10865</v>
      </c>
      <c r="AN231" s="163" t="s">
        <v>10866</v>
      </c>
    </row>
    <row r="232" ht="14.1" customHeight="1" spans="1:40">
      <c r="A232" s="1590" t="s">
        <v>1958</v>
      </c>
      <c r="B232" s="14" t="s">
        <v>10867</v>
      </c>
      <c r="C232" s="761" t="s">
        <v>10868</v>
      </c>
      <c r="D232" s="762" t="s">
        <v>10869</v>
      </c>
      <c r="E232" s="764" t="s">
        <v>125</v>
      </c>
      <c r="F232" s="180" t="s">
        <v>44</v>
      </c>
      <c r="G232" s="765" t="s">
        <v>10383</v>
      </c>
      <c r="H232" s="761"/>
      <c r="I232" s="784" t="s">
        <v>3528</v>
      </c>
      <c r="J232" s="767">
        <v>43101</v>
      </c>
      <c r="K232" s="767">
        <v>43465</v>
      </c>
      <c r="L232" s="768"/>
      <c r="M232" s="768"/>
      <c r="N232" s="768"/>
      <c r="O232" s="180"/>
      <c r="P232" s="180"/>
      <c r="Q232" s="542">
        <v>325.358007175928</v>
      </c>
      <c r="R232" s="175" t="s">
        <v>745</v>
      </c>
      <c r="S232" s="773">
        <v>3355750</v>
      </c>
      <c r="T232" s="774">
        <v>600000</v>
      </c>
      <c r="U232" s="773"/>
      <c r="V232" s="774"/>
      <c r="W232" s="773"/>
      <c r="X232" s="773"/>
      <c r="Y232" s="773"/>
      <c r="Z232" s="774"/>
      <c r="AA232" s="773"/>
      <c r="AB232" s="779"/>
      <c r="AC232" s="778"/>
      <c r="AD232" s="764"/>
      <c r="AE232" s="180"/>
      <c r="AF232" s="780" t="s">
        <v>10870</v>
      </c>
      <c r="AG232" s="224" t="s">
        <v>10871</v>
      </c>
      <c r="AH232" s="224" t="s">
        <v>10872</v>
      </c>
      <c r="AI232" s="224" t="s">
        <v>10873</v>
      </c>
      <c r="AJ232" s="224" t="s">
        <v>5647</v>
      </c>
      <c r="AK232" s="224" t="s">
        <v>10874</v>
      </c>
      <c r="AL232" s="781" t="s">
        <v>10875</v>
      </c>
      <c r="AM232" s="229" t="s">
        <v>10876</v>
      </c>
      <c r="AN232" s="222" t="s">
        <v>10877</v>
      </c>
    </row>
    <row r="233" ht="14.1" customHeight="1" spans="1:40">
      <c r="A233" s="1585" t="s">
        <v>1970</v>
      </c>
      <c r="B233" s="14" t="s">
        <v>10878</v>
      </c>
      <c r="C233" s="761" t="s">
        <v>10879</v>
      </c>
      <c r="D233" s="762" t="s">
        <v>10880</v>
      </c>
      <c r="E233" s="764" t="s">
        <v>43</v>
      </c>
      <c r="F233" s="180" t="s">
        <v>404</v>
      </c>
      <c r="G233" s="765" t="s">
        <v>10383</v>
      </c>
      <c r="H233" s="761"/>
      <c r="I233" s="784" t="s">
        <v>3528</v>
      </c>
      <c r="J233" s="767">
        <v>43101</v>
      </c>
      <c r="K233" s="767">
        <v>43465</v>
      </c>
      <c r="L233" s="768"/>
      <c r="M233" s="768"/>
      <c r="N233" s="768"/>
      <c r="O233" s="180"/>
      <c r="P233" s="180"/>
      <c r="Q233" s="542">
        <v>325.358007175928</v>
      </c>
      <c r="R233" s="175" t="s">
        <v>745</v>
      </c>
      <c r="S233" s="773">
        <v>3355750</v>
      </c>
      <c r="T233" s="774">
        <v>600000</v>
      </c>
      <c r="U233" s="773"/>
      <c r="V233" s="774"/>
      <c r="W233" s="773"/>
      <c r="X233" s="773"/>
      <c r="Y233" s="773"/>
      <c r="Z233" s="774"/>
      <c r="AA233" s="773"/>
      <c r="AB233" s="779"/>
      <c r="AC233" s="778"/>
      <c r="AD233" s="764"/>
      <c r="AE233" s="180"/>
      <c r="AF233" s="780" t="s">
        <v>10881</v>
      </c>
      <c r="AG233" s="224" t="s">
        <v>10882</v>
      </c>
      <c r="AH233" s="224" t="s">
        <v>10883</v>
      </c>
      <c r="AI233" s="224" t="s">
        <v>10884</v>
      </c>
      <c r="AJ233" s="224" t="s">
        <v>5647</v>
      </c>
      <c r="AK233" s="224"/>
      <c r="AL233" s="781" t="s">
        <v>10885</v>
      </c>
      <c r="AM233" s="229" t="s">
        <v>10886</v>
      </c>
      <c r="AN233" s="222" t="s">
        <v>10887</v>
      </c>
    </row>
    <row r="234" s="155" customFormat="1" ht="15" customHeight="1" spans="1:40">
      <c r="A234" s="1585" t="s">
        <v>261</v>
      </c>
      <c r="B234" s="161" t="s">
        <v>10888</v>
      </c>
      <c r="C234" s="761" t="s">
        <v>10889</v>
      </c>
      <c r="D234" s="761" t="s">
        <v>10890</v>
      </c>
      <c r="E234" s="764" t="s">
        <v>43</v>
      </c>
      <c r="F234" s="161" t="s">
        <v>254</v>
      </c>
      <c r="G234" s="761" t="s">
        <v>10891</v>
      </c>
      <c r="H234" s="697" t="s">
        <v>8611</v>
      </c>
      <c r="I234" s="697" t="s">
        <v>920</v>
      </c>
      <c r="J234" s="785">
        <v>42401</v>
      </c>
      <c r="K234" s="785">
        <v>42766</v>
      </c>
      <c r="L234" s="768">
        <v>43100</v>
      </c>
      <c r="M234" s="768">
        <v>43131</v>
      </c>
      <c r="N234" s="768"/>
      <c r="O234" s="768">
        <v>43132</v>
      </c>
      <c r="P234" s="768">
        <v>43465</v>
      </c>
      <c r="Q234" s="542">
        <v>258.3171</v>
      </c>
      <c r="R234" s="175" t="s">
        <v>745</v>
      </c>
      <c r="S234" s="179">
        <v>3782160</v>
      </c>
      <c r="T234" s="179">
        <v>775000</v>
      </c>
      <c r="U234" s="179" t="s">
        <v>583</v>
      </c>
      <c r="V234" s="179"/>
      <c r="W234" s="179"/>
      <c r="X234" s="179"/>
      <c r="Y234" s="179"/>
      <c r="Z234" s="179"/>
      <c r="AA234" s="764" t="s">
        <v>112</v>
      </c>
      <c r="AB234" s="779" t="s">
        <v>8612</v>
      </c>
      <c r="AC234" s="718">
        <v>2250000</v>
      </c>
      <c r="AD234" s="700" t="s">
        <v>8613</v>
      </c>
      <c r="AE234" s="163" t="s">
        <v>10892</v>
      </c>
      <c r="AF234" s="761" t="s">
        <v>10893</v>
      </c>
      <c r="AG234" s="1591" t="s">
        <v>10894</v>
      </c>
      <c r="AH234" s="1591" t="s">
        <v>10895</v>
      </c>
      <c r="AI234" s="222" t="s">
        <v>10896</v>
      </c>
      <c r="AJ234" s="222" t="s">
        <v>8619</v>
      </c>
      <c r="AK234" s="225" t="s">
        <v>10897</v>
      </c>
      <c r="AL234" s="781" t="s">
        <v>10898</v>
      </c>
      <c r="AM234" s="224" t="s">
        <v>10899</v>
      </c>
      <c r="AN234" s="222" t="s">
        <v>10900</v>
      </c>
    </row>
    <row r="235" s="155" customFormat="1" ht="15" customHeight="1" spans="1:40">
      <c r="A235" s="1585" t="s">
        <v>642</v>
      </c>
      <c r="B235" s="161" t="s">
        <v>10901</v>
      </c>
      <c r="C235" s="761" t="s">
        <v>9103</v>
      </c>
      <c r="D235" s="761" t="s">
        <v>10902</v>
      </c>
      <c r="E235" s="764" t="s">
        <v>43</v>
      </c>
      <c r="F235" s="161" t="s">
        <v>254</v>
      </c>
      <c r="G235" s="761" t="s">
        <v>10903</v>
      </c>
      <c r="H235" s="697" t="s">
        <v>9420</v>
      </c>
      <c r="I235" s="697" t="s">
        <v>920</v>
      </c>
      <c r="J235" s="785">
        <v>42401</v>
      </c>
      <c r="K235" s="785">
        <v>42766</v>
      </c>
      <c r="L235" s="768">
        <v>43100</v>
      </c>
      <c r="M235" s="768"/>
      <c r="N235" s="768"/>
      <c r="O235" s="768">
        <v>43101</v>
      </c>
      <c r="P235" s="768">
        <v>43465</v>
      </c>
      <c r="Q235" s="542">
        <v>258.3171</v>
      </c>
      <c r="R235" s="175" t="s">
        <v>745</v>
      </c>
      <c r="S235" s="179">
        <v>6930000</v>
      </c>
      <c r="T235" s="179">
        <v>775000</v>
      </c>
      <c r="U235" s="179" t="s">
        <v>583</v>
      </c>
      <c r="V235" s="179"/>
      <c r="W235" s="179"/>
      <c r="X235" s="179"/>
      <c r="Y235" s="179"/>
      <c r="Z235" s="179"/>
      <c r="AA235" s="764" t="s">
        <v>113</v>
      </c>
      <c r="AB235" s="779" t="s">
        <v>8612</v>
      </c>
      <c r="AC235" s="718">
        <v>2250000</v>
      </c>
      <c r="AD235" s="700" t="s">
        <v>8613</v>
      </c>
      <c r="AE235" s="163" t="s">
        <v>10904</v>
      </c>
      <c r="AF235" s="761" t="s">
        <v>10905</v>
      </c>
      <c r="AG235" s="1591" t="s">
        <v>10906</v>
      </c>
      <c r="AH235" s="1591" t="s">
        <v>10907</v>
      </c>
      <c r="AI235" s="222" t="s">
        <v>10908</v>
      </c>
      <c r="AJ235" s="222">
        <v>10004859095</v>
      </c>
      <c r="AK235" s="225" t="s">
        <v>10909</v>
      </c>
      <c r="AL235" s="781" t="s">
        <v>10910</v>
      </c>
      <c r="AM235" s="224" t="s">
        <v>10911</v>
      </c>
      <c r="AN235" s="222" t="s">
        <v>10900</v>
      </c>
    </row>
    <row r="236" s="155" customFormat="1" ht="15" customHeight="1" spans="1:40">
      <c r="A236" s="1585" t="s">
        <v>816</v>
      </c>
      <c r="B236" s="161" t="s">
        <v>10912</v>
      </c>
      <c r="C236" s="761" t="s">
        <v>10913</v>
      </c>
      <c r="D236" s="784" t="s">
        <v>10914</v>
      </c>
      <c r="E236" s="764" t="s">
        <v>43</v>
      </c>
      <c r="F236" s="180" t="s">
        <v>44</v>
      </c>
      <c r="G236" s="765" t="s">
        <v>10915</v>
      </c>
      <c r="H236" s="697" t="s">
        <v>10011</v>
      </c>
      <c r="I236" s="697" t="s">
        <v>920</v>
      </c>
      <c r="J236" s="767">
        <v>42653</v>
      </c>
      <c r="K236" s="767">
        <v>42766</v>
      </c>
      <c r="L236" s="768">
        <v>43100</v>
      </c>
      <c r="M236" s="768">
        <v>43382</v>
      </c>
      <c r="N236" s="768"/>
      <c r="O236" s="187">
        <v>43383</v>
      </c>
      <c r="P236" s="768">
        <v>43465</v>
      </c>
      <c r="Q236" s="542">
        <v>258.3171</v>
      </c>
      <c r="R236" s="175" t="s">
        <v>745</v>
      </c>
      <c r="S236" s="786">
        <v>3650000</v>
      </c>
      <c r="T236" s="786"/>
      <c r="U236" s="764"/>
      <c r="V236" s="774">
        <v>300000</v>
      </c>
      <c r="W236" s="764"/>
      <c r="X236" s="764"/>
      <c r="Y236" s="764"/>
      <c r="Z236" s="764"/>
      <c r="AA236" s="764" t="s">
        <v>112</v>
      </c>
      <c r="AB236" s="779" t="s">
        <v>8612</v>
      </c>
      <c r="AC236" s="718">
        <v>1500000</v>
      </c>
      <c r="AD236" s="700" t="s">
        <v>8613</v>
      </c>
      <c r="AE236" s="180" t="s">
        <v>10916</v>
      </c>
      <c r="AF236" s="780" t="s">
        <v>10917</v>
      </c>
      <c r="AG236" s="224" t="s">
        <v>10918</v>
      </c>
      <c r="AH236" s="224" t="s">
        <v>10919</v>
      </c>
      <c r="AI236" s="224" t="s">
        <v>10920</v>
      </c>
      <c r="AJ236" s="224"/>
      <c r="AK236" s="224"/>
      <c r="AL236" s="781" t="s">
        <v>10921</v>
      </c>
      <c r="AM236" s="224" t="s">
        <v>10922</v>
      </c>
      <c r="AN236" s="222" t="s">
        <v>8193</v>
      </c>
    </row>
    <row r="237" s="155" customFormat="1" ht="15" customHeight="1" spans="1:40">
      <c r="A237" s="1585" t="s">
        <v>866</v>
      </c>
      <c r="B237" s="161" t="s">
        <v>10923</v>
      </c>
      <c r="C237" s="761" t="s">
        <v>10924</v>
      </c>
      <c r="D237" s="762" t="s">
        <v>10925</v>
      </c>
      <c r="E237" s="764" t="s">
        <v>43</v>
      </c>
      <c r="F237" s="180" t="s">
        <v>254</v>
      </c>
      <c r="G237" s="765" t="s">
        <v>10926</v>
      </c>
      <c r="H237" s="697" t="s">
        <v>9373</v>
      </c>
      <c r="I237" s="697" t="s">
        <v>9361</v>
      </c>
      <c r="J237" s="767">
        <v>42767</v>
      </c>
      <c r="K237" s="767">
        <v>43100</v>
      </c>
      <c r="L237" s="768">
        <v>43465</v>
      </c>
      <c r="M237" s="768"/>
      <c r="N237" s="768"/>
      <c r="O237" s="180"/>
      <c r="P237" s="180"/>
      <c r="Q237" s="542">
        <v>258.3171</v>
      </c>
      <c r="R237" s="175" t="s">
        <v>745</v>
      </c>
      <c r="S237" s="774">
        <v>3678242</v>
      </c>
      <c r="T237" s="774">
        <v>775000</v>
      </c>
      <c r="U237" s="774"/>
      <c r="V237" s="774"/>
      <c r="W237" s="774"/>
      <c r="X237" s="774"/>
      <c r="Y237" s="774"/>
      <c r="Z237" s="774"/>
      <c r="AA237" s="764" t="s">
        <v>113</v>
      </c>
      <c r="AB237" s="779" t="s">
        <v>8612</v>
      </c>
      <c r="AC237" s="718">
        <v>2250000</v>
      </c>
      <c r="AD237" s="700" t="s">
        <v>8613</v>
      </c>
      <c r="AE237" s="180"/>
      <c r="AF237" s="780" t="s">
        <v>10927</v>
      </c>
      <c r="AG237" s="224" t="s">
        <v>10928</v>
      </c>
      <c r="AH237" s="224" t="s">
        <v>10929</v>
      </c>
      <c r="AI237" s="224" t="s">
        <v>10930</v>
      </c>
      <c r="AJ237" s="224" t="s">
        <v>10931</v>
      </c>
      <c r="AK237" s="224" t="s">
        <v>10932</v>
      </c>
      <c r="AL237" s="781" t="s">
        <v>10933</v>
      </c>
      <c r="AM237" s="224" t="s">
        <v>10934</v>
      </c>
      <c r="AN237" s="222" t="s">
        <v>10900</v>
      </c>
    </row>
    <row r="238" s="155" customFormat="1" ht="15" customHeight="1" spans="1:40">
      <c r="A238" s="1585" t="s">
        <v>888</v>
      </c>
      <c r="B238" s="161" t="s">
        <v>10935</v>
      </c>
      <c r="C238" s="761" t="s">
        <v>10936</v>
      </c>
      <c r="D238" s="762" t="s">
        <v>10937</v>
      </c>
      <c r="E238" s="764" t="s">
        <v>43</v>
      </c>
      <c r="F238" s="180" t="s">
        <v>404</v>
      </c>
      <c r="G238" s="765" t="s">
        <v>9419</v>
      </c>
      <c r="H238" s="697" t="s">
        <v>9420</v>
      </c>
      <c r="I238" s="697" t="s">
        <v>9361</v>
      </c>
      <c r="J238" s="767">
        <v>42767</v>
      </c>
      <c r="K238" s="767">
        <v>43100</v>
      </c>
      <c r="L238" s="768">
        <v>43465</v>
      </c>
      <c r="M238" s="768"/>
      <c r="N238" s="768"/>
      <c r="O238" s="180"/>
      <c r="P238" s="180"/>
      <c r="Q238" s="542">
        <v>258.3171</v>
      </c>
      <c r="R238" s="175" t="s">
        <v>745</v>
      </c>
      <c r="S238" s="774">
        <v>3741034</v>
      </c>
      <c r="T238" s="774">
        <v>775000</v>
      </c>
      <c r="U238" s="774">
        <v>150000</v>
      </c>
      <c r="V238" s="774"/>
      <c r="W238" s="774"/>
      <c r="X238" s="774"/>
      <c r="Y238" s="774"/>
      <c r="Z238" s="774"/>
      <c r="AA238" s="764" t="s">
        <v>113</v>
      </c>
      <c r="AB238" s="779" t="s">
        <v>8612</v>
      </c>
      <c r="AC238" s="718">
        <v>1750000</v>
      </c>
      <c r="AD238" s="700" t="s">
        <v>8613</v>
      </c>
      <c r="AE238" s="180"/>
      <c r="AF238" s="780" t="s">
        <v>10938</v>
      </c>
      <c r="AG238" s="224" t="s">
        <v>10939</v>
      </c>
      <c r="AH238" s="224" t="s">
        <v>10940</v>
      </c>
      <c r="AI238" s="224" t="s">
        <v>10941</v>
      </c>
      <c r="AJ238" s="224" t="s">
        <v>10942</v>
      </c>
      <c r="AK238" s="224"/>
      <c r="AL238" s="781" t="s">
        <v>10943</v>
      </c>
      <c r="AM238" s="224" t="s">
        <v>10944</v>
      </c>
      <c r="AN238" s="222" t="s">
        <v>10900</v>
      </c>
    </row>
    <row r="239" s="155" customFormat="1" ht="15" customHeight="1" spans="1:40">
      <c r="A239" s="1585" t="s">
        <v>961</v>
      </c>
      <c r="B239" s="161" t="s">
        <v>10945</v>
      </c>
      <c r="C239" s="761" t="s">
        <v>10946</v>
      </c>
      <c r="D239" s="762" t="s">
        <v>10947</v>
      </c>
      <c r="E239" s="764" t="s">
        <v>43</v>
      </c>
      <c r="F239" s="180" t="s">
        <v>60</v>
      </c>
      <c r="G239" s="765" t="s">
        <v>10948</v>
      </c>
      <c r="H239" s="697" t="s">
        <v>9420</v>
      </c>
      <c r="I239" s="697" t="s">
        <v>9361</v>
      </c>
      <c r="J239" s="767">
        <v>42767</v>
      </c>
      <c r="K239" s="767">
        <v>43100</v>
      </c>
      <c r="L239" s="768">
        <v>43465</v>
      </c>
      <c r="M239" s="768"/>
      <c r="N239" s="768"/>
      <c r="O239" s="180"/>
      <c r="P239" s="180"/>
      <c r="Q239" s="542">
        <v>258.3171</v>
      </c>
      <c r="R239" s="175" t="s">
        <v>745</v>
      </c>
      <c r="S239" s="774">
        <v>8642000</v>
      </c>
      <c r="T239" s="774">
        <v>775000</v>
      </c>
      <c r="U239" s="774">
        <v>150000</v>
      </c>
      <c r="V239" s="774"/>
      <c r="W239" s="774"/>
      <c r="X239" s="774"/>
      <c r="Y239" s="774"/>
      <c r="Z239" s="774"/>
      <c r="AA239" s="764" t="s">
        <v>112</v>
      </c>
      <c r="AB239" s="779" t="s">
        <v>8612</v>
      </c>
      <c r="AC239" s="718">
        <v>2000000</v>
      </c>
      <c r="AD239" s="700" t="s">
        <v>8613</v>
      </c>
      <c r="AE239" s="180"/>
      <c r="AF239" s="780" t="s">
        <v>10949</v>
      </c>
      <c r="AG239" s="224" t="s">
        <v>10950</v>
      </c>
      <c r="AH239" s="224" t="s">
        <v>10951</v>
      </c>
      <c r="AI239" s="224" t="s">
        <v>10952</v>
      </c>
      <c r="AJ239" s="224" t="s">
        <v>10953</v>
      </c>
      <c r="AK239" s="224" t="s">
        <v>10954</v>
      </c>
      <c r="AL239" s="781" t="s">
        <v>10955</v>
      </c>
      <c r="AM239" s="224" t="s">
        <v>10956</v>
      </c>
      <c r="AN239" s="222" t="s">
        <v>10900</v>
      </c>
    </row>
    <row r="240" s="155" customFormat="1" ht="15" customHeight="1" spans="1:40">
      <c r="A240" s="1585" t="s">
        <v>3214</v>
      </c>
      <c r="B240" s="161" t="s">
        <v>10957</v>
      </c>
      <c r="C240" s="761" t="s">
        <v>10958</v>
      </c>
      <c r="D240" s="762" t="s">
        <v>10959</v>
      </c>
      <c r="E240" s="764" t="s">
        <v>43</v>
      </c>
      <c r="F240" s="180" t="s">
        <v>60</v>
      </c>
      <c r="G240" s="765" t="s">
        <v>9419</v>
      </c>
      <c r="H240" s="697" t="s">
        <v>9420</v>
      </c>
      <c r="I240" s="697" t="s">
        <v>9361</v>
      </c>
      <c r="J240" s="767">
        <v>42767</v>
      </c>
      <c r="K240" s="767">
        <v>43100</v>
      </c>
      <c r="L240" s="768">
        <v>43465</v>
      </c>
      <c r="M240" s="768"/>
      <c r="N240" s="768"/>
      <c r="O240" s="180"/>
      <c r="P240" s="180"/>
      <c r="Q240" s="542">
        <v>258.3171</v>
      </c>
      <c r="R240" s="175" t="s">
        <v>745</v>
      </c>
      <c r="S240" s="774">
        <v>3810312</v>
      </c>
      <c r="T240" s="774">
        <v>775000</v>
      </c>
      <c r="U240" s="774">
        <v>150000</v>
      </c>
      <c r="V240" s="774"/>
      <c r="W240" s="774"/>
      <c r="X240" s="774"/>
      <c r="Y240" s="774"/>
      <c r="Z240" s="774"/>
      <c r="AA240" s="764" t="s">
        <v>113</v>
      </c>
      <c r="AB240" s="779" t="s">
        <v>8612</v>
      </c>
      <c r="AC240" s="718">
        <v>2000000</v>
      </c>
      <c r="AD240" s="700" t="s">
        <v>8613</v>
      </c>
      <c r="AE240" s="180"/>
      <c r="AF240" s="780" t="s">
        <v>10960</v>
      </c>
      <c r="AG240" s="224" t="s">
        <v>10961</v>
      </c>
      <c r="AH240" s="224" t="s">
        <v>10962</v>
      </c>
      <c r="AI240" s="224" t="s">
        <v>10963</v>
      </c>
      <c r="AJ240" s="224" t="s">
        <v>10964</v>
      </c>
      <c r="AK240" s="224" t="s">
        <v>10965</v>
      </c>
      <c r="AL240" s="781" t="s">
        <v>9367</v>
      </c>
      <c r="AM240" s="224" t="s">
        <v>10966</v>
      </c>
      <c r="AN240" s="222" t="s">
        <v>10900</v>
      </c>
    </row>
    <row r="241" s="155" customFormat="1" ht="15" customHeight="1" spans="1:40">
      <c r="A241" s="1585" t="s">
        <v>1035</v>
      </c>
      <c r="B241" s="161" t="s">
        <v>10967</v>
      </c>
      <c r="C241" s="761" t="s">
        <v>10968</v>
      </c>
      <c r="D241" s="762" t="s">
        <v>10969</v>
      </c>
      <c r="E241" s="764" t="s">
        <v>43</v>
      </c>
      <c r="F241" s="180" t="s">
        <v>96</v>
      </c>
      <c r="G241" s="765" t="s">
        <v>9419</v>
      </c>
      <c r="H241" s="697" t="s">
        <v>9420</v>
      </c>
      <c r="I241" s="697" t="s">
        <v>9361</v>
      </c>
      <c r="J241" s="767">
        <v>42767</v>
      </c>
      <c r="K241" s="767">
        <v>43100</v>
      </c>
      <c r="L241" s="768">
        <v>43465</v>
      </c>
      <c r="M241" s="768"/>
      <c r="N241" s="768"/>
      <c r="O241" s="180"/>
      <c r="P241" s="180"/>
      <c r="Q241" s="542">
        <v>258.3171</v>
      </c>
      <c r="R241" s="175" t="s">
        <v>745</v>
      </c>
      <c r="S241" s="774">
        <v>4973826</v>
      </c>
      <c r="T241" s="774">
        <v>775000</v>
      </c>
      <c r="U241" s="774">
        <v>150000</v>
      </c>
      <c r="V241" s="774"/>
      <c r="W241" s="774"/>
      <c r="X241" s="774"/>
      <c r="Y241" s="774"/>
      <c r="Z241" s="774"/>
      <c r="AA241" s="764" t="s">
        <v>113</v>
      </c>
      <c r="AB241" s="779" t="s">
        <v>8612</v>
      </c>
      <c r="AC241" s="718">
        <v>2500000</v>
      </c>
      <c r="AD241" s="700" t="s">
        <v>8613</v>
      </c>
      <c r="AE241" s="180"/>
      <c r="AF241" s="780" t="s">
        <v>10970</v>
      </c>
      <c r="AG241" s="224" t="s">
        <v>10971</v>
      </c>
      <c r="AH241" s="224" t="s">
        <v>10972</v>
      </c>
      <c r="AI241" s="224" t="s">
        <v>10973</v>
      </c>
      <c r="AJ241" s="224" t="s">
        <v>5647</v>
      </c>
      <c r="AK241" s="224" t="s">
        <v>10974</v>
      </c>
      <c r="AL241" s="781" t="s">
        <v>10975</v>
      </c>
      <c r="AM241" s="224" t="s">
        <v>10976</v>
      </c>
      <c r="AN241" s="222" t="s">
        <v>10900</v>
      </c>
    </row>
    <row r="242" s="155" customFormat="1" ht="15" customHeight="1" spans="1:40">
      <c r="A242" s="1585" t="s">
        <v>1097</v>
      </c>
      <c r="B242" s="161" t="s">
        <v>10977</v>
      </c>
      <c r="C242" s="761" t="s">
        <v>10978</v>
      </c>
      <c r="D242" s="762" t="s">
        <v>10979</v>
      </c>
      <c r="E242" s="764" t="s">
        <v>43</v>
      </c>
      <c r="F242" s="180" t="s">
        <v>44</v>
      </c>
      <c r="G242" s="765" t="s">
        <v>10948</v>
      </c>
      <c r="H242" s="697" t="s">
        <v>9420</v>
      </c>
      <c r="I242" s="697" t="s">
        <v>9361</v>
      </c>
      <c r="J242" s="767">
        <v>42767</v>
      </c>
      <c r="K242" s="767">
        <v>43100</v>
      </c>
      <c r="L242" s="768">
        <v>43465</v>
      </c>
      <c r="M242" s="768"/>
      <c r="N242" s="768"/>
      <c r="O242" s="180"/>
      <c r="P242" s="180"/>
      <c r="Q242" s="542">
        <v>258.3171</v>
      </c>
      <c r="R242" s="175" t="s">
        <v>745</v>
      </c>
      <c r="S242" s="774">
        <v>8642000</v>
      </c>
      <c r="T242" s="774">
        <v>775000</v>
      </c>
      <c r="U242" s="774">
        <v>150000</v>
      </c>
      <c r="V242" s="774"/>
      <c r="W242" s="774"/>
      <c r="X242" s="774"/>
      <c r="Y242" s="774"/>
      <c r="Z242" s="774"/>
      <c r="AA242" s="764" t="s">
        <v>112</v>
      </c>
      <c r="AB242" s="779" t="s">
        <v>8612</v>
      </c>
      <c r="AC242" s="718">
        <v>1500000</v>
      </c>
      <c r="AD242" s="700" t="s">
        <v>8613</v>
      </c>
      <c r="AE242" s="180"/>
      <c r="AF242" s="780" t="s">
        <v>10980</v>
      </c>
      <c r="AG242" s="224" t="s">
        <v>10981</v>
      </c>
      <c r="AH242" s="224" t="s">
        <v>10982</v>
      </c>
      <c r="AI242" s="224" t="s">
        <v>10983</v>
      </c>
      <c r="AJ242" s="224" t="s">
        <v>5647</v>
      </c>
      <c r="AK242" s="224"/>
      <c r="AL242" s="781" t="s">
        <v>10984</v>
      </c>
      <c r="AM242" s="224" t="s">
        <v>10985</v>
      </c>
      <c r="AN242" s="222" t="s">
        <v>10900</v>
      </c>
    </row>
    <row r="243" s="155" customFormat="1" ht="15" customHeight="1" spans="1:40">
      <c r="A243" s="1585" t="s">
        <v>1142</v>
      </c>
      <c r="B243" s="161" t="s">
        <v>10986</v>
      </c>
      <c r="C243" s="761" t="s">
        <v>10987</v>
      </c>
      <c r="D243" s="762" t="s">
        <v>10988</v>
      </c>
      <c r="E243" s="764" t="s">
        <v>43</v>
      </c>
      <c r="F243" s="180" t="s">
        <v>60</v>
      </c>
      <c r="G243" s="765" t="s">
        <v>10989</v>
      </c>
      <c r="H243" s="697" t="s">
        <v>9420</v>
      </c>
      <c r="I243" s="697" t="s">
        <v>9361</v>
      </c>
      <c r="J243" s="767">
        <v>42767</v>
      </c>
      <c r="K243" s="767">
        <v>43100</v>
      </c>
      <c r="L243" s="768">
        <v>43465</v>
      </c>
      <c r="M243" s="768"/>
      <c r="N243" s="768"/>
      <c r="O243" s="180"/>
      <c r="P243" s="180"/>
      <c r="Q243" s="542">
        <v>258.3171</v>
      </c>
      <c r="R243" s="175" t="s">
        <v>745</v>
      </c>
      <c r="S243" s="774">
        <v>9300000</v>
      </c>
      <c r="T243" s="774">
        <v>775000</v>
      </c>
      <c r="U243" s="774">
        <v>150000</v>
      </c>
      <c r="V243" s="774"/>
      <c r="W243" s="774"/>
      <c r="X243" s="774"/>
      <c r="Y243" s="774"/>
      <c r="Z243" s="774"/>
      <c r="AA243" s="764" t="s">
        <v>112</v>
      </c>
      <c r="AB243" s="779" t="s">
        <v>8612</v>
      </c>
      <c r="AC243" s="718">
        <v>2000000</v>
      </c>
      <c r="AD243" s="700" t="s">
        <v>8613</v>
      </c>
      <c r="AE243" s="180"/>
      <c r="AF243" s="780" t="s">
        <v>10990</v>
      </c>
      <c r="AG243" s="224" t="s">
        <v>10991</v>
      </c>
      <c r="AH243" s="224" t="s">
        <v>10992</v>
      </c>
      <c r="AI243" s="224" t="s">
        <v>10993</v>
      </c>
      <c r="AJ243" s="224" t="s">
        <v>10994</v>
      </c>
      <c r="AK243" s="224" t="s">
        <v>10995</v>
      </c>
      <c r="AL243" s="781" t="s">
        <v>10996</v>
      </c>
      <c r="AM243" s="224" t="s">
        <v>10997</v>
      </c>
      <c r="AN243" s="222" t="s">
        <v>10900</v>
      </c>
    </row>
    <row r="244" s="155" customFormat="1" ht="15" customHeight="1" spans="1:40">
      <c r="A244" s="1585" t="s">
        <v>1163</v>
      </c>
      <c r="B244" s="161" t="s">
        <v>10998</v>
      </c>
      <c r="C244" s="761" t="s">
        <v>10999</v>
      </c>
      <c r="D244" s="762" t="s">
        <v>11000</v>
      </c>
      <c r="E244" s="764" t="s">
        <v>43</v>
      </c>
      <c r="F244" s="180" t="s">
        <v>254</v>
      </c>
      <c r="G244" s="765" t="s">
        <v>11001</v>
      </c>
      <c r="H244" s="697" t="s">
        <v>9373</v>
      </c>
      <c r="I244" s="697" t="s">
        <v>9361</v>
      </c>
      <c r="J244" s="767">
        <v>42767</v>
      </c>
      <c r="K244" s="767">
        <v>43100</v>
      </c>
      <c r="L244" s="768">
        <v>43465</v>
      </c>
      <c r="M244" s="768"/>
      <c r="N244" s="768"/>
      <c r="O244" s="180"/>
      <c r="P244" s="180"/>
      <c r="Q244" s="542">
        <v>258.3171</v>
      </c>
      <c r="R244" s="175" t="s">
        <v>745</v>
      </c>
      <c r="S244" s="774">
        <v>3710575</v>
      </c>
      <c r="T244" s="774">
        <v>775000</v>
      </c>
      <c r="U244" s="774"/>
      <c r="V244" s="774"/>
      <c r="W244" s="774"/>
      <c r="X244" s="774"/>
      <c r="Y244" s="774"/>
      <c r="Z244" s="774"/>
      <c r="AA244" s="764" t="s">
        <v>113</v>
      </c>
      <c r="AB244" s="779" t="s">
        <v>8612</v>
      </c>
      <c r="AC244" s="718">
        <v>2250000</v>
      </c>
      <c r="AD244" s="700" t="s">
        <v>8613</v>
      </c>
      <c r="AE244" s="180"/>
      <c r="AF244" s="780" t="s">
        <v>11002</v>
      </c>
      <c r="AG244" s="224" t="s">
        <v>11003</v>
      </c>
      <c r="AH244" s="224" t="s">
        <v>11004</v>
      </c>
      <c r="AI244" s="224" t="s">
        <v>11005</v>
      </c>
      <c r="AJ244" s="224" t="s">
        <v>11006</v>
      </c>
      <c r="AK244" s="224"/>
      <c r="AL244" s="781" t="s">
        <v>9367</v>
      </c>
      <c r="AM244" s="224" t="s">
        <v>11007</v>
      </c>
      <c r="AN244" s="222" t="s">
        <v>10900</v>
      </c>
    </row>
    <row r="245" s="155" customFormat="1" ht="15" customHeight="1" spans="1:40">
      <c r="A245" s="1585" t="s">
        <v>1265</v>
      </c>
      <c r="B245" s="161" t="s">
        <v>11008</v>
      </c>
      <c r="C245" s="761" t="s">
        <v>11009</v>
      </c>
      <c r="D245" s="762" t="s">
        <v>11010</v>
      </c>
      <c r="E245" s="764" t="s">
        <v>43</v>
      </c>
      <c r="F245" s="180" t="s">
        <v>60</v>
      </c>
      <c r="G245" s="765" t="s">
        <v>11011</v>
      </c>
      <c r="H245" s="697" t="s">
        <v>9420</v>
      </c>
      <c r="I245" s="697" t="s">
        <v>9361</v>
      </c>
      <c r="J245" s="767">
        <v>42767</v>
      </c>
      <c r="K245" s="767">
        <v>43100</v>
      </c>
      <c r="L245" s="768">
        <v>43465</v>
      </c>
      <c r="M245" s="768"/>
      <c r="N245" s="768"/>
      <c r="O245" s="180"/>
      <c r="P245" s="180"/>
      <c r="Q245" s="542">
        <v>258.3171</v>
      </c>
      <c r="R245" s="175" t="s">
        <v>745</v>
      </c>
      <c r="S245" s="774">
        <v>3810312</v>
      </c>
      <c r="T245" s="774">
        <v>775000</v>
      </c>
      <c r="U245" s="774">
        <v>150000</v>
      </c>
      <c r="V245" s="774"/>
      <c r="W245" s="774"/>
      <c r="X245" s="774"/>
      <c r="Y245" s="774"/>
      <c r="Z245" s="774"/>
      <c r="AA245" s="764" t="s">
        <v>113</v>
      </c>
      <c r="AB245" s="779" t="s">
        <v>8612</v>
      </c>
      <c r="AC245" s="718">
        <v>2000000</v>
      </c>
      <c r="AD245" s="700" t="s">
        <v>8613</v>
      </c>
      <c r="AE245" s="180" t="s">
        <v>11012</v>
      </c>
      <c r="AF245" s="780" t="s">
        <v>11013</v>
      </c>
      <c r="AG245" s="224" t="s">
        <v>11014</v>
      </c>
      <c r="AH245" s="224" t="s">
        <v>11015</v>
      </c>
      <c r="AI245" s="224" t="s">
        <v>11016</v>
      </c>
      <c r="AJ245" s="224" t="s">
        <v>11017</v>
      </c>
      <c r="AK245" s="224" t="s">
        <v>11018</v>
      </c>
      <c r="AL245" s="781" t="s">
        <v>11019</v>
      </c>
      <c r="AM245" s="224" t="s">
        <v>11020</v>
      </c>
      <c r="AN245" s="222" t="s">
        <v>10900</v>
      </c>
    </row>
    <row r="246" s="155" customFormat="1" ht="15" customHeight="1" spans="1:40">
      <c r="A246" s="1585" t="s">
        <v>1395</v>
      </c>
      <c r="B246" s="161" t="s">
        <v>11021</v>
      </c>
      <c r="C246" s="761" t="s">
        <v>11022</v>
      </c>
      <c r="D246" s="762" t="s">
        <v>11023</v>
      </c>
      <c r="E246" s="764" t="s">
        <v>43</v>
      </c>
      <c r="F246" s="180" t="s">
        <v>96</v>
      </c>
      <c r="G246" s="765" t="s">
        <v>11024</v>
      </c>
      <c r="H246" s="697" t="s">
        <v>9961</v>
      </c>
      <c r="I246" s="697" t="s">
        <v>9361</v>
      </c>
      <c r="J246" s="767">
        <v>42767</v>
      </c>
      <c r="K246" s="767">
        <v>43100</v>
      </c>
      <c r="L246" s="768">
        <v>43465</v>
      </c>
      <c r="M246" s="768"/>
      <c r="N246" s="768"/>
      <c r="O246" s="180"/>
      <c r="P246" s="180"/>
      <c r="Q246" s="542">
        <v>258.3171</v>
      </c>
      <c r="R246" s="175" t="s">
        <v>745</v>
      </c>
      <c r="S246" s="774">
        <v>7269887</v>
      </c>
      <c r="T246" s="774">
        <v>775000</v>
      </c>
      <c r="U246" s="774"/>
      <c r="V246" s="774"/>
      <c r="W246" s="774"/>
      <c r="X246" s="774"/>
      <c r="Y246" s="774"/>
      <c r="Z246" s="774"/>
      <c r="AA246" s="764" t="s">
        <v>112</v>
      </c>
      <c r="AB246" s="779" t="s">
        <v>8612</v>
      </c>
      <c r="AC246" s="718">
        <v>2500000</v>
      </c>
      <c r="AD246" s="700" t="s">
        <v>8613</v>
      </c>
      <c r="AE246" s="180"/>
      <c r="AF246" s="780" t="s">
        <v>11025</v>
      </c>
      <c r="AG246" s="224" t="s">
        <v>11026</v>
      </c>
      <c r="AH246" s="224" t="s">
        <v>11027</v>
      </c>
      <c r="AI246" s="224" t="s">
        <v>11028</v>
      </c>
      <c r="AJ246" s="224" t="s">
        <v>5647</v>
      </c>
      <c r="AK246" s="224" t="s">
        <v>11029</v>
      </c>
      <c r="AL246" s="781" t="s">
        <v>11030</v>
      </c>
      <c r="AM246" s="224" t="s">
        <v>11031</v>
      </c>
      <c r="AN246" s="222" t="s">
        <v>10900</v>
      </c>
    </row>
    <row r="247" s="155" customFormat="1" ht="15" customHeight="1" spans="1:44">
      <c r="A247" s="1585" t="s">
        <v>1895</v>
      </c>
      <c r="B247" s="14" t="s">
        <v>11032</v>
      </c>
      <c r="C247" s="761" t="s">
        <v>11033</v>
      </c>
      <c r="D247" s="762" t="s">
        <v>11034</v>
      </c>
      <c r="E247" s="764" t="s">
        <v>43</v>
      </c>
      <c r="F247" s="180" t="s">
        <v>60</v>
      </c>
      <c r="G247" s="765" t="s">
        <v>10315</v>
      </c>
      <c r="H247" s="697" t="s">
        <v>9458</v>
      </c>
      <c r="I247" s="697" t="s">
        <v>3528</v>
      </c>
      <c r="J247" s="767">
        <v>43101</v>
      </c>
      <c r="K247" s="767">
        <v>43465</v>
      </c>
      <c r="L247" s="768"/>
      <c r="M247" s="768"/>
      <c r="N247" s="768"/>
      <c r="O247" s="180"/>
      <c r="P247" s="180"/>
      <c r="Q247" s="542">
        <v>258.3171</v>
      </c>
      <c r="R247" s="175" t="s">
        <v>745</v>
      </c>
      <c r="S247" s="773">
        <v>3355750</v>
      </c>
      <c r="T247" s="774">
        <v>600000</v>
      </c>
      <c r="U247" s="773"/>
      <c r="V247" s="774"/>
      <c r="W247" s="773"/>
      <c r="X247" s="773"/>
      <c r="Y247" s="773"/>
      <c r="Z247" s="774"/>
      <c r="AA247" s="773"/>
      <c r="AB247" s="779"/>
      <c r="AC247" s="778"/>
      <c r="AD247" s="700" t="s">
        <v>10223</v>
      </c>
      <c r="AE247" s="180"/>
      <c r="AF247" s="780" t="s">
        <v>11035</v>
      </c>
      <c r="AG247" s="224" t="s">
        <v>11036</v>
      </c>
      <c r="AH247" s="224" t="s">
        <v>11037</v>
      </c>
      <c r="AI247" s="224" t="s">
        <v>11038</v>
      </c>
      <c r="AJ247" s="224"/>
      <c r="AK247" s="224"/>
      <c r="AL247" s="781" t="s">
        <v>11039</v>
      </c>
      <c r="AM247" s="229" t="s">
        <v>11040</v>
      </c>
      <c r="AN247" s="222" t="s">
        <v>11041</v>
      </c>
      <c r="AO247" s="156"/>
      <c r="AP247" s="156"/>
      <c r="AQ247" s="156"/>
      <c r="AR247" s="156"/>
    </row>
    <row r="248" s="155" customFormat="1" ht="15" customHeight="1" spans="1:40">
      <c r="A248" s="1585" t="s">
        <v>1996</v>
      </c>
      <c r="B248" s="32"/>
      <c r="C248" s="761" t="s">
        <v>11042</v>
      </c>
      <c r="D248" s="762" t="s">
        <v>11043</v>
      </c>
      <c r="E248" s="764" t="s">
        <v>43</v>
      </c>
      <c r="F248" s="180" t="s">
        <v>60</v>
      </c>
      <c r="G248" s="765" t="s">
        <v>9999</v>
      </c>
      <c r="H248" s="761"/>
      <c r="I248" s="761" t="s">
        <v>3528</v>
      </c>
      <c r="J248" s="767">
        <v>43164</v>
      </c>
      <c r="K248" s="767">
        <v>43465</v>
      </c>
      <c r="L248" s="768"/>
      <c r="M248" s="768"/>
      <c r="N248" s="768"/>
      <c r="O248" s="180"/>
      <c r="P248" s="180"/>
      <c r="Q248" s="540">
        <f ca="1" t="shared" ref="Q248" si="15">SUM(K248-NOW())</f>
        <v>192.61546296296</v>
      </c>
      <c r="R248" s="106" t="str">
        <f ca="1" t="shared" ref="R248:R251" si="16">IF(Q248&lt;=40,"WARNING","ACTIVE")</f>
        <v>ACTIVE</v>
      </c>
      <c r="S248" s="179">
        <v>11183252</v>
      </c>
      <c r="T248" s="774">
        <v>935000</v>
      </c>
      <c r="U248" s="773"/>
      <c r="V248" s="774"/>
      <c r="W248" s="773"/>
      <c r="X248" s="773"/>
      <c r="Y248" s="773"/>
      <c r="Z248" s="774"/>
      <c r="AA248" s="773"/>
      <c r="AB248" s="779"/>
      <c r="AC248" s="778"/>
      <c r="AD248" s="700" t="s">
        <v>10575</v>
      </c>
      <c r="AE248" s="163"/>
      <c r="AF248" s="780" t="s">
        <v>11044</v>
      </c>
      <c r="AG248" s="224"/>
      <c r="AH248" s="224"/>
      <c r="AI248" s="224"/>
      <c r="AJ248" s="224"/>
      <c r="AK248" s="224"/>
      <c r="AL248" s="781"/>
      <c r="AM248" s="229"/>
      <c r="AN248" s="222" t="s">
        <v>2253</v>
      </c>
    </row>
    <row r="249" s="155" customFormat="1" ht="15" customHeight="1" spans="1:40">
      <c r="A249" s="1590" t="s">
        <v>798</v>
      </c>
      <c r="B249" s="161" t="s">
        <v>11045</v>
      </c>
      <c r="C249" s="761" t="s">
        <v>11046</v>
      </c>
      <c r="D249" s="784" t="s">
        <v>11047</v>
      </c>
      <c r="E249" s="764" t="s">
        <v>43</v>
      </c>
      <c r="F249" s="180" t="s">
        <v>44</v>
      </c>
      <c r="G249" s="765" t="s">
        <v>10915</v>
      </c>
      <c r="H249" s="761" t="s">
        <v>10011</v>
      </c>
      <c r="I249" s="761" t="s">
        <v>920</v>
      </c>
      <c r="J249" s="767">
        <v>42653</v>
      </c>
      <c r="K249" s="767">
        <v>42766</v>
      </c>
      <c r="L249" s="768">
        <v>43100</v>
      </c>
      <c r="M249" s="768">
        <v>43382</v>
      </c>
      <c r="N249" s="768"/>
      <c r="O249" s="187">
        <v>43383</v>
      </c>
      <c r="P249" s="768">
        <v>43465</v>
      </c>
      <c r="Q249" s="542">
        <f ca="1" t="shared" ref="Q249:Q251" si="17">SUM(P249-NOW())</f>
        <v>192.61546296296</v>
      </c>
      <c r="R249" s="175" t="str">
        <f ca="1" t="shared" si="16"/>
        <v>ACTIVE</v>
      </c>
      <c r="S249" s="786">
        <v>3650000</v>
      </c>
      <c r="T249" s="786"/>
      <c r="U249" s="764"/>
      <c r="V249" s="764"/>
      <c r="W249" s="764"/>
      <c r="X249" s="764"/>
      <c r="Y249" s="764"/>
      <c r="Z249" s="764"/>
      <c r="AA249" s="764" t="s">
        <v>112</v>
      </c>
      <c r="AB249" s="779" t="s">
        <v>8612</v>
      </c>
      <c r="AC249" s="789">
        <v>1500000</v>
      </c>
      <c r="AD249" s="764" t="s">
        <v>8613</v>
      </c>
      <c r="AE249" s="180" t="s">
        <v>11048</v>
      </c>
      <c r="AF249" s="780" t="s">
        <v>11049</v>
      </c>
      <c r="AG249" s="224" t="s">
        <v>11050</v>
      </c>
      <c r="AH249" s="224" t="s">
        <v>11051</v>
      </c>
      <c r="AI249" s="224" t="s">
        <v>11052</v>
      </c>
      <c r="AJ249" s="224"/>
      <c r="AK249" s="224"/>
      <c r="AL249" s="781" t="s">
        <v>11053</v>
      </c>
      <c r="AM249" s="224" t="s">
        <v>11054</v>
      </c>
      <c r="AN249" s="222" t="s">
        <v>11055</v>
      </c>
    </row>
    <row r="250" s="155" customFormat="1" ht="15" customHeight="1" spans="1:40">
      <c r="A250" s="1590" t="s">
        <v>806</v>
      </c>
      <c r="B250" s="161" t="s">
        <v>11056</v>
      </c>
      <c r="C250" s="761" t="s">
        <v>11057</v>
      </c>
      <c r="D250" s="784" t="s">
        <v>11058</v>
      </c>
      <c r="E250" s="764" t="s">
        <v>43</v>
      </c>
      <c r="F250" s="180" t="s">
        <v>44</v>
      </c>
      <c r="G250" s="765" t="s">
        <v>10915</v>
      </c>
      <c r="H250" s="761" t="s">
        <v>10011</v>
      </c>
      <c r="I250" s="761" t="s">
        <v>920</v>
      </c>
      <c r="J250" s="767">
        <v>42681</v>
      </c>
      <c r="K250" s="767">
        <v>42766</v>
      </c>
      <c r="L250" s="768">
        <v>43100</v>
      </c>
      <c r="M250" s="768">
        <v>43410</v>
      </c>
      <c r="N250" s="768"/>
      <c r="O250" s="187">
        <v>43411</v>
      </c>
      <c r="P250" s="768">
        <v>43465</v>
      </c>
      <c r="Q250" s="542">
        <f ca="1" t="shared" si="17"/>
        <v>192.61546296296</v>
      </c>
      <c r="R250" s="175" t="str">
        <f ca="1" t="shared" si="16"/>
        <v>ACTIVE</v>
      </c>
      <c r="S250" s="786">
        <v>3650000</v>
      </c>
      <c r="T250" s="786"/>
      <c r="U250" s="764"/>
      <c r="V250" s="764"/>
      <c r="W250" s="764"/>
      <c r="X250" s="764"/>
      <c r="Y250" s="764"/>
      <c r="Z250" s="764"/>
      <c r="AA250" s="764" t="s">
        <v>112</v>
      </c>
      <c r="AB250" s="779" t="s">
        <v>8612</v>
      </c>
      <c r="AC250" s="789">
        <v>1500000</v>
      </c>
      <c r="AD250" s="764" t="s">
        <v>8613</v>
      </c>
      <c r="AE250" s="180" t="s">
        <v>11048</v>
      </c>
      <c r="AF250" s="780" t="s">
        <v>11059</v>
      </c>
      <c r="AG250" s="224" t="s">
        <v>11060</v>
      </c>
      <c r="AH250" s="1581" t="s">
        <v>11061</v>
      </c>
      <c r="AI250" s="224" t="s">
        <v>11062</v>
      </c>
      <c r="AJ250" s="224" t="s">
        <v>11062</v>
      </c>
      <c r="AK250" s="224"/>
      <c r="AL250" s="781" t="s">
        <v>11063</v>
      </c>
      <c r="AM250" s="224" t="s">
        <v>11064</v>
      </c>
      <c r="AN250" s="222" t="s">
        <v>11055</v>
      </c>
    </row>
    <row r="251" s="155" customFormat="1" ht="15" customHeight="1" spans="1:40">
      <c r="A251" s="1590" t="s">
        <v>816</v>
      </c>
      <c r="B251" s="161" t="s">
        <v>11065</v>
      </c>
      <c r="C251" s="761" t="s">
        <v>11066</v>
      </c>
      <c r="D251" s="784" t="s">
        <v>11067</v>
      </c>
      <c r="E251" s="764" t="s">
        <v>43</v>
      </c>
      <c r="F251" s="180" t="s">
        <v>44</v>
      </c>
      <c r="G251" s="765" t="s">
        <v>10915</v>
      </c>
      <c r="H251" s="761" t="s">
        <v>10011</v>
      </c>
      <c r="I251" s="761" t="s">
        <v>920</v>
      </c>
      <c r="J251" s="767">
        <v>42677</v>
      </c>
      <c r="K251" s="767">
        <v>42766</v>
      </c>
      <c r="L251" s="768">
        <v>43100</v>
      </c>
      <c r="M251" s="768">
        <v>43406</v>
      </c>
      <c r="N251" s="768"/>
      <c r="O251" s="187">
        <v>43407</v>
      </c>
      <c r="P251" s="768">
        <v>43465</v>
      </c>
      <c r="Q251" s="542">
        <f ca="1" t="shared" si="17"/>
        <v>192.61546296296</v>
      </c>
      <c r="R251" s="175" t="str">
        <f ca="1" t="shared" si="16"/>
        <v>ACTIVE</v>
      </c>
      <c r="S251" s="786">
        <v>3650000</v>
      </c>
      <c r="T251" s="786"/>
      <c r="U251" s="764"/>
      <c r="V251" s="764"/>
      <c r="W251" s="764"/>
      <c r="X251" s="764"/>
      <c r="Y251" s="764"/>
      <c r="Z251" s="764"/>
      <c r="AA251" s="764" t="s">
        <v>112</v>
      </c>
      <c r="AB251" s="779" t="s">
        <v>8612</v>
      </c>
      <c r="AC251" s="789">
        <v>1500000</v>
      </c>
      <c r="AD251" s="764" t="s">
        <v>8613</v>
      </c>
      <c r="AE251" s="180" t="s">
        <v>11048</v>
      </c>
      <c r="AF251" s="780" t="s">
        <v>11068</v>
      </c>
      <c r="AG251" s="224" t="s">
        <v>11069</v>
      </c>
      <c r="AH251" s="224" t="s">
        <v>11070</v>
      </c>
      <c r="AI251" s="224" t="s">
        <v>11071</v>
      </c>
      <c r="AJ251" s="224"/>
      <c r="AK251" s="224"/>
      <c r="AL251" s="781" t="s">
        <v>11072</v>
      </c>
      <c r="AM251" s="224" t="s">
        <v>4826</v>
      </c>
      <c r="AN251" s="222" t="s">
        <v>11055</v>
      </c>
    </row>
    <row r="252" s="155" customFormat="1" ht="15" customHeight="1" spans="1:40">
      <c r="A252" s="1585" t="s">
        <v>1318</v>
      </c>
      <c r="B252" s="161" t="s">
        <v>11073</v>
      </c>
      <c r="C252" s="761" t="s">
        <v>11074</v>
      </c>
      <c r="D252" s="762" t="s">
        <v>11075</v>
      </c>
      <c r="E252" s="764" t="s">
        <v>43</v>
      </c>
      <c r="F252" s="180" t="s">
        <v>404</v>
      </c>
      <c r="G252" s="765" t="s">
        <v>9999</v>
      </c>
      <c r="H252" s="761" t="s">
        <v>11076</v>
      </c>
      <c r="I252" s="761" t="s">
        <v>9361</v>
      </c>
      <c r="J252" s="767">
        <v>42767</v>
      </c>
      <c r="K252" s="767">
        <v>43100</v>
      </c>
      <c r="L252" s="768">
        <v>43465</v>
      </c>
      <c r="M252" s="768"/>
      <c r="N252" s="768"/>
      <c r="O252" s="180"/>
      <c r="P252" s="180"/>
      <c r="Q252" s="542">
        <v>209.454704745367</v>
      </c>
      <c r="R252" s="175" t="s">
        <v>745</v>
      </c>
      <c r="S252" s="774">
        <v>5913600</v>
      </c>
      <c r="T252" s="774">
        <v>935000</v>
      </c>
      <c r="U252" s="774"/>
      <c r="V252" s="774"/>
      <c r="W252" s="774"/>
      <c r="X252" s="774"/>
      <c r="Y252" s="774"/>
      <c r="Z252" s="774">
        <v>14280000</v>
      </c>
      <c r="AA252" s="764" t="s">
        <v>112</v>
      </c>
      <c r="AB252" s="779" t="s">
        <v>9864</v>
      </c>
      <c r="AC252" s="789" t="s">
        <v>9865</v>
      </c>
      <c r="AD252" s="764" t="s">
        <v>9866</v>
      </c>
      <c r="AE252" s="180"/>
      <c r="AF252" s="780" t="s">
        <v>11077</v>
      </c>
      <c r="AG252" s="224" t="s">
        <v>11078</v>
      </c>
      <c r="AH252" s="224" t="s">
        <v>11079</v>
      </c>
      <c r="AI252" s="224" t="s">
        <v>11080</v>
      </c>
      <c r="AJ252" s="224" t="s">
        <v>11081</v>
      </c>
      <c r="AK252" s="224"/>
      <c r="AL252" s="781" t="s">
        <v>11082</v>
      </c>
      <c r="AM252" s="224" t="s">
        <v>11083</v>
      </c>
      <c r="AN252" s="222" t="s">
        <v>2114</v>
      </c>
    </row>
    <row r="253" s="155" customFormat="1" ht="15" customHeight="1" spans="1:40">
      <c r="A253" s="1590" t="s">
        <v>1421</v>
      </c>
      <c r="B253" s="161" t="s">
        <v>11084</v>
      </c>
      <c r="C253" s="761" t="s">
        <v>11085</v>
      </c>
      <c r="D253" s="762" t="s">
        <v>11086</v>
      </c>
      <c r="E253" s="764" t="s">
        <v>43</v>
      </c>
      <c r="F253" s="180" t="s">
        <v>60</v>
      </c>
      <c r="G253" s="765" t="s">
        <v>11087</v>
      </c>
      <c r="H253" s="761" t="s">
        <v>11088</v>
      </c>
      <c r="I253" s="761" t="s">
        <v>9863</v>
      </c>
      <c r="J253" s="767">
        <v>42767</v>
      </c>
      <c r="K253" s="767">
        <v>43100</v>
      </c>
      <c r="L253" s="768">
        <v>43465</v>
      </c>
      <c r="M253" s="768"/>
      <c r="N253" s="768"/>
      <c r="O253" s="180"/>
      <c r="P253" s="180"/>
      <c r="Q253" s="542">
        <v>209.454704745367</v>
      </c>
      <c r="R253" s="175" t="s">
        <v>745</v>
      </c>
      <c r="S253" s="787">
        <v>10431300</v>
      </c>
      <c r="T253" s="774">
        <v>935000</v>
      </c>
      <c r="U253" s="774"/>
      <c r="V253" s="774"/>
      <c r="W253" s="774"/>
      <c r="X253" s="774"/>
      <c r="Y253" s="774"/>
      <c r="Z253" s="774">
        <v>11118000</v>
      </c>
      <c r="AA253" s="764" t="s">
        <v>112</v>
      </c>
      <c r="AB253" s="779" t="s">
        <v>9864</v>
      </c>
      <c r="AC253" s="789" t="s">
        <v>9865</v>
      </c>
      <c r="AD253" s="764" t="s">
        <v>9866</v>
      </c>
      <c r="AE253" s="790" t="s">
        <v>11089</v>
      </c>
      <c r="AF253" s="780" t="s">
        <v>11090</v>
      </c>
      <c r="AG253" s="224" t="s">
        <v>11091</v>
      </c>
      <c r="AH253" s="224" t="s">
        <v>11092</v>
      </c>
      <c r="AI253" s="224" t="s">
        <v>11093</v>
      </c>
      <c r="AJ253" s="224" t="s">
        <v>11094</v>
      </c>
      <c r="AK253" s="224"/>
      <c r="AL253" s="781" t="s">
        <v>11095</v>
      </c>
      <c r="AM253" s="224" t="s">
        <v>11096</v>
      </c>
      <c r="AN253" s="222" t="s">
        <v>11097</v>
      </c>
    </row>
    <row r="254" s="155" customFormat="1" ht="15" customHeight="1" spans="1:40">
      <c r="A254" s="1585" t="s">
        <v>1902</v>
      </c>
      <c r="B254" s="32" t="s">
        <v>11098</v>
      </c>
      <c r="C254" s="761" t="s">
        <v>11099</v>
      </c>
      <c r="D254" s="762" t="s">
        <v>11100</v>
      </c>
      <c r="E254" s="764" t="s">
        <v>43</v>
      </c>
      <c r="F254" s="180" t="s">
        <v>44</v>
      </c>
      <c r="G254" s="765" t="s">
        <v>10442</v>
      </c>
      <c r="H254" s="761" t="s">
        <v>9458</v>
      </c>
      <c r="I254" s="761" t="s">
        <v>3528</v>
      </c>
      <c r="J254" s="767">
        <v>43101</v>
      </c>
      <c r="K254" s="767">
        <v>43465</v>
      </c>
      <c r="L254" s="768"/>
      <c r="M254" s="768"/>
      <c r="N254" s="768"/>
      <c r="O254" s="180"/>
      <c r="P254" s="180"/>
      <c r="Q254" s="542">
        <v>209.454704745367</v>
      </c>
      <c r="R254" s="175" t="s">
        <v>745</v>
      </c>
      <c r="S254" s="179">
        <v>3648036</v>
      </c>
      <c r="T254" s="774"/>
      <c r="U254" s="773"/>
      <c r="V254" s="774"/>
      <c r="W254" s="773"/>
      <c r="X254" s="773"/>
      <c r="Y254" s="773"/>
      <c r="Z254" s="774"/>
      <c r="AA254" s="773"/>
      <c r="AB254" s="712" t="s">
        <v>8612</v>
      </c>
      <c r="AC254" s="779"/>
      <c r="AD254" s="764" t="s">
        <v>10223</v>
      </c>
      <c r="AE254" s="163" t="s">
        <v>10474</v>
      </c>
      <c r="AF254" s="780" t="s">
        <v>11101</v>
      </c>
      <c r="AG254" s="224" t="s">
        <v>11102</v>
      </c>
      <c r="AH254" s="224" t="s">
        <v>11103</v>
      </c>
      <c r="AI254" s="224"/>
      <c r="AJ254" s="224" t="s">
        <v>11104</v>
      </c>
      <c r="AK254" s="224"/>
      <c r="AL254" s="781" t="s">
        <v>11105</v>
      </c>
      <c r="AM254" s="229" t="s">
        <v>11106</v>
      </c>
      <c r="AN254" s="222" t="s">
        <v>11107</v>
      </c>
    </row>
  </sheetData>
  <autoFilter ref="A5:AR197"/>
  <mergeCells count="38">
    <mergeCell ref="A1:AG1"/>
    <mergeCell ref="A2:AG2"/>
    <mergeCell ref="J4:K4"/>
    <mergeCell ref="L4:M4"/>
    <mergeCell ref="O4:P4"/>
    <mergeCell ref="A4:A5"/>
    <mergeCell ref="B4:B5"/>
    <mergeCell ref="C4:C5"/>
    <mergeCell ref="D4:D5"/>
    <mergeCell ref="E4:E5"/>
    <mergeCell ref="F4:F5"/>
    <mergeCell ref="G4:G5"/>
    <mergeCell ref="H4:H5"/>
    <mergeCell ref="I4:I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4:AM5"/>
    <mergeCell ref="AN4:AN5"/>
  </mergeCells>
  <conditionalFormatting sqref="R73;Q6;R6:R69">
    <cfRule type="expression" dxfId="1053" priority="1" stopIfTrue="1">
      <formula>IF($R6="warning",TRUE,FALSE)</formula>
    </cfRule>
  </conditionalFormatting>
  <conditionalFormatting sqref="R210:R212">
    <cfRule type="expression" dxfId="1054" priority="2" stopIfTrue="1">
      <formula>NOT(ISERROR(SEARCH("warning",R210)))</formula>
    </cfRule>
  </conditionalFormatting>
  <conditionalFormatting sqref="B156:B157">
    <cfRule type="expression" dxfId="1055" priority="3" stopIfTrue="1">
      <formula>IF(OR(#REF!="not",#REF!="resign",#REF!="resign",#REF!="end",#REF!="terminated",#REF!="permanent"),"TRUE","FALSE")</formula>
    </cfRule>
  </conditionalFormatting>
  <conditionalFormatting sqref="R213:R216">
    <cfRule type="expression" dxfId="1056" priority="4" stopIfTrue="1">
      <formula>NOT(ISERROR(SEARCH("warning",R213)))</formula>
    </cfRule>
  </conditionalFormatting>
  <conditionalFormatting sqref="B158">
    <cfRule type="expression" dxfId="1057" priority="5" stopIfTrue="1">
      <formula>IF(OR(#REF!="not",#REF!="resign",#REF!="resign",#REF!="end",#REF!="terminated",#REF!="permanent"),"TRUE","FALSE")</formula>
    </cfRule>
  </conditionalFormatting>
  <conditionalFormatting sqref="R158">
    <cfRule type="expression" dxfId="1058" priority="6" stopIfTrue="1">
      <formula>NOT(ISERROR(SEARCH("warning",R158)))</formula>
    </cfRule>
  </conditionalFormatting>
  <conditionalFormatting sqref="B159">
    <cfRule type="expression" dxfId="1059" priority="7" stopIfTrue="1">
      <formula>IF(OR(#REF!="not",#REF!="resign",#REF!="resign",#REF!="end",#REF!="terminated",#REF!="permanent"),"TRUE","FALSE")</formula>
    </cfRule>
  </conditionalFormatting>
  <conditionalFormatting sqref="R217:R220">
    <cfRule type="expression" dxfId="1060" priority="8" stopIfTrue="1">
      <formula>NOT(ISERROR(SEARCH("warning",R217)))</formula>
    </cfRule>
  </conditionalFormatting>
  <conditionalFormatting sqref="R221:R222">
    <cfRule type="expression" dxfId="1061" priority="9" stopIfTrue="1">
      <formula>NOT(ISERROR(SEARCH("warning",R221)))</formula>
    </cfRule>
  </conditionalFormatting>
  <conditionalFormatting sqref="B160:B184">
    <cfRule type="expression" dxfId="1062" priority="10" stopIfTrue="1">
      <formula>IF(OR(#REF!="not",#REF!="resign",#REF!="resign",#REF!="end",#REF!="terminated",#REF!="permanent"),"TRUE","FALSE")</formula>
    </cfRule>
  </conditionalFormatting>
  <conditionalFormatting sqref="R160">
    <cfRule type="expression" dxfId="1063" priority="11" stopIfTrue="1">
      <formula>NOT(ISERROR(SEARCH("warning",R160)))</formula>
    </cfRule>
  </conditionalFormatting>
  <conditionalFormatting sqref="R223:R226">
    <cfRule type="expression" dxfId="1064" priority="12" stopIfTrue="1">
      <formula>NOT(ISERROR(SEARCH("warning",R223)))</formula>
    </cfRule>
  </conditionalFormatting>
  <conditionalFormatting sqref="B227">
    <cfRule type="expression" dxfId="1065" priority="13" stopIfTrue="1">
      <formula>IF(OR(#REF!="not",#REF!="resign",#REF!="resign",#REF!="end",#REF!="terminated",#REF!="permanent"),"TRUE","FALSE")</formula>
    </cfRule>
  </conditionalFormatting>
  <conditionalFormatting sqref="R227">
    <cfRule type="expression" dxfId="1066" priority="14" stopIfTrue="1">
      <formula>NOT(ISERROR(SEARCH("warning",R227)))</formula>
    </cfRule>
  </conditionalFormatting>
  <conditionalFormatting sqref="R228">
    <cfRule type="expression" dxfId="1067" priority="15" stopIfTrue="1">
      <formula>NOT(ISERROR(SEARCH("warning",R228)))</formula>
    </cfRule>
  </conditionalFormatting>
  <conditionalFormatting sqref="B228">
    <cfRule type="expression" dxfId="1068" priority="16" stopIfTrue="1">
      <formula>IF(OR(#REF!="not",#REF!="resign",#REF!="resign",#REF!="end",#REF!="terminated",#REF!="permanent"),"TRUE","FALSE")</formula>
    </cfRule>
  </conditionalFormatting>
  <conditionalFormatting sqref="B229:B230">
    <cfRule type="expression" dxfId="1069" priority="17" stopIfTrue="1">
      <formula>IF(OR(#REF!="not",#REF!="resign",#REF!="resign",#REF!="end",#REF!="terminated",#REF!="permanent"),"TRUE","FALSE")</formula>
    </cfRule>
  </conditionalFormatting>
  <conditionalFormatting sqref="R229:R230">
    <cfRule type="expression" dxfId="1070" priority="18" stopIfTrue="1">
      <formula>NOT(ISERROR(SEARCH("warning",R229)))</formula>
    </cfRule>
  </conditionalFormatting>
  <conditionalFormatting sqref="B186:B194">
    <cfRule type="expression" dxfId="1071" priority="19" stopIfTrue="1">
      <formula>IF(OR(#REF!="not",#REF!="resign",#REF!="resign",#REF!="end",#REF!="terminated",#REF!="permanent"),"TRUE","FALSE")</formula>
    </cfRule>
  </conditionalFormatting>
  <conditionalFormatting sqref="R231">
    <cfRule type="expression" dxfId="1072" priority="20" stopIfTrue="1">
      <formula>NOT(ISERROR(SEARCH("warning",R231)))</formula>
    </cfRule>
  </conditionalFormatting>
  <conditionalFormatting sqref="B232:B233">
    <cfRule type="expression" dxfId="1073" priority="21" stopIfTrue="1">
      <formula>IF(OR(#REF!="not",#REF!="resign",#REF!="resign",#REF!="end",#REF!="terminated",#REF!="permanent"),"TRUE","FALSE")</formula>
    </cfRule>
  </conditionalFormatting>
  <conditionalFormatting sqref="R232:R233">
    <cfRule type="expression" dxfId="1074" priority="22" stopIfTrue="1">
      <formula>NOT(ISERROR(SEARCH("warning",R232)))</formula>
    </cfRule>
  </conditionalFormatting>
  <conditionalFormatting sqref="B185">
    <cfRule type="expression" dxfId="1075" priority="23" stopIfTrue="1">
      <formula>IF(OR(#REF!="not",#REF!="resign",#REF!="resign",#REF!="end",#REF!="terminated",#REF!="permanent"),"TRUE","FALSE")</formula>
    </cfRule>
  </conditionalFormatting>
  <conditionalFormatting sqref="B195">
    <cfRule type="expression" dxfId="1076" priority="24" stopIfTrue="1">
      <formula>IF(OR(#REF!="not",#REF!="resign",#REF!="resign",#REF!="end",#REF!="terminated",#REF!="permanent"),"TRUE","FALSE")</formula>
    </cfRule>
  </conditionalFormatting>
  <conditionalFormatting sqref="R195:R197">
    <cfRule type="expression" dxfId="1077" priority="25" stopIfTrue="1">
      <formula>NOT(ISERROR(SEARCH("warning",R195)))</formula>
    </cfRule>
  </conditionalFormatting>
  <conditionalFormatting sqref="B196">
    <cfRule type="expression" dxfId="1078" priority="26" stopIfTrue="1">
      <formula>IF(OR(#REF!="not",#REF!="resign",#REF!="resign",#REF!="end",#REF!="terminated",#REF!="permanent"),"TRUE","FALSE")</formula>
    </cfRule>
  </conditionalFormatting>
  <conditionalFormatting sqref="R234:R235">
    <cfRule type="expression" dxfId="1079" priority="27" stopIfTrue="1">
      <formula>IF($R234="warning",TRUE,FALSE)</formula>
    </cfRule>
  </conditionalFormatting>
  <conditionalFormatting sqref="B247">
    <cfRule type="expression" dxfId="1080" priority="28" stopIfTrue="1">
      <formula>IF(OR(#REF!="not",#REF!="resign",#REF!="resign",#REF!="end",#REF!="terminated",#REF!="permanent"),"TRUE","FALSE")</formula>
    </cfRule>
  </conditionalFormatting>
  <conditionalFormatting sqref="B248">
    <cfRule type="expression" dxfId="1081" priority="29" stopIfTrue="1">
      <formula>IF(OR(#REF!="not",#REF!="resign",#REF!="resign",#REF!="end",#REF!="terminated",#REF!="permanent"),"TRUE","FALSE")</formula>
    </cfRule>
  </conditionalFormatting>
  <conditionalFormatting sqref="R248">
    <cfRule type="expression" dxfId="1082" priority="30" stopIfTrue="1">
      <formula>NOT(ISERROR(SEARCH("warning",R248)))</formula>
    </cfRule>
  </conditionalFormatting>
  <conditionalFormatting sqref="B197">
    <cfRule type="expression" dxfId="1083" priority="31" stopIfTrue="1">
      <formula>IF(OR(#REF!="not",#REF!="resign",#REF!="resign",#REF!="end",#REF!="terminated",#REF!="permanent"),"TRUE","FALSE")</formula>
    </cfRule>
  </conditionalFormatting>
  <conditionalFormatting sqref="R249:R251">
    <cfRule type="expression" dxfId="1084" priority="32" stopIfTrue="1">
      <formula>NOT(ISERROR(SEARCH("warning",R249)))</formula>
    </cfRule>
  </conditionalFormatting>
  <conditionalFormatting sqref="R252:R254">
    <cfRule type="expression" dxfId="1085" priority="33" stopIfTrue="1">
      <formula>NOT(ISERROR(SEARCH("warning",R252)))</formula>
    </cfRule>
  </conditionalFormatting>
  <conditionalFormatting sqref="B254">
    <cfRule type="expression" dxfId="1086" priority="34" stopIfTrue="1">
      <formula>IF(OR(#REF!="not",#REF!="resign",#REF!="resign",#REF!="end",#REF!="terminated",#REF!="permanent"),"TRUE","FALSE")</formula>
    </cfRule>
  </conditionalFormatting>
  <hyperlinks>
    <hyperlink ref="AM38" location="" display="lulusdefianto@yahoo.co.id"/>
    <hyperlink ref="AM43" location="" display="ronal.ericson24@gmail.com"/>
    <hyperlink ref="AM39" location="" display="mulyanto.jakstik@gmail.com"/>
    <hyperlink ref="AM56" location="" display="zizah032@gmail.com"/>
    <hyperlink ref="AM58" location="" display="lestaridinalestari@gmail.com"/>
    <hyperlink ref="AM57" location="" display="selvievie91.sv@gmail.com"/>
    <hyperlink ref="AM35" location="" display="faizul.rokhma.fr@gmail.com, &#10;faizul.rokhman.fr@gmail.com, &#10;faizul.rokhman.fr@gmail.com"/>
    <hyperlink ref="AM33" location="" display="dimasjayarukmana89@gmail.com"/>
    <hyperlink ref="AM30" location="" display="budiseptiadi1989@yahoo.com, &#10;budisetiadi1989@yahoo.com"/>
    <hyperlink ref="AM28" location="" display="apla1987@gmail.com"/>
    <hyperlink ref="AM44" location="" display="apake.sahril20@yahoo.co.id, &#10;apake_sahril20@yahoo.co.id"/>
    <hyperlink ref="AM12" location="" display="hndr_setiawan@yahoo.co.id"/>
    <hyperlink ref="AM14" location="" display="ichsan.r92@gmail.com"/>
    <hyperlink ref="AM9" location="" display="bayu_ec@yahoo.com"/>
    <hyperlink ref="AM16" location="" display="kholil.kamal@yahoo.co.id"/>
    <hyperlink ref="AM24" location="" display="witdi.sudjati@yahoo.com"/>
    <hyperlink ref="AM7" location="" display="rianhdyt17@yahoo.co.id, &#10;Rian.hidayat@service-division.com"/>
    <hyperlink ref="AM8" location="" display="adhisuryonugroho@rocketmail.com"/>
    <hyperlink ref="AM6" location="" display="syariffudinlatif89@gmail.com"/>
    <hyperlink ref="AM32" location="" display="desmontbriliant@gmail.com, &#10;desmonbriliant@gmail.com"/>
    <hyperlink ref="AM46" location="" display="suryanugrohobatara@gmail.com"/>
    <hyperlink ref="AM49" location="" display="tri.nasikin@gmail.com"/>
    <hyperlink ref="AM45" location="" display="anto.nur.rahma@gmail.com"/>
    <hyperlink ref="AM15" location="" display="jejet_m@yahoo.com"/>
    <hyperlink ref="AM51" location="" display="rhoghest22@gmail.com"/>
    <hyperlink ref="AM10" location="" display="dian.ph79@yahoo.com.sg"/>
    <hyperlink ref="AM19" location="" display="muh.adesyahputra@ymail.com"/>
    <hyperlink ref="AM18" location="" display="erryduan@gmail.com"/>
    <hyperlink ref="AM17" location="" display="muhammad.kuridi@gmail.com, muhammad.kuridi@yahoo.com"/>
    <hyperlink ref="AM25" location="" display="ziit_prakal@yahoo.com"/>
    <hyperlink ref="AM20" location="" display="radityoluberto@gmail.com"/>
    <hyperlink ref="AM22" location="" display="rezky.firmansyah7@gmail.com"/>
    <hyperlink ref="AM13" location="" display="hru4ris86@gmail.com"/>
    <hyperlink ref="AM23" location="" display="ruddypresident@yahoo.co.id"/>
    <hyperlink ref="AM21" location="" display="rahmathariyadi75@rocketmail.com"/>
    <hyperlink ref="AM34" location="" display="jatsfumi@gmail.com"/>
    <hyperlink ref="AM26" location="" display="anggie.pramudita@gmail.com"/>
    <hyperlink ref="AM50" location="" display="yusufarifin92@yahoo.com"/>
    <hyperlink ref="AM47" location="" display="suryadi.suryadi@service.division.com/&#10; nuradhie061013@gmail.com"/>
    <hyperlink ref="AM40" location="" display="napriatna@gmail.com"/>
    <hyperlink ref="AM48" location="" display="suward140211@gmail.com"/>
    <hyperlink ref="AM31" location="" display="bibitpramono@gmail.com"/>
    <hyperlink ref="AM37" location="" display="karoluskowe@gmail.com"/>
    <hyperlink ref="AM27" location="" display="anhararieee@gmail.com"/>
    <hyperlink ref="AM42" location="" display="galihjulian@gmail.com"/>
    <hyperlink ref="AM11" location="" display="arif.rudianto01@gmail.com"/>
    <hyperlink ref="AM54" location="" display="hasan.s@service-division.com"/>
    <hyperlink ref="AM59" location="" display="adityas2716@gmail.com"/>
    <hyperlink ref="AM60" location="" display="rendi.hermawan30@gmail.com"/>
    <hyperlink ref="AM66" location="" display="roninasution77@gmail.com"/>
    <hyperlink ref="AM68" location="" display="peri.kusnanto@yahoo.com"/>
    <hyperlink ref="AM67" location="" display="adhifaizal@gmail.com"/>
    <hyperlink ref="AM63" location="" display="arjun007cnl@gmail.com"/>
    <hyperlink ref="AM65" location="" display="zeeat10@gmail.com"/>
    <hyperlink ref="AM64" location="" display="muhiqbal02@yahoo.com"/>
    <hyperlink ref="AM62" location="" display="ammar.rahmat@gmail.com"/>
    <hyperlink ref="AM61" location="" display="pradiqsi87@gmail.com"/>
    <hyperlink ref="AM69" location="" display="arif.firdaus12@gmail.com"/>
    <hyperlink ref="AM70" location="" display="sahalaffani5@gmail.com"/>
    <hyperlink ref="AM71" location="" display="sulaimanace11@gmail.com"/>
    <hyperlink ref="AM72" location="" display="taufiksugihhartono@gmail.com       "/>
    <hyperlink ref="AM73" location="" display="ucha.farae@gmail.com, ucha_farae@yahoo.com"/>
    <hyperlink ref="AM127" location="" display="ANDRIANIVIDIA@YAHOO.CO.ID"/>
    <hyperlink ref="AM134" location="" display="UMAR.DOANK46@GMAIL.COM"/>
    <hyperlink ref="AM148" location="" display="ADZANIATHAHARA@GMAIL.COM"/>
    <hyperlink ref="AM112" location="" display="TRILUCKYH@YAHOO.COM"/>
    <hyperlink ref="AM111" location="" display="TESARRALUK@YAHOO.CO.ID"/>
    <hyperlink ref="AM113" location="" display="TRIA_THECOLE@YAHOO.COM"/>
    <hyperlink ref="AM107" location="" display="AJI.ATMONO@GMAIL.COM"/>
    <hyperlink ref="AM106" location="" display="SITISCOOTER@GMAIL.COM"/>
    <hyperlink ref="AM133" location="" display="SELAMET.JKT2014@GMAIL.COM"/>
    <hyperlink ref="AM110" location="" display="DOANKSUYONO83@GMAIL.COM"/>
    <hyperlink ref="AM139" location="" display="RIANDI.HANDOJO.EXT@DIEBOLDNIXDORF.COM.LOHENGGRIN@GMAIL.COM"/>
    <hyperlink ref="AM132" location="" display="ROCKTAVIAN@GMAIL.COM"/>
    <hyperlink ref="AM129" location="" display="GLASS_SHOES22@YAHOO.COM"/>
    <hyperlink ref="AM137" location="" display="JAGRO_RIKI@YAHOO.COM"/>
    <hyperlink ref="AM208" location="" display="GANYANKKA@YAHOO.COM"/>
    <hyperlink ref="AM104" location="" display="ROMELIH83@GMAIL.COM"/>
    <hyperlink ref="AM102" location="" display="COCKRIKI49@GMAIL.COM, cocriki49@gmail.com"/>
    <hyperlink ref="AM103" location="" display="IKIBOY1985@GMAIL.COM"/>
    <hyperlink ref="AM140" location="" display="ARISBASKORO.ABAS@GMAIL.COM"/>
    <hyperlink ref="AM141" location="" display="ASYUKURW@GMAIL.COM"/>
    <hyperlink ref="AM209" location="" display="ABDULHARISKI@GMAIL.COM"/>
    <hyperlink ref="AM149" location="" display="ADHEL.PUTRA32@GMAIL.COM"/>
    <hyperlink ref="AM77" location="" display="JEMBAWANARYA@GMAIL.COM"/>
    <hyperlink ref="AM121" location="" display="AHMADMUKLIS231@GMAIL.COM"/>
    <hyperlink ref="AM118" location="" display="ABDULROHIM15@GMAIL.COM"/>
    <hyperlink ref="AM130" location="" display="ARMI_DWICAHYANI@YAHOO.COM"/>
    <hyperlink ref="AM76" location="" display="ARI.KOERNIAWAN87@GMAIL.COM"/>
    <hyperlink ref="AM145" location="" display="BIMO.CATUR@YAHOO.COM"/>
    <hyperlink ref="AM79" location="" display="TQNBUBUN@GMAIL.COM"/>
    <hyperlink ref="AM80" location="" display="CANDRAKP28@GMAIL.COM"/>
    <hyperlink ref="AM81" location="" display="DENI.SUDANA2812@GMAIL.COM"/>
    <hyperlink ref="AM146" location="" display="DIAHAJENGPS@GMAIL.COM"/>
    <hyperlink ref="AM82" location="" display="EKOARYAMIN123@GMAIL.COM"/>
    <hyperlink ref="AM143" location="" display="EKO.HARSONO22@GMAIL.COM"/>
    <hyperlink ref="AM128" location="" display="ELFIRATSALTSALBIA@YAHOO.COM"/>
    <hyperlink ref="AM120" location="" display="ERWINKELLYSON46@GMAIL.COM"/>
    <hyperlink ref="AM83" location="" display="EKOMARDIANTO2016@GMAIL.COM"/>
    <hyperlink ref="AM100" location="" display="RAJOLOAN@GMAIL.COM"/>
    <hyperlink ref="AM101" location="" display="PURWANTO2576@GMAIL.COM"/>
    <hyperlink ref="AM125" location="" display="POETRI_ARIES86@YAHOO.COM"/>
    <hyperlink ref="AM98" location="" display="NIKENBUDI129@GMAIL.COM"/>
    <hyperlink ref="AM147" location="" display="MELINDAARISTA@GMAIL.COM"/>
    <hyperlink ref="AM131" location="" display="MUPLIHAKBAR@GMAIL.COM"/>
    <hyperlink ref="AM96" location="" display="MARDIANSYAH.46@GMAIL.COM"/>
    <hyperlink ref="AM97" location="" display="MOAMMARILYASSANI@GMAIL.COM"/>
    <hyperlink ref="AM135" location="" display="MSUHAEMI@GMAIL.COM"/>
    <hyperlink ref="AM144" location="" display="REZAPERDANAPUTRA04@GMAIL.COM"/>
    <hyperlink ref="AM95" location="" display="NUGROHO.MARDI1973@GMAIL.COM"/>
    <hyperlink ref="AM94" location="" display="MUHAMMAD_TAUFAN_01@YAHOO.COM"/>
    <hyperlink ref="AM93" location="" display="LUTFICHOIR1982@GMAIL.COM"/>
    <hyperlink ref="AM91" location="" display="JOEMAN.JMW@GMAIL.COM"/>
    <hyperlink ref="AM142" location="" display="BONGKARKOMPI@GMAIL.COM, PRATAMA.JOHAN.EXT@DIEBOLDNIXDORF.COM"/>
    <hyperlink ref="AM90" location="" display="JEASON.KRAMA@GMAIL.COM"/>
    <hyperlink ref="AM136" location="" display="JUNI_DARMANTO@YAHOO.CO.UK"/>
    <hyperlink ref="AM89" location="" display="IWANIRAWAN1082@GMAIL.COM"/>
    <hyperlink ref="AM123" location="" display="IYUR_UNA@YAHOO.COM"/>
    <hyperlink ref="AM86" location="" display="HBASRI422@GMAIL.COM"/>
    <hyperlink ref="AM124" location="" display="ASBOY_ARDHY@YAHOO.COM"/>
    <hyperlink ref="AM87" location="" display="HERRYFITRIYANTO2016@YAHOO.COM"/>
    <hyperlink ref="AM85" location="" display="16A2DARK@GMAIL.COM"/>
    <hyperlink ref="AM126" location="" display="FATHARANIISOFYAN@GMAIL.COM"/>
    <hyperlink ref="AM207" location="" display="FAJAR.SUDARMADI@SERVICE-DIVISION.COM"/>
    <hyperlink ref="AM84" location="" display="FEBRY.WINANTO@HMAIL.COM"/>
    <hyperlink ref="AM75" location="" display="DOBLENAKBAR@GMAIL.COM"/>
    <hyperlink ref="AM78" location="" display="ASMARA.YAHYA@YAHOO.COM"/>
    <hyperlink ref="AM122" location="" display="CAGLAKS90@GMAIL.COM"/>
    <hyperlink ref="AM92" location="" display="JUMANGIN1970@GMAIL.COM"/>
    <hyperlink ref="AM108" location="" display="SUTRISNOWAREHOUSE@GMAIL.COM"/>
    <hyperlink ref="AM115" location="" display="WS.TRIYANTO24@GMAIL.COM"/>
    <hyperlink ref="AM151" location="" display="prayogie.teguh@gmail.com       "/>
    <hyperlink ref="AM153" location="" display="cybergitt@gmail.com"/>
    <hyperlink ref="AM150" location="" display="s.kurniawan@service-division.com"/>
    <hyperlink ref="AM155" location="" display="se7enfrom_heaven@yahoo.com"/>
    <hyperlink ref="AM154" location="" display="labelsefandarsan@yahoo.com"/>
    <hyperlink ref="AM156" location="" display="ALFIN.VINO@YAHOO.COM"/>
    <hyperlink ref="AM157" location="" display="vyuliasari@gmail.com"/>
    <hyperlink ref="AM210" location="" display="MOELIDAY@YMAIL.COM"/>
    <hyperlink ref="AM211" location="" display="ikinieh74@gmail.com"/>
    <hyperlink ref="AM213" location="" display="fakhriyfasya@gmail.com"/>
    <hyperlink ref="AM214" location="" display="YOPI.TRIYANA@GMAIL.COM"/>
    <hyperlink ref="AM215" location="" display="CORNELIUS.MELLINO@GMAIL.COM"/>
    <hyperlink ref="AM216" location="" display="ADI.VLADO@GMAIL.COM"/>
    <hyperlink ref="AM158" location="" display="putrastylers@gmail.com"/>
    <hyperlink ref="AM159" location="" display="mulyana_benny@yahoo.com"/>
    <hyperlink ref="AM218" location="" display="SITIAIEZAH@GMAIL.COM"/>
    <hyperlink ref="AM220" location="" display="ARIELAARELSUSANTO@GMAIL.COM"/>
    <hyperlink ref="AM221" location="" display="EKA.MEISAFITRI@GMAIL.COM"/>
    <hyperlink ref="AM222" location="" display="AZIZAINUNNAJIB@YAHOO.CO.ID"/>
    <hyperlink ref="AM162" r:id="rId2" display="SATRIA.ANGGORO@YMAIL.COM"/>
    <hyperlink ref="AM161" r:id="rId3" display="SARAH.MABELLE@GMAIL.COM"/>
    <hyperlink ref="AM177" r:id="rId4" display="NOVIEELIZA21@GMAIL.COM"/>
    <hyperlink ref="AM176" r:id="rId5" display="RIIAHENINGSIH@GMAIL.COM"/>
    <hyperlink ref="AM180" r:id="rId6" display="DWY.SUSANTO@DIEBOLDNIXDORF.COM"/>
    <hyperlink ref="AM165" r:id="rId7" display="MERRY.MARYAM013@GMAIL.COM"/>
    <hyperlink ref="AM166" r:id="rId8" display="NURHAKIM207@GMAIL.COM"/>
    <hyperlink ref="AM179" r:id="rId9" display="RIAN.MARIANTI@DIEBOLDNIXDORF.COM"/>
    <hyperlink ref="AM173" r:id="rId10" display="MOCHUMARSYARIFUDDIN@GMAIL.COM"/>
    <hyperlink ref="AM172" r:id="rId11" display="YUSRAN.HAKIM10@GMAIL.COM"/>
    <hyperlink ref="AM168" r:id="rId12" display="KTRISNINGTYAS@YAHOO.COM"/>
    <hyperlink ref="AM170" r:id="rId13" display="RIHANDIANNEDYAPRATAMA@GMAIL.COM"/>
    <hyperlink ref="AM183" r:id="rId14" display="faisalabdillah150490@gmail.com"/>
    <hyperlink ref="AM160" r:id="rId15" display="HADIYATI89@GMAIL.COM"/>
    <hyperlink ref="AM175" r:id="rId16" display="REY.DEPOK@GMAIL.COM"/>
    <hyperlink ref="AM164" r:id="rId17" display="anggraeni.puspitaningrum@dieboldnixdorf.com"/>
    <hyperlink ref="AM182" r:id="rId18" display="ndrix14@yahoo.com"/>
    <hyperlink ref="AM178" r:id="rId19" display="nurfajria2016@yahoo.com"/>
    <hyperlink ref="AM223" location="" display="HADIPURNOMO475@GMAIL.COM"/>
    <hyperlink ref="AM225" location="" display="RUDI.ERROR@GMAIL.COM"/>
    <hyperlink ref="AM226" location="" display="WINNYAUGST@GMAIL.COM"/>
    <hyperlink ref="AM227" location="" display="DIPA.MAGINOV@GMAIL.COM"/>
    <hyperlink ref="AM228" location="" display="yuni@service-division.com"/>
    <hyperlink ref="AM229" location="" display="dedy.yuliana@gmail.com"/>
    <hyperlink ref="AM230" location="" display="agussetyotriastono@gmail.com"/>
    <hyperlink ref="AM169" r:id="rId20" display="IJUNAHMAD@GMAIL.COM"/>
    <hyperlink ref="AM174" r:id="rId21" display="UJANG.SUPRIATNA@DIEBOLDNIXDORF.COM"/>
    <hyperlink ref="AM181" r:id="rId22" display="JACOBBOYBO222@GMAIL.COM"/>
    <hyperlink ref="AM231" location="" display="WNDYWENK@GMAIL.COM"/>
    <hyperlink ref="AM233" r:id="rId23" display="RIAN.ADDICT@YAHOO.COM"/>
    <hyperlink ref="AM232" r:id="rId24" display="HASANAHNURYATUN@GMAIL.COM"/>
    <hyperlink ref="AM187" r:id="rId25" display="ISKANDARROIS24@GMAIL.COM"/>
    <hyperlink ref="AM186" r:id="rId26" display="DEVI_SUPRIADI@YMAIL.COM"/>
    <hyperlink ref="AM192" r:id="rId27" display="BIANHASSAN7723@GMAIL.COM"/>
    <hyperlink ref="AM193" r:id="rId28" display="KHALIMI040173@GMAIL.COM"/>
    <hyperlink ref="AM195" r:id="rId29" display="fajri.ikhsan90@gmail.com"/>
    <hyperlink ref="AM234" location="" display="bens.romeo@yahoo.com"/>
    <hyperlink ref="AM236" location="" display="guruhchris@gmail.com"/>
    <hyperlink ref="AM239" location="" display="DIMAS.WIDYAWAN@SERVICE-DIVISION.COM"/>
    <hyperlink ref="AM240" location="" display="EKO.SASMITO@SERVICE-DIVISION.COM"/>
    <hyperlink ref="AM241" location="" display="BAGASKARA.CERAH@GMAIL.COM"/>
    <hyperlink ref="AM242" location="" display="CBR.CANDY@GMAIL.COM"/>
    <hyperlink ref="AM243" location="" display="MEISURIFAHMI@GMAIL.COM"/>
    <hyperlink ref="AM244" location="" display="ALVIN.HIDAYAT82@GMAIL.COM"/>
    <hyperlink ref="AM245" location="" display="SUKS.MAULANA@GMAIL.COM"/>
    <hyperlink ref="AM246" location="" display="IWANSUYANA77@GMAIL.COM"/>
    <hyperlink ref="AM197" r:id="rId30" display="adhityo.k.w@gmail.com"/>
    <hyperlink ref="AM249" location="" display="adityadarmawan42@gmail.com"/>
    <hyperlink ref="AM250" location="" display="putraauliaardiansyah1@gmail.com"/>
    <hyperlink ref="AM251" location="" display=" "/>
    <hyperlink ref="AM252" location="" display="RIZKYRAMADHAN.INDO@YAHOO.COM"/>
    <hyperlink ref="AM253" location="" display="BLACK.MOZILLA@GMAIL.COM"/>
    <hyperlink ref="AM254" r:id="rId31" display="SALMANRAFAEL@GMAIL.COM"/>
  </hyperlinks>
  <pageMargins left="0.699305555555556" right="0.699305555555556"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A1:BH81"/>
  <sheetViews>
    <sheetView showGridLines="0" topLeftCell="A12" workbookViewId="0">
      <pane xSplit="3" ySplit="2" topLeftCell="I14" activePane="bottomRight" state="frozen"/>
      <selection/>
      <selection pane="topRight"/>
      <selection pane="bottomLeft"/>
      <selection pane="bottomRight" activeCell="Q18" sqref="Q18"/>
    </sheetView>
  </sheetViews>
  <sheetFormatPr defaultColWidth="9" defaultRowHeight="12.95" customHeight="1"/>
  <cols>
    <col min="1" max="1" width="3.85833333333333" style="94" customWidth="1"/>
    <col min="2" max="2" width="9.14166666666667" style="94" customWidth="1"/>
    <col min="3" max="3" width="20.7083333333333" style="94" customWidth="1"/>
    <col min="4" max="4" width="20.2833333333333" style="94" customWidth="1"/>
    <col min="5" max="5" width="4.56666666666667" style="94" customWidth="1"/>
    <col min="6" max="6" width="6.70833333333333" style="94" customWidth="1"/>
    <col min="7" max="7" width="22.2833333333333" style="94" customWidth="1"/>
    <col min="8" max="10" width="8.56666666666667" style="94" customWidth="1"/>
    <col min="11" max="11" width="8.425" style="94" customWidth="1"/>
    <col min="12" max="12" width="8.28333333333333" style="94" customWidth="1"/>
    <col min="13" max="13" width="8.56666666666667" style="94" customWidth="1"/>
    <col min="14" max="17" width="8.425" style="94" customWidth="1"/>
    <col min="18" max="19" width="8.28333333333333" style="94" customWidth="1"/>
    <col min="20" max="20" width="8.85833333333333" style="94" customWidth="1"/>
    <col min="21" max="21" width="8.28333333333333" style="94" customWidth="1"/>
    <col min="22" max="22" width="8.14166666666667" style="94" customWidth="1"/>
    <col min="23" max="23" width="8.425" style="94" customWidth="1"/>
    <col min="24" max="24" width="9.56666666666667" style="94" customWidth="1"/>
    <col min="25" max="25" width="11.8583333333333" style="94" customWidth="1"/>
    <col min="26" max="26" width="14.1416666666667" style="94" customWidth="1"/>
    <col min="27" max="27" width="55.1416666666667" style="94" customWidth="1"/>
    <col min="28" max="28" width="6.425" style="94" customWidth="1"/>
    <col min="29" max="29" width="22.8583333333333" style="94" customWidth="1"/>
    <col min="30" max="30" width="44.1416666666667" style="94" customWidth="1"/>
    <col min="31" max="31" width="32" style="94" customWidth="1"/>
    <col min="32" max="32" width="14.8583333333333" style="94" customWidth="1"/>
    <col min="33" max="33" width="16.2833333333333" style="94" customWidth="1"/>
    <col min="34" max="34" width="10.425" style="94" customWidth="1"/>
    <col min="35" max="35" width="14.8583333333333" style="94" customWidth="1"/>
    <col min="36" max="36" width="38.7083333333333" style="94" customWidth="1"/>
    <col min="37" max="37" width="32.7083333333333" style="94" customWidth="1"/>
    <col min="38" max="38" width="31.2833333333333" style="94" customWidth="1"/>
    <col min="39" max="39" width="10.425" style="94" customWidth="1"/>
    <col min="40" max="50" width="9.14166666666667" style="94"/>
    <col min="51" max="51" width="14.8583333333333" style="94" customWidth="1"/>
    <col min="52" max="52" width="9.70833333333333" style="94" customWidth="1"/>
    <col min="53" max="56" width="9.14166666666667" style="94"/>
    <col min="57" max="57" width="9" style="94" customWidth="1"/>
    <col min="58" max="59" width="8.28333333333333" style="94" customWidth="1"/>
    <col min="60" max="60" width="2.70833333333333" style="94" customWidth="1"/>
    <col min="61" max="16384" width="9.14166666666667" style="94"/>
  </cols>
  <sheetData>
    <row r="1" s="91" customFormat="1" customHeight="1" spans="1:37">
      <c r="A1" s="96"/>
      <c r="B1" s="96"/>
      <c r="C1" s="96"/>
      <c r="D1" s="96"/>
      <c r="E1" s="96"/>
      <c r="F1" s="96"/>
      <c r="AK1" s="123" t="s">
        <v>11108</v>
      </c>
    </row>
    <row r="2" s="91" customFormat="1" customHeight="1" spans="1:37">
      <c r="A2" s="96"/>
      <c r="B2" s="96"/>
      <c r="C2" s="96"/>
      <c r="D2" s="96"/>
      <c r="E2" s="96"/>
      <c r="F2" s="96"/>
      <c r="AK2" s="123" t="s">
        <v>11109</v>
      </c>
    </row>
    <row r="3" s="91" customFormat="1" customHeight="1" spans="1:37">
      <c r="A3" s="96"/>
      <c r="B3" s="96"/>
      <c r="C3" s="96"/>
      <c r="D3" s="96"/>
      <c r="E3" s="96"/>
      <c r="F3" s="96"/>
      <c r="AK3" s="123" t="s">
        <v>11110</v>
      </c>
    </row>
    <row r="4" s="91" customFormat="1" customHeight="1" spans="1:37">
      <c r="A4" s="96"/>
      <c r="B4" s="96"/>
      <c r="C4" s="96"/>
      <c r="D4" s="96"/>
      <c r="E4" s="96"/>
      <c r="F4" s="96"/>
      <c r="AK4" s="123" t="s">
        <v>11111</v>
      </c>
    </row>
    <row r="5" s="91" customFormat="1" customHeight="1" spans="1:6">
      <c r="A5" s="96"/>
      <c r="B5" s="96"/>
      <c r="C5" s="96"/>
      <c r="D5" s="96"/>
      <c r="E5" s="96"/>
      <c r="F5" s="96"/>
    </row>
    <row r="6" s="91" customFormat="1" customHeight="1" spans="1:6">
      <c r="A6" s="96"/>
      <c r="B6" s="96"/>
      <c r="C6" s="96"/>
      <c r="D6" s="96"/>
      <c r="E6" s="96"/>
      <c r="F6" s="96"/>
    </row>
    <row r="7" s="91" customFormat="1" customHeight="1" spans="3:6">
      <c r="C7" s="96"/>
      <c r="D7" s="96"/>
      <c r="E7" s="96"/>
      <c r="F7" s="96"/>
    </row>
    <row r="8" s="91" customFormat="1" customHeight="1" spans="1:35">
      <c r="A8" s="97" t="s">
        <v>7926</v>
      </c>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row>
    <row r="9" s="91" customFormat="1" customHeight="1" spans="1:35">
      <c r="A9" s="97" t="s">
        <v>11112</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7"/>
    </row>
    <row r="10" s="91" customFormat="1" customHeight="1" spans="1:29">
      <c r="A10" s="97"/>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row>
    <row r="11" s="91" customFormat="1" customHeight="1" spans="3:6">
      <c r="C11" s="96"/>
      <c r="D11" s="96"/>
      <c r="E11" s="96"/>
      <c r="F11" s="96"/>
    </row>
    <row r="12" s="91" customFormat="1" customHeight="1" spans="1:38">
      <c r="A12" s="98" t="s">
        <v>0</v>
      </c>
      <c r="B12" s="98" t="s">
        <v>1</v>
      </c>
      <c r="C12" s="98" t="s">
        <v>2</v>
      </c>
      <c r="D12" s="98" t="s">
        <v>3</v>
      </c>
      <c r="E12" s="98"/>
      <c r="F12" s="98" t="s">
        <v>7929</v>
      </c>
      <c r="G12" s="98" t="s">
        <v>8</v>
      </c>
      <c r="H12" s="103" t="s">
        <v>9</v>
      </c>
      <c r="I12" s="103"/>
      <c r="J12" s="174" t="s">
        <v>11113</v>
      </c>
      <c r="K12" s="532"/>
      <c r="L12" s="186"/>
      <c r="M12" s="174" t="s">
        <v>11</v>
      </c>
      <c r="N12" s="186"/>
      <c r="O12" s="532"/>
      <c r="P12" s="434" t="s">
        <v>4811</v>
      </c>
      <c r="Q12" s="434"/>
      <c r="R12" s="174" t="s">
        <v>11</v>
      </c>
      <c r="S12" s="186"/>
      <c r="T12" s="434" t="s">
        <v>4811</v>
      </c>
      <c r="U12" s="434"/>
      <c r="V12" s="98" t="s">
        <v>14</v>
      </c>
      <c r="W12" s="103" t="s">
        <v>15</v>
      </c>
      <c r="X12" s="537" t="s">
        <v>16</v>
      </c>
      <c r="Y12" s="98" t="s">
        <v>11114</v>
      </c>
      <c r="Z12" s="98" t="s">
        <v>11115</v>
      </c>
      <c r="AA12" s="98" t="s">
        <v>15</v>
      </c>
      <c r="AB12" s="98" t="s">
        <v>11116</v>
      </c>
      <c r="AC12" s="98" t="s">
        <v>3509</v>
      </c>
      <c r="AD12" s="117" t="s">
        <v>28</v>
      </c>
      <c r="AE12" s="118" t="s">
        <v>29</v>
      </c>
      <c r="AF12" s="118" t="s">
        <v>31</v>
      </c>
      <c r="AG12" s="118" t="s">
        <v>32</v>
      </c>
      <c r="AH12" s="118" t="s">
        <v>7934</v>
      </c>
      <c r="AI12" s="118" t="s">
        <v>34</v>
      </c>
      <c r="AJ12" s="104" t="s">
        <v>30</v>
      </c>
      <c r="AK12" s="124" t="s">
        <v>7936</v>
      </c>
      <c r="AL12" s="117" t="s">
        <v>36</v>
      </c>
    </row>
    <row r="13" s="91" customFormat="1" customHeight="1" spans="1:38">
      <c r="A13" s="99"/>
      <c r="B13" s="99"/>
      <c r="C13" s="99"/>
      <c r="D13" s="99"/>
      <c r="E13" s="99"/>
      <c r="F13" s="99"/>
      <c r="G13" s="99"/>
      <c r="H13" s="103" t="s">
        <v>37</v>
      </c>
      <c r="I13" s="103" t="s">
        <v>38</v>
      </c>
      <c r="J13" s="103">
        <v>1</v>
      </c>
      <c r="K13" s="103">
        <v>2</v>
      </c>
      <c r="L13" s="103">
        <v>3</v>
      </c>
      <c r="M13" s="103" t="s">
        <v>37</v>
      </c>
      <c r="N13" s="103" t="s">
        <v>38</v>
      </c>
      <c r="O13" s="103"/>
      <c r="P13" s="677" t="s">
        <v>37</v>
      </c>
      <c r="Q13" s="677" t="s">
        <v>38</v>
      </c>
      <c r="R13" s="103" t="s">
        <v>37</v>
      </c>
      <c r="S13" s="103" t="s">
        <v>38</v>
      </c>
      <c r="T13" s="677" t="s">
        <v>37</v>
      </c>
      <c r="U13" s="677" t="s">
        <v>38</v>
      </c>
      <c r="V13" s="99"/>
      <c r="W13" s="111"/>
      <c r="X13" s="538"/>
      <c r="Y13" s="99"/>
      <c r="Z13" s="99"/>
      <c r="AA13" s="99"/>
      <c r="AB13" s="115"/>
      <c r="AC13" s="115"/>
      <c r="AD13" s="119"/>
      <c r="AE13" s="120"/>
      <c r="AF13" s="120"/>
      <c r="AG13" s="120"/>
      <c r="AH13" s="120"/>
      <c r="AI13" s="120"/>
      <c r="AJ13" s="125"/>
      <c r="AK13" s="126"/>
      <c r="AL13" s="119"/>
    </row>
    <row r="14" s="93" customFormat="1" ht="21.75" spans="1:60">
      <c r="A14" s="100">
        <f t="shared" ref="A14:A38" si="0">ROW()-13</f>
        <v>1</v>
      </c>
      <c r="B14" s="1585" t="s">
        <v>11117</v>
      </c>
      <c r="C14" s="463" t="s">
        <v>11118</v>
      </c>
      <c r="D14" s="170">
        <v>20322</v>
      </c>
      <c r="E14" s="170" t="s">
        <v>43</v>
      </c>
      <c r="F14" s="102" t="s">
        <v>11119</v>
      </c>
      <c r="G14" s="432" t="s">
        <v>1533</v>
      </c>
      <c r="H14" s="468">
        <v>43151</v>
      </c>
      <c r="I14" s="468">
        <v>43515</v>
      </c>
      <c r="J14" s="468"/>
      <c r="K14" s="468"/>
      <c r="L14" s="468"/>
      <c r="M14" s="468"/>
      <c r="N14" s="468"/>
      <c r="O14" s="468"/>
      <c r="P14" s="468"/>
      <c r="Q14" s="468"/>
      <c r="R14" s="468"/>
      <c r="S14" s="468"/>
      <c r="T14" s="468"/>
      <c r="U14" s="468"/>
      <c r="V14" s="476">
        <f ca="1">SUM(I14-NOW())</f>
        <v>242.61546296296</v>
      </c>
      <c r="W14" s="468" t="str">
        <f ca="1" t="shared" ref="W14:W16" si="1">IF(V14&lt;=45,"WARNING","ACTIVE")</f>
        <v>ACTIVE</v>
      </c>
      <c r="X14" s="665">
        <v>3648036</v>
      </c>
      <c r="Y14" s="207">
        <v>18000</v>
      </c>
      <c r="Z14" s="207" t="s">
        <v>11120</v>
      </c>
      <c r="AA14" s="432" t="s">
        <v>11121</v>
      </c>
      <c r="AB14" s="207"/>
      <c r="AC14" s="207" t="s">
        <v>11122</v>
      </c>
      <c r="AD14" s="432" t="s">
        <v>11123</v>
      </c>
      <c r="AE14" s="432" t="s">
        <v>11124</v>
      </c>
      <c r="AF14" s="122"/>
      <c r="AG14" s="122" t="s">
        <v>11125</v>
      </c>
      <c r="AH14" s="122"/>
      <c r="AI14" s="688" t="s">
        <v>11126</v>
      </c>
      <c r="AJ14" s="122" t="s">
        <v>11127</v>
      </c>
      <c r="AK14" s="122"/>
      <c r="AL14" s="122"/>
      <c r="BE14" s="490"/>
      <c r="BF14" s="491"/>
      <c r="BG14" s="491"/>
      <c r="BH14" s="91"/>
    </row>
    <row r="15" s="93" customFormat="1" ht="21" spans="1:38">
      <c r="A15" s="100">
        <f t="shared" si="0"/>
        <v>2</v>
      </c>
      <c r="B15" s="1585" t="s">
        <v>11128</v>
      </c>
      <c r="C15" s="463" t="s">
        <v>11129</v>
      </c>
      <c r="D15" s="169" t="s">
        <v>11130</v>
      </c>
      <c r="E15" s="169" t="s">
        <v>125</v>
      </c>
      <c r="F15" s="102" t="s">
        <v>44</v>
      </c>
      <c r="G15" s="432" t="s">
        <v>7940</v>
      </c>
      <c r="H15" s="468">
        <v>41911</v>
      </c>
      <c r="I15" s="468">
        <v>42001</v>
      </c>
      <c r="J15" s="468">
        <v>42091</v>
      </c>
      <c r="K15" s="468">
        <v>42275</v>
      </c>
      <c r="L15" s="468">
        <v>42641</v>
      </c>
      <c r="M15" s="468">
        <v>42642</v>
      </c>
      <c r="N15" s="468">
        <v>43006</v>
      </c>
      <c r="O15" s="468"/>
      <c r="P15" s="468">
        <v>43007</v>
      </c>
      <c r="Q15" s="468">
        <v>43036</v>
      </c>
      <c r="R15" s="468">
        <v>43037</v>
      </c>
      <c r="S15" s="468">
        <v>43401</v>
      </c>
      <c r="T15" s="468"/>
      <c r="U15" s="468"/>
      <c r="V15" s="476">
        <f ca="1">SUM(S15-NOW())</f>
        <v>128.61546296296</v>
      </c>
      <c r="W15" s="468" t="str">
        <f ca="1" t="shared" si="1"/>
        <v>ACTIVE</v>
      </c>
      <c r="X15" s="665">
        <v>3648036</v>
      </c>
      <c r="Y15" s="207">
        <v>18000</v>
      </c>
      <c r="Z15" s="207">
        <v>12000</v>
      </c>
      <c r="AA15" s="432" t="s">
        <v>11131</v>
      </c>
      <c r="AB15" s="207"/>
      <c r="AC15" s="207" t="s">
        <v>11132</v>
      </c>
      <c r="AD15" s="432" t="s">
        <v>11133</v>
      </c>
      <c r="AE15" s="432" t="s">
        <v>11134</v>
      </c>
      <c r="AF15" s="122" t="s">
        <v>11135</v>
      </c>
      <c r="AG15" s="122"/>
      <c r="AH15" s="122"/>
      <c r="AI15" s="688" t="s">
        <v>11136</v>
      </c>
      <c r="AJ15" s="122" t="s">
        <v>11137</v>
      </c>
      <c r="AK15" s="604" t="s">
        <v>11138</v>
      </c>
      <c r="AL15" s="122"/>
    </row>
    <row r="16" s="93" customFormat="1" ht="21" spans="1:38">
      <c r="A16" s="100">
        <f t="shared" si="0"/>
        <v>3</v>
      </c>
      <c r="B16" s="1585" t="s">
        <v>11139</v>
      </c>
      <c r="C16" s="463" t="s">
        <v>11140</v>
      </c>
      <c r="D16" s="169" t="s">
        <v>11141</v>
      </c>
      <c r="E16" s="169" t="s">
        <v>43</v>
      </c>
      <c r="F16" s="102" t="s">
        <v>44</v>
      </c>
      <c r="G16" s="432" t="s">
        <v>2823</v>
      </c>
      <c r="H16" s="106">
        <v>43160</v>
      </c>
      <c r="I16" s="106">
        <v>43524</v>
      </c>
      <c r="J16" s="106"/>
      <c r="K16" s="106"/>
      <c r="L16" s="106"/>
      <c r="M16" s="106"/>
      <c r="N16" s="106"/>
      <c r="O16" s="106"/>
      <c r="P16" s="106"/>
      <c r="Q16" s="106"/>
      <c r="R16" s="106"/>
      <c r="S16" s="106"/>
      <c r="T16" s="106"/>
      <c r="U16" s="106"/>
      <c r="V16" s="476">
        <f ca="1">SUM(I16-NOW())</f>
        <v>251.61546296296</v>
      </c>
      <c r="W16" s="468" t="str">
        <f ca="1" t="shared" si="1"/>
        <v>ACTIVE</v>
      </c>
      <c r="X16" s="665">
        <v>3648036</v>
      </c>
      <c r="Y16" s="116">
        <v>18000</v>
      </c>
      <c r="Z16" s="116">
        <v>12000</v>
      </c>
      <c r="AA16" s="432" t="s">
        <v>11142</v>
      </c>
      <c r="AB16" s="116"/>
      <c r="AC16" s="207" t="s">
        <v>11132</v>
      </c>
      <c r="AD16" s="432" t="s">
        <v>11143</v>
      </c>
      <c r="AE16" s="432" t="s">
        <v>11144</v>
      </c>
      <c r="AF16" s="122" t="s">
        <v>11145</v>
      </c>
      <c r="AG16" s="122"/>
      <c r="AH16" s="122" t="s">
        <v>11146</v>
      </c>
      <c r="AI16" s="688" t="s">
        <v>11147</v>
      </c>
      <c r="AJ16" s="122" t="s">
        <v>11148</v>
      </c>
      <c r="AK16" s="691" t="s">
        <v>11149</v>
      </c>
      <c r="AL16" s="122"/>
    </row>
    <row r="17" s="459" customFormat="1" ht="21" spans="1:38">
      <c r="A17" s="161">
        <f t="shared" si="0"/>
        <v>4</v>
      </c>
      <c r="B17" s="1590" t="s">
        <v>11150</v>
      </c>
      <c r="C17" s="166" t="s">
        <v>11151</v>
      </c>
      <c r="D17" s="172">
        <v>30910</v>
      </c>
      <c r="E17" s="172" t="s">
        <v>43</v>
      </c>
      <c r="F17" s="173" t="s">
        <v>60</v>
      </c>
      <c r="G17" s="180" t="s">
        <v>2823</v>
      </c>
      <c r="H17" s="182">
        <v>42522</v>
      </c>
      <c r="I17" s="182">
        <v>42886</v>
      </c>
      <c r="J17" s="182">
        <v>43251</v>
      </c>
      <c r="K17" s="182"/>
      <c r="L17" s="182"/>
      <c r="M17" s="182"/>
      <c r="N17" s="182"/>
      <c r="O17" s="182"/>
      <c r="P17" s="182"/>
      <c r="Q17" s="182"/>
      <c r="R17" s="182"/>
      <c r="S17" s="182"/>
      <c r="T17" s="182"/>
      <c r="U17" s="182"/>
      <c r="V17" s="542">
        <f ca="1" t="shared" ref="V17:V19" si="2">SUM(J17-NOW())</f>
        <v>-21.38453703704</v>
      </c>
      <c r="W17" s="182" t="str">
        <f ca="1">IF(V17&lt;=46,"WARNING","ACTIVE")</f>
        <v>WARNING</v>
      </c>
      <c r="X17" s="678">
        <v>3648036</v>
      </c>
      <c r="Y17" s="181">
        <v>18000</v>
      </c>
      <c r="Z17" s="181">
        <v>12000</v>
      </c>
      <c r="AA17" s="180" t="s">
        <v>11142</v>
      </c>
      <c r="AB17" s="181"/>
      <c r="AC17" s="181" t="s">
        <v>11132</v>
      </c>
      <c r="AD17" s="180" t="s">
        <v>11152</v>
      </c>
      <c r="AE17" s="180" t="s">
        <v>11153</v>
      </c>
      <c r="AF17" s="224"/>
      <c r="AG17" s="224" t="s">
        <v>11154</v>
      </c>
      <c r="AH17" s="224"/>
      <c r="AI17" s="689" t="s">
        <v>11155</v>
      </c>
      <c r="AJ17" s="224" t="s">
        <v>11156</v>
      </c>
      <c r="AK17" s="224"/>
      <c r="AL17" s="224" t="s">
        <v>11157</v>
      </c>
    </row>
    <row r="18" s="93" customFormat="1" ht="20.25" customHeight="1" spans="1:60">
      <c r="A18" s="100">
        <f t="shared" si="0"/>
        <v>5</v>
      </c>
      <c r="B18" s="1585" t="s">
        <v>11158</v>
      </c>
      <c r="C18" s="463" t="s">
        <v>11159</v>
      </c>
      <c r="D18" s="170">
        <v>26457</v>
      </c>
      <c r="E18" s="170" t="s">
        <v>43</v>
      </c>
      <c r="F18" s="102" t="s">
        <v>254</v>
      </c>
      <c r="G18" s="432" t="s">
        <v>1533</v>
      </c>
      <c r="H18" s="468">
        <v>42644</v>
      </c>
      <c r="I18" s="468">
        <v>43008</v>
      </c>
      <c r="J18" s="468">
        <v>43373</v>
      </c>
      <c r="K18" s="468"/>
      <c r="L18" s="468"/>
      <c r="M18" s="468"/>
      <c r="N18" s="468"/>
      <c r="O18" s="468"/>
      <c r="P18" s="468"/>
      <c r="Q18" s="468"/>
      <c r="R18" s="468"/>
      <c r="S18" s="474"/>
      <c r="T18" s="468"/>
      <c r="U18" s="468"/>
      <c r="V18" s="540">
        <f ca="1" t="shared" si="2"/>
        <v>100.61546296296</v>
      </c>
      <c r="W18" s="468" t="str">
        <f ca="1" t="shared" ref="W18:W23" si="3">IF(V18&lt;=45,"WARNING","ACTIVE")</f>
        <v>ACTIVE</v>
      </c>
      <c r="X18" s="665">
        <v>3648036</v>
      </c>
      <c r="Y18" s="207">
        <v>18000</v>
      </c>
      <c r="Z18" s="207">
        <v>12000</v>
      </c>
      <c r="AA18" s="432" t="s">
        <v>11142</v>
      </c>
      <c r="AB18" s="207"/>
      <c r="AC18" s="207" t="s">
        <v>11122</v>
      </c>
      <c r="AD18" s="432" t="s">
        <v>11160</v>
      </c>
      <c r="AE18" s="1577" t="s">
        <v>11161</v>
      </c>
      <c r="AF18" s="122"/>
      <c r="AG18" s="122" t="s">
        <v>11162</v>
      </c>
      <c r="AH18" s="122" t="s">
        <v>11163</v>
      </c>
      <c r="AI18" s="688" t="s">
        <v>11164</v>
      </c>
      <c r="AJ18" s="122" t="s">
        <v>11165</v>
      </c>
      <c r="AK18" s="122"/>
      <c r="AL18" s="122" t="s">
        <v>11166</v>
      </c>
      <c r="BE18" s="490"/>
      <c r="BF18" s="491"/>
      <c r="BG18" s="491"/>
      <c r="BH18" s="91"/>
    </row>
    <row r="19" s="93" customFormat="1" ht="14.1" customHeight="1" spans="1:38">
      <c r="A19" s="100">
        <f t="shared" si="0"/>
        <v>6</v>
      </c>
      <c r="B19" s="1585" t="s">
        <v>11167</v>
      </c>
      <c r="C19" s="463" t="s">
        <v>11168</v>
      </c>
      <c r="D19" s="170" t="s">
        <v>11169</v>
      </c>
      <c r="E19" s="170" t="s">
        <v>125</v>
      </c>
      <c r="F19" s="102" t="s">
        <v>44</v>
      </c>
      <c r="G19" s="432" t="s">
        <v>11170</v>
      </c>
      <c r="H19" s="468">
        <v>42926</v>
      </c>
      <c r="I19" s="468">
        <v>43109</v>
      </c>
      <c r="J19" s="468">
        <v>43290</v>
      </c>
      <c r="K19" s="468"/>
      <c r="L19" s="468"/>
      <c r="M19" s="468"/>
      <c r="N19" s="468"/>
      <c r="O19" s="468"/>
      <c r="P19" s="468"/>
      <c r="Q19" s="468"/>
      <c r="R19" s="468"/>
      <c r="S19" s="474"/>
      <c r="T19" s="468"/>
      <c r="U19" s="468"/>
      <c r="V19" s="476">
        <f ca="1" t="shared" si="2"/>
        <v>17.61546296296</v>
      </c>
      <c r="W19" s="468" t="str">
        <f ca="1" t="shared" si="3"/>
        <v>WARNING</v>
      </c>
      <c r="X19" s="665">
        <v>3750000</v>
      </c>
      <c r="Y19" s="207">
        <v>23000</v>
      </c>
      <c r="Z19" s="207">
        <v>27000</v>
      </c>
      <c r="AA19" s="432"/>
      <c r="AB19" s="207"/>
      <c r="AC19" s="207" t="s">
        <v>11171</v>
      </c>
      <c r="AD19" s="432" t="s">
        <v>11172</v>
      </c>
      <c r="AE19" s="432" t="s">
        <v>11173</v>
      </c>
      <c r="AF19" s="122" t="s">
        <v>11174</v>
      </c>
      <c r="AG19" s="122"/>
      <c r="AH19" s="122"/>
      <c r="AI19" s="688"/>
      <c r="AJ19" s="122" t="s">
        <v>11175</v>
      </c>
      <c r="AK19" s="127" t="s">
        <v>11176</v>
      </c>
      <c r="AL19" s="122"/>
    </row>
    <row r="20" s="93" customFormat="1" customHeight="1" spans="1:38">
      <c r="A20" s="100">
        <f t="shared" si="0"/>
        <v>7</v>
      </c>
      <c r="B20" s="14" t="s">
        <v>11177</v>
      </c>
      <c r="C20" s="463" t="s">
        <v>11178</v>
      </c>
      <c r="D20" s="170" t="s">
        <v>11179</v>
      </c>
      <c r="E20" s="170" t="s">
        <v>125</v>
      </c>
      <c r="F20" s="102" t="s">
        <v>44</v>
      </c>
      <c r="G20" s="432" t="s">
        <v>11180</v>
      </c>
      <c r="H20" s="468">
        <v>43013</v>
      </c>
      <c r="I20" s="468">
        <v>43377</v>
      </c>
      <c r="J20" s="468"/>
      <c r="K20" s="468"/>
      <c r="L20" s="468"/>
      <c r="M20" s="468"/>
      <c r="N20" s="468"/>
      <c r="O20" s="468"/>
      <c r="P20" s="468"/>
      <c r="Q20" s="468"/>
      <c r="R20" s="468"/>
      <c r="S20" s="474"/>
      <c r="T20" s="468"/>
      <c r="U20" s="468"/>
      <c r="V20" s="476">
        <f ca="1" t="shared" ref="V20:V23" si="4">SUM(I20-NOW())</f>
        <v>104.61546296296</v>
      </c>
      <c r="W20" s="468" t="str">
        <f ca="1" t="shared" si="3"/>
        <v>ACTIVE</v>
      </c>
      <c r="X20" s="665">
        <v>4000000</v>
      </c>
      <c r="Y20" s="207">
        <v>23000</v>
      </c>
      <c r="Z20" s="207">
        <v>27000</v>
      </c>
      <c r="AA20" s="432"/>
      <c r="AB20" s="207"/>
      <c r="AC20" s="207" t="s">
        <v>11171</v>
      </c>
      <c r="AD20" s="432" t="s">
        <v>11181</v>
      </c>
      <c r="AE20" s="432" t="s">
        <v>11182</v>
      </c>
      <c r="AF20" s="122" t="s">
        <v>11183</v>
      </c>
      <c r="AG20" s="122"/>
      <c r="AH20" s="122"/>
      <c r="AI20" s="688"/>
      <c r="AJ20" s="122" t="s">
        <v>11184</v>
      </c>
      <c r="AK20" s="127" t="s">
        <v>11185</v>
      </c>
      <c r="AL20" s="122"/>
    </row>
    <row r="21" s="93" customFormat="1" customHeight="1" spans="1:38">
      <c r="A21" s="100">
        <f t="shared" si="0"/>
        <v>8</v>
      </c>
      <c r="B21" s="14" t="s">
        <v>11186</v>
      </c>
      <c r="C21" s="463" t="s">
        <v>11187</v>
      </c>
      <c r="D21" s="170" t="s">
        <v>11188</v>
      </c>
      <c r="E21" s="170" t="s">
        <v>125</v>
      </c>
      <c r="F21" s="102" t="s">
        <v>44</v>
      </c>
      <c r="G21" s="432" t="s">
        <v>11189</v>
      </c>
      <c r="H21" s="468">
        <v>43040</v>
      </c>
      <c r="I21" s="468">
        <v>43404</v>
      </c>
      <c r="J21" s="468"/>
      <c r="K21" s="468"/>
      <c r="L21" s="468"/>
      <c r="M21" s="468"/>
      <c r="N21" s="468"/>
      <c r="O21" s="468"/>
      <c r="P21" s="468"/>
      <c r="Q21" s="468"/>
      <c r="R21" s="468"/>
      <c r="S21" s="474"/>
      <c r="T21" s="468"/>
      <c r="U21" s="468"/>
      <c r="V21" s="476">
        <f ca="1" t="shared" si="4"/>
        <v>131.61546296296</v>
      </c>
      <c r="W21" s="468" t="str">
        <f ca="1" t="shared" si="3"/>
        <v>ACTIVE</v>
      </c>
      <c r="X21" s="665">
        <v>4250000</v>
      </c>
      <c r="Y21" s="207">
        <v>23000</v>
      </c>
      <c r="Z21" s="207">
        <v>27000</v>
      </c>
      <c r="AA21" s="432"/>
      <c r="AB21" s="207"/>
      <c r="AC21" s="207" t="s">
        <v>11171</v>
      </c>
      <c r="AD21" s="432" t="s">
        <v>11190</v>
      </c>
      <c r="AE21" s="432" t="s">
        <v>11191</v>
      </c>
      <c r="AF21" s="122" t="s">
        <v>11192</v>
      </c>
      <c r="AG21" s="122" t="s">
        <v>11193</v>
      </c>
      <c r="AH21" s="122"/>
      <c r="AI21" s="688"/>
      <c r="AJ21" s="122" t="s">
        <v>11194</v>
      </c>
      <c r="AK21" s="127" t="s">
        <v>11195</v>
      </c>
      <c r="AL21" s="122"/>
    </row>
    <row r="22" s="93" customFormat="1" customHeight="1" spans="1:38">
      <c r="A22" s="100">
        <f t="shared" si="0"/>
        <v>9</v>
      </c>
      <c r="B22" s="164" t="s">
        <v>11196</v>
      </c>
      <c r="C22" s="463" t="s">
        <v>11197</v>
      </c>
      <c r="D22" s="170" t="s">
        <v>11198</v>
      </c>
      <c r="E22" s="170" t="s">
        <v>43</v>
      </c>
      <c r="F22" s="102" t="s">
        <v>44</v>
      </c>
      <c r="G22" s="432" t="s">
        <v>11199</v>
      </c>
      <c r="H22" s="468">
        <v>43059</v>
      </c>
      <c r="I22" s="468">
        <v>43423</v>
      </c>
      <c r="J22" s="468"/>
      <c r="K22" s="468"/>
      <c r="L22" s="468"/>
      <c r="M22" s="468"/>
      <c r="N22" s="468"/>
      <c r="O22" s="468"/>
      <c r="P22" s="468"/>
      <c r="Q22" s="468"/>
      <c r="R22" s="468"/>
      <c r="S22" s="474"/>
      <c r="T22" s="468"/>
      <c r="U22" s="468"/>
      <c r="V22" s="476">
        <f ca="1" t="shared" si="4"/>
        <v>150.61546296296</v>
      </c>
      <c r="W22" s="468" t="str">
        <f ca="1" t="shared" si="3"/>
        <v>ACTIVE</v>
      </c>
      <c r="X22" s="665">
        <v>4250000</v>
      </c>
      <c r="Y22" s="207">
        <v>23000</v>
      </c>
      <c r="Z22" s="207">
        <v>27000</v>
      </c>
      <c r="AA22" s="432"/>
      <c r="AB22" s="207"/>
      <c r="AC22" s="207" t="s">
        <v>11171</v>
      </c>
      <c r="AD22" s="432" t="s">
        <v>11200</v>
      </c>
      <c r="AE22" s="432" t="s">
        <v>11201</v>
      </c>
      <c r="AF22" s="122" t="s">
        <v>11202</v>
      </c>
      <c r="AG22" s="122" t="s">
        <v>11203</v>
      </c>
      <c r="AH22" s="122"/>
      <c r="AI22" s="688"/>
      <c r="AJ22" s="122" t="s">
        <v>11204</v>
      </c>
      <c r="AK22" s="127" t="s">
        <v>11205</v>
      </c>
      <c r="AL22" s="122"/>
    </row>
    <row r="23" s="93" customFormat="1" customHeight="1" spans="1:38">
      <c r="A23" s="100">
        <f t="shared" si="0"/>
        <v>10</v>
      </c>
      <c r="B23" s="164" t="s">
        <v>11206</v>
      </c>
      <c r="C23" s="463" t="s">
        <v>11207</v>
      </c>
      <c r="D23" s="170" t="s">
        <v>11208</v>
      </c>
      <c r="E23" s="170" t="s">
        <v>125</v>
      </c>
      <c r="F23" s="102" t="s">
        <v>44</v>
      </c>
      <c r="G23" s="432" t="s">
        <v>11209</v>
      </c>
      <c r="H23" s="468">
        <v>43102</v>
      </c>
      <c r="I23" s="468">
        <v>43466</v>
      </c>
      <c r="J23" s="468"/>
      <c r="K23" s="468"/>
      <c r="L23" s="468"/>
      <c r="M23" s="468"/>
      <c r="N23" s="468"/>
      <c r="O23" s="468"/>
      <c r="P23" s="468"/>
      <c r="Q23" s="468"/>
      <c r="R23" s="468"/>
      <c r="S23" s="474"/>
      <c r="T23" s="468"/>
      <c r="U23" s="468"/>
      <c r="V23" s="476">
        <f ca="1" t="shared" si="4"/>
        <v>193.61546296296</v>
      </c>
      <c r="W23" s="468" t="str">
        <f ca="1" t="shared" si="3"/>
        <v>ACTIVE</v>
      </c>
      <c r="X23" s="665">
        <v>4000000</v>
      </c>
      <c r="Y23" s="207">
        <v>23000</v>
      </c>
      <c r="Z23" s="207">
        <v>27000</v>
      </c>
      <c r="AA23" s="432"/>
      <c r="AB23" s="207"/>
      <c r="AC23" s="207" t="s">
        <v>11171</v>
      </c>
      <c r="AD23" s="432" t="s">
        <v>11210</v>
      </c>
      <c r="AE23" s="432" t="s">
        <v>11211</v>
      </c>
      <c r="AF23" s="122" t="s">
        <v>11212</v>
      </c>
      <c r="AG23" s="122"/>
      <c r="AH23" s="122"/>
      <c r="AI23" s="1592" t="s">
        <v>11213</v>
      </c>
      <c r="AJ23" s="122" t="s">
        <v>11214</v>
      </c>
      <c r="AK23" s="127" t="s">
        <v>11215</v>
      </c>
      <c r="AL23" s="122"/>
    </row>
    <row r="24" s="93" customFormat="1" customHeight="1" spans="1:38">
      <c r="A24" s="521"/>
      <c r="B24" s="681"/>
      <c r="C24" s="522"/>
      <c r="D24" s="526"/>
      <c r="E24" s="526"/>
      <c r="F24" s="527"/>
      <c r="G24" s="516"/>
      <c r="H24" s="533"/>
      <c r="I24" s="533"/>
      <c r="J24" s="533"/>
      <c r="K24" s="533"/>
      <c r="L24" s="533"/>
      <c r="M24" s="533"/>
      <c r="N24" s="533"/>
      <c r="O24" s="533"/>
      <c r="P24" s="533"/>
      <c r="Q24" s="533"/>
      <c r="R24" s="533"/>
      <c r="S24" s="529"/>
      <c r="T24" s="533"/>
      <c r="U24" s="533"/>
      <c r="V24" s="546"/>
      <c r="W24" s="533"/>
      <c r="X24" s="616"/>
      <c r="Y24" s="545"/>
      <c r="Z24" s="545"/>
      <c r="AA24" s="516"/>
      <c r="AB24" s="545"/>
      <c r="AC24" s="545"/>
      <c r="AD24" s="516"/>
      <c r="AE24" s="516"/>
      <c r="AF24" s="547"/>
      <c r="AG24" s="547"/>
      <c r="AH24" s="547"/>
      <c r="AI24" s="690"/>
      <c r="AJ24" s="547"/>
      <c r="AK24" s="692"/>
      <c r="AL24" s="547"/>
    </row>
    <row r="25" s="93" customFormat="1" customHeight="1" spans="1:38">
      <c r="A25" s="521"/>
      <c r="B25" s="681"/>
      <c r="C25" s="522"/>
      <c r="D25" s="526"/>
      <c r="E25" s="526"/>
      <c r="F25" s="527"/>
      <c r="G25" s="516"/>
      <c r="H25" s="533"/>
      <c r="I25" s="533"/>
      <c r="J25" s="533"/>
      <c r="K25" s="533"/>
      <c r="L25" s="533"/>
      <c r="M25" s="533"/>
      <c r="N25" s="533"/>
      <c r="O25" s="533"/>
      <c r="P25" s="533"/>
      <c r="Q25" s="533"/>
      <c r="R25" s="533"/>
      <c r="S25" s="529"/>
      <c r="T25" s="533"/>
      <c r="U25" s="533"/>
      <c r="V25" s="546"/>
      <c r="W25" s="533"/>
      <c r="X25" s="616"/>
      <c r="Y25" s="545"/>
      <c r="Z25" s="545"/>
      <c r="AA25" s="516"/>
      <c r="AB25" s="545"/>
      <c r="AC25" s="545"/>
      <c r="AD25" s="516"/>
      <c r="AE25" s="516"/>
      <c r="AF25" s="547"/>
      <c r="AG25" s="547"/>
      <c r="AH25" s="547"/>
      <c r="AI25" s="690"/>
      <c r="AJ25" s="547"/>
      <c r="AK25" s="692"/>
      <c r="AL25" s="547"/>
    </row>
    <row r="26" s="93" customFormat="1" customHeight="1" spans="1:38">
      <c r="A26" s="521"/>
      <c r="B26" s="681"/>
      <c r="C26" s="522"/>
      <c r="D26" s="526"/>
      <c r="E26" s="526"/>
      <c r="F26" s="527"/>
      <c r="G26" s="516"/>
      <c r="H26" s="533"/>
      <c r="I26" s="533"/>
      <c r="J26" s="533"/>
      <c r="K26" s="533"/>
      <c r="L26" s="533"/>
      <c r="M26" s="533"/>
      <c r="N26" s="533"/>
      <c r="O26" s="533"/>
      <c r="P26" s="533"/>
      <c r="Q26" s="533"/>
      <c r="R26" s="533"/>
      <c r="S26" s="529"/>
      <c r="T26" s="533"/>
      <c r="U26" s="533"/>
      <c r="V26" s="546"/>
      <c r="W26" s="533"/>
      <c r="X26" s="616"/>
      <c r="Y26" s="545"/>
      <c r="Z26" s="545"/>
      <c r="AA26" s="516"/>
      <c r="AB26" s="545"/>
      <c r="AC26" s="545"/>
      <c r="AD26" s="516"/>
      <c r="AE26" s="516"/>
      <c r="AF26" s="547"/>
      <c r="AG26" s="547"/>
      <c r="AH26" s="547"/>
      <c r="AI26" s="690"/>
      <c r="AJ26" s="547"/>
      <c r="AK26" s="692"/>
      <c r="AL26" s="547"/>
    </row>
    <row r="27" s="93" customFormat="1" customHeight="1" spans="1:38">
      <c r="A27" s="521"/>
      <c r="B27" s="681"/>
      <c r="C27" s="522"/>
      <c r="D27" s="526"/>
      <c r="E27" s="526"/>
      <c r="F27" s="527"/>
      <c r="G27" s="516"/>
      <c r="H27" s="533"/>
      <c r="I27" s="533"/>
      <c r="J27" s="533"/>
      <c r="K27" s="533"/>
      <c r="L27" s="533"/>
      <c r="M27" s="533"/>
      <c r="N27" s="533"/>
      <c r="O27" s="533"/>
      <c r="P27" s="533"/>
      <c r="Q27" s="533"/>
      <c r="R27" s="533"/>
      <c r="S27" s="529"/>
      <c r="T27" s="533"/>
      <c r="U27" s="533"/>
      <c r="V27" s="546"/>
      <c r="W27" s="533"/>
      <c r="X27" s="616"/>
      <c r="Y27" s="545"/>
      <c r="Z27" s="545"/>
      <c r="AA27" s="516"/>
      <c r="AB27" s="545"/>
      <c r="AC27" s="545"/>
      <c r="AD27" s="516"/>
      <c r="AE27" s="516"/>
      <c r="AF27" s="547"/>
      <c r="AG27" s="547"/>
      <c r="AH27" s="547"/>
      <c r="AI27" s="690"/>
      <c r="AJ27" s="547"/>
      <c r="AK27" s="692"/>
      <c r="AL27" s="547"/>
    </row>
    <row r="28" s="93" customFormat="1" customHeight="1"/>
    <row r="29" s="93" customFormat="1" customHeight="1"/>
    <row r="30" s="93" customFormat="1" customHeight="1" spans="1:39">
      <c r="A30" s="464" t="s">
        <v>2552</v>
      </c>
      <c r="B30" s="465"/>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row>
    <row r="31" s="93" customFormat="1" customHeight="1" spans="1:38">
      <c r="A31" s="100">
        <v>4</v>
      </c>
      <c r="B31" s="163" t="s">
        <v>11216</v>
      </c>
      <c r="C31" s="166" t="s">
        <v>11217</v>
      </c>
      <c r="D31" s="180" t="s">
        <v>11218</v>
      </c>
      <c r="E31" s="180" t="s">
        <v>125</v>
      </c>
      <c r="F31" s="173" t="s">
        <v>44</v>
      </c>
      <c r="G31" s="180" t="s">
        <v>11219</v>
      </c>
      <c r="H31" s="684">
        <v>42402</v>
      </c>
      <c r="I31" s="684">
        <v>42583</v>
      </c>
      <c r="J31" s="684">
        <v>42948</v>
      </c>
      <c r="K31" s="684">
        <v>42978</v>
      </c>
      <c r="L31" s="472"/>
      <c r="M31" s="472"/>
      <c r="N31" s="472"/>
      <c r="O31" s="472"/>
      <c r="P31" s="472"/>
      <c r="Q31" s="472"/>
      <c r="R31" s="472"/>
      <c r="S31" s="472"/>
      <c r="T31" s="472"/>
      <c r="U31" s="472"/>
      <c r="V31" s="542">
        <v>-22.5913855324106</v>
      </c>
      <c r="W31" s="182" t="s">
        <v>2569</v>
      </c>
      <c r="X31" s="686">
        <v>3680500</v>
      </c>
      <c r="Y31" s="179">
        <v>18000</v>
      </c>
      <c r="Z31" s="179">
        <v>12000</v>
      </c>
      <c r="AA31" s="163" t="s">
        <v>11220</v>
      </c>
      <c r="AB31" s="472"/>
      <c r="AC31" s="181" t="s">
        <v>11122</v>
      </c>
      <c r="AD31" s="180" t="s">
        <v>11221</v>
      </c>
      <c r="AE31" s="1593" t="s">
        <v>11222</v>
      </c>
      <c r="AF31" s="224" t="s">
        <v>11223</v>
      </c>
      <c r="AG31" s="224" t="s">
        <v>11224</v>
      </c>
      <c r="AH31" s="224"/>
      <c r="AI31" s="689" t="s">
        <v>11225</v>
      </c>
      <c r="AJ31" s="224" t="s">
        <v>11226</v>
      </c>
      <c r="AK31" s="232" t="s">
        <v>11227</v>
      </c>
      <c r="AL31" s="224" t="s">
        <v>2828</v>
      </c>
    </row>
    <row r="32" s="93" customFormat="1" customHeight="1" spans="1:38">
      <c r="A32" s="161">
        <v>5</v>
      </c>
      <c r="B32" s="180" t="s">
        <v>11228</v>
      </c>
      <c r="C32" s="682" t="s">
        <v>11229</v>
      </c>
      <c r="D32" s="683" t="s">
        <v>11230</v>
      </c>
      <c r="E32" s="683" t="s">
        <v>125</v>
      </c>
      <c r="F32" s="180" t="s">
        <v>44</v>
      </c>
      <c r="G32" s="180" t="s">
        <v>11231</v>
      </c>
      <c r="H32" s="685">
        <v>42450</v>
      </c>
      <c r="I32" s="685">
        <v>42814</v>
      </c>
      <c r="J32" s="685">
        <v>43179</v>
      </c>
      <c r="K32" s="180"/>
      <c r="L32" s="180"/>
      <c r="M32" s="180"/>
      <c r="N32" s="180"/>
      <c r="O32" s="180"/>
      <c r="P32" s="180"/>
      <c r="Q32" s="180"/>
      <c r="R32" s="180"/>
      <c r="S32" s="180"/>
      <c r="T32" s="180"/>
      <c r="U32" s="180"/>
      <c r="V32" s="542">
        <v>178.408614467589</v>
      </c>
      <c r="W32" s="182" t="s">
        <v>745</v>
      </c>
      <c r="X32" s="687">
        <v>4328000</v>
      </c>
      <c r="Y32" s="687">
        <v>18000</v>
      </c>
      <c r="Z32" s="687">
        <v>12000</v>
      </c>
      <c r="AA32" s="180" t="s">
        <v>11232</v>
      </c>
      <c r="AB32" s="180"/>
      <c r="AC32" s="181" t="s">
        <v>11132</v>
      </c>
      <c r="AD32" s="683" t="s">
        <v>11233</v>
      </c>
      <c r="AE32" s="1594" t="s">
        <v>11234</v>
      </c>
      <c r="AF32" s="224" t="s">
        <v>11235</v>
      </c>
      <c r="AG32" s="224"/>
      <c r="AH32" s="224"/>
      <c r="AI32" s="1595" t="s">
        <v>11236</v>
      </c>
      <c r="AJ32" s="224" t="s">
        <v>11237</v>
      </c>
      <c r="AK32" s="224" t="s">
        <v>11238</v>
      </c>
      <c r="AL32" s="224" t="s">
        <v>11239</v>
      </c>
    </row>
    <row r="33" s="93" customFormat="1" customHeight="1" spans="1:38">
      <c r="A33" s="161">
        <v>9</v>
      </c>
      <c r="B33" s="1590" t="s">
        <v>11240</v>
      </c>
      <c r="C33" s="166" t="s">
        <v>11241</v>
      </c>
      <c r="D33" s="172" t="s">
        <v>11242</v>
      </c>
      <c r="E33" s="172" t="s">
        <v>125</v>
      </c>
      <c r="F33" s="173" t="s">
        <v>44</v>
      </c>
      <c r="G33" s="180" t="s">
        <v>11243</v>
      </c>
      <c r="H33" s="182">
        <v>42948</v>
      </c>
      <c r="I33" s="182">
        <v>43131</v>
      </c>
      <c r="J33" s="182"/>
      <c r="K33" s="182"/>
      <c r="L33" s="182"/>
      <c r="M33" s="182"/>
      <c r="N33" s="182"/>
      <c r="O33" s="182"/>
      <c r="P33" s="182"/>
      <c r="Q33" s="182"/>
      <c r="R33" s="182"/>
      <c r="S33" s="472"/>
      <c r="T33" s="182"/>
      <c r="U33" s="182"/>
      <c r="V33" s="477">
        <v>130.408614467589</v>
      </c>
      <c r="W33" s="182" t="s">
        <v>745</v>
      </c>
      <c r="X33" s="678">
        <v>4000000</v>
      </c>
      <c r="Y33" s="181">
        <v>23000</v>
      </c>
      <c r="Z33" s="181">
        <v>27000</v>
      </c>
      <c r="AA33" s="180"/>
      <c r="AB33" s="181"/>
      <c r="AC33" s="181" t="s">
        <v>11132</v>
      </c>
      <c r="AD33" s="180" t="s">
        <v>11244</v>
      </c>
      <c r="AE33" s="180" t="s">
        <v>11245</v>
      </c>
      <c r="AF33" s="224" t="s">
        <v>11246</v>
      </c>
      <c r="AG33" s="224" t="s">
        <v>11247</v>
      </c>
      <c r="AH33" s="224"/>
      <c r="AI33" s="1595" t="s">
        <v>11248</v>
      </c>
      <c r="AJ33" s="224" t="s">
        <v>11249</v>
      </c>
      <c r="AK33" s="229" t="s">
        <v>11250</v>
      </c>
      <c r="AL33" s="224" t="s">
        <v>11251</v>
      </c>
    </row>
    <row r="34" s="93" customFormat="1" customHeight="1" spans="1:38">
      <c r="A34" s="161">
        <f>ROW()-13</f>
        <v>21</v>
      </c>
      <c r="B34" s="168" t="s">
        <v>11252</v>
      </c>
      <c r="C34" s="166" t="s">
        <v>11253</v>
      </c>
      <c r="D34" s="172" t="s">
        <v>11254</v>
      </c>
      <c r="E34" s="172" t="s">
        <v>43</v>
      </c>
      <c r="F34" s="173"/>
      <c r="G34" s="180" t="s">
        <v>1533</v>
      </c>
      <c r="H34" s="182">
        <v>43038</v>
      </c>
      <c r="I34" s="182">
        <v>43068</v>
      </c>
      <c r="J34" s="182"/>
      <c r="K34" s="182"/>
      <c r="L34" s="182"/>
      <c r="M34" s="182"/>
      <c r="N34" s="182"/>
      <c r="O34" s="182"/>
      <c r="P34" s="182"/>
      <c r="Q34" s="182"/>
      <c r="R34" s="182"/>
      <c r="S34" s="472"/>
      <c r="T34" s="182"/>
      <c r="U34" s="182"/>
      <c r="V34" s="477">
        <f ca="1" t="shared" ref="V34:V38" si="5">SUM(I34-NOW())</f>
        <v>-204.38453703704</v>
      </c>
      <c r="W34" s="182" t="str">
        <f ca="1" t="shared" ref="W34:W38" si="6">IF(V34&lt;=45,"WARNING","ACTIVE")</f>
        <v>WARNING</v>
      </c>
      <c r="X34" s="678">
        <v>3355750</v>
      </c>
      <c r="Y34" s="181">
        <v>18000</v>
      </c>
      <c r="Z34" s="181">
        <v>12000</v>
      </c>
      <c r="AA34" s="180"/>
      <c r="AB34" s="181"/>
      <c r="AC34" s="181"/>
      <c r="AD34" s="180" t="s">
        <v>11255</v>
      </c>
      <c r="AE34" s="180"/>
      <c r="AF34" s="224"/>
      <c r="AG34" s="224"/>
      <c r="AH34" s="224"/>
      <c r="AI34" s="689"/>
      <c r="AJ34" s="224" t="s">
        <v>11256</v>
      </c>
      <c r="AK34" s="229"/>
      <c r="AL34" s="224" t="s">
        <v>11257</v>
      </c>
    </row>
    <row r="35" s="93" customFormat="1" customHeight="1" spans="1:38">
      <c r="A35" s="161">
        <f t="shared" si="0"/>
        <v>22</v>
      </c>
      <c r="B35" s="1590" t="s">
        <v>11117</v>
      </c>
      <c r="C35" s="166" t="s">
        <v>11118</v>
      </c>
      <c r="D35" s="172">
        <v>20322</v>
      </c>
      <c r="E35" s="172" t="s">
        <v>43</v>
      </c>
      <c r="F35" s="173" t="s">
        <v>11119</v>
      </c>
      <c r="G35" s="180" t="s">
        <v>1533</v>
      </c>
      <c r="H35" s="182">
        <v>41233</v>
      </c>
      <c r="I35" s="182">
        <v>41650</v>
      </c>
      <c r="J35" s="182">
        <v>41962</v>
      </c>
      <c r="K35" s="182"/>
      <c r="L35" s="182"/>
      <c r="M35" s="182">
        <v>41963</v>
      </c>
      <c r="N35" s="182">
        <v>42327</v>
      </c>
      <c r="O35" s="182"/>
      <c r="P35" s="182"/>
      <c r="Q35" s="182"/>
      <c r="R35" s="182">
        <v>42358</v>
      </c>
      <c r="S35" s="182">
        <v>43088</v>
      </c>
      <c r="T35" s="182">
        <v>43089</v>
      </c>
      <c r="U35" s="182">
        <v>43150</v>
      </c>
      <c r="V35" s="477">
        <f ca="1">SUM(U35-NOW())</f>
        <v>-122.38453703704</v>
      </c>
      <c r="W35" s="182" t="str">
        <f ca="1" t="shared" si="6"/>
        <v>WARNING</v>
      </c>
      <c r="X35" s="678">
        <v>3648036</v>
      </c>
      <c r="Y35" s="181">
        <v>18000</v>
      </c>
      <c r="Z35" s="181" t="s">
        <v>11120</v>
      </c>
      <c r="AA35" s="180" t="s">
        <v>11121</v>
      </c>
      <c r="AB35" s="181"/>
      <c r="AC35" s="181" t="s">
        <v>11122</v>
      </c>
      <c r="AD35" s="180" t="s">
        <v>11123</v>
      </c>
      <c r="AE35" s="180" t="s">
        <v>11124</v>
      </c>
      <c r="AF35" s="224"/>
      <c r="AG35" s="224" t="s">
        <v>11125</v>
      </c>
      <c r="AH35" s="224"/>
      <c r="AI35" s="689" t="s">
        <v>11126</v>
      </c>
      <c r="AJ35" s="224" t="s">
        <v>11127</v>
      </c>
      <c r="AK35" s="224"/>
      <c r="AL35" s="224" t="s">
        <v>7715</v>
      </c>
    </row>
    <row r="36" s="93" customFormat="1" customHeight="1" spans="1:38">
      <c r="A36" s="161">
        <f t="shared" si="0"/>
        <v>23</v>
      </c>
      <c r="B36" s="1590" t="s">
        <v>11139</v>
      </c>
      <c r="C36" s="166" t="s">
        <v>11140</v>
      </c>
      <c r="D36" s="171" t="s">
        <v>11141</v>
      </c>
      <c r="E36" s="171" t="s">
        <v>43</v>
      </c>
      <c r="F36" s="173" t="s">
        <v>44</v>
      </c>
      <c r="G36" s="180" t="s">
        <v>2823</v>
      </c>
      <c r="H36" s="175">
        <v>42006</v>
      </c>
      <c r="I36" s="175">
        <v>42185</v>
      </c>
      <c r="J36" s="175">
        <v>42551</v>
      </c>
      <c r="K36" s="175">
        <v>42735</v>
      </c>
      <c r="L36" s="175"/>
      <c r="M36" s="175">
        <v>42736</v>
      </c>
      <c r="N36" s="175">
        <v>42916</v>
      </c>
      <c r="O36" s="175">
        <v>43100</v>
      </c>
      <c r="P36" s="175">
        <v>43101</v>
      </c>
      <c r="Q36" s="175">
        <v>43159</v>
      </c>
      <c r="R36" s="175"/>
      <c r="S36" s="175"/>
      <c r="T36" s="175"/>
      <c r="U36" s="175"/>
      <c r="V36" s="542">
        <f ca="1">SUM(Q36-NOW())</f>
        <v>-113.38453703704</v>
      </c>
      <c r="W36" s="182" t="str">
        <f ca="1" t="shared" si="6"/>
        <v>WARNING</v>
      </c>
      <c r="X36" s="678">
        <v>3648036</v>
      </c>
      <c r="Y36" s="179">
        <v>18000</v>
      </c>
      <c r="Z36" s="179">
        <v>12000</v>
      </c>
      <c r="AA36" s="180" t="s">
        <v>11142</v>
      </c>
      <c r="AB36" s="179"/>
      <c r="AC36" s="181" t="s">
        <v>11132</v>
      </c>
      <c r="AD36" s="180" t="s">
        <v>11143</v>
      </c>
      <c r="AE36" s="180" t="s">
        <v>11144</v>
      </c>
      <c r="AF36" s="224" t="s">
        <v>11145</v>
      </c>
      <c r="AG36" s="224"/>
      <c r="AH36" s="224" t="s">
        <v>11146</v>
      </c>
      <c r="AI36" s="689" t="s">
        <v>11147</v>
      </c>
      <c r="AJ36" s="224" t="s">
        <v>11148</v>
      </c>
      <c r="AK36" s="232" t="s">
        <v>11149</v>
      </c>
      <c r="AL36" s="224" t="s">
        <v>7715</v>
      </c>
    </row>
    <row r="37" s="459" customFormat="1" customHeight="1" spans="1:38">
      <c r="A37" s="161">
        <f t="shared" si="0"/>
        <v>24</v>
      </c>
      <c r="B37" s="168" t="s">
        <v>11258</v>
      </c>
      <c r="C37" s="166" t="s">
        <v>11259</v>
      </c>
      <c r="D37" s="172" t="s">
        <v>11260</v>
      </c>
      <c r="E37" s="172" t="s">
        <v>43</v>
      </c>
      <c r="F37" s="173" t="s">
        <v>44</v>
      </c>
      <c r="G37" s="180" t="s">
        <v>11261</v>
      </c>
      <c r="H37" s="182">
        <v>43102</v>
      </c>
      <c r="I37" s="182">
        <v>43466</v>
      </c>
      <c r="J37" s="182"/>
      <c r="K37" s="182"/>
      <c r="L37" s="182"/>
      <c r="M37" s="182"/>
      <c r="N37" s="182"/>
      <c r="O37" s="182"/>
      <c r="P37" s="182"/>
      <c r="Q37" s="182"/>
      <c r="R37" s="182"/>
      <c r="S37" s="472"/>
      <c r="T37" s="182"/>
      <c r="U37" s="182"/>
      <c r="V37" s="477">
        <f ca="1" t="shared" si="5"/>
        <v>193.61546296296</v>
      </c>
      <c r="W37" s="182" t="str">
        <f ca="1" t="shared" si="6"/>
        <v>ACTIVE</v>
      </c>
      <c r="X37" s="678">
        <v>4000000</v>
      </c>
      <c r="Y37" s="181">
        <v>23000</v>
      </c>
      <c r="Z37" s="181">
        <v>27000</v>
      </c>
      <c r="AA37" s="180"/>
      <c r="AB37" s="181"/>
      <c r="AC37" s="181" t="s">
        <v>11171</v>
      </c>
      <c r="AD37" s="180" t="s">
        <v>11262</v>
      </c>
      <c r="AE37" s="180">
        <v>82211123465</v>
      </c>
      <c r="AF37" s="224" t="s">
        <v>11263</v>
      </c>
      <c r="AG37" s="224" t="s">
        <v>11264</v>
      </c>
      <c r="AH37" s="224"/>
      <c r="AI37" s="1595" t="s">
        <v>11265</v>
      </c>
      <c r="AJ37" s="224" t="s">
        <v>11266</v>
      </c>
      <c r="AK37" s="229" t="s">
        <v>11267</v>
      </c>
      <c r="AL37" s="224" t="s">
        <v>6447</v>
      </c>
    </row>
    <row r="38" s="93" customFormat="1" customHeight="1" spans="1:38">
      <c r="A38" s="161">
        <f t="shared" si="0"/>
        <v>25</v>
      </c>
      <c r="B38" s="1590" t="s">
        <v>11268</v>
      </c>
      <c r="C38" s="166" t="s">
        <v>11269</v>
      </c>
      <c r="D38" s="172" t="s">
        <v>11270</v>
      </c>
      <c r="E38" s="172" t="s">
        <v>125</v>
      </c>
      <c r="F38" s="173" t="s">
        <v>44</v>
      </c>
      <c r="G38" s="180" t="s">
        <v>11243</v>
      </c>
      <c r="H38" s="182">
        <v>43017</v>
      </c>
      <c r="I38" s="182">
        <v>43198</v>
      </c>
      <c r="J38" s="182"/>
      <c r="K38" s="182"/>
      <c r="L38" s="182"/>
      <c r="M38" s="182"/>
      <c r="N38" s="182"/>
      <c r="O38" s="182"/>
      <c r="P38" s="182"/>
      <c r="Q38" s="182"/>
      <c r="R38" s="182"/>
      <c r="S38" s="472"/>
      <c r="T38" s="182"/>
      <c r="U38" s="182"/>
      <c r="V38" s="477">
        <f ca="1" t="shared" si="5"/>
        <v>-74.38453703704</v>
      </c>
      <c r="W38" s="182" t="str">
        <f ca="1" t="shared" si="6"/>
        <v>WARNING</v>
      </c>
      <c r="X38" s="678">
        <v>4000000</v>
      </c>
      <c r="Y38" s="181">
        <v>23000</v>
      </c>
      <c r="Z38" s="181">
        <v>27000</v>
      </c>
      <c r="AA38" s="180"/>
      <c r="AB38" s="181"/>
      <c r="AC38" s="181" t="s">
        <v>11171</v>
      </c>
      <c r="AD38" s="180"/>
      <c r="AE38" s="180">
        <v>82112801030</v>
      </c>
      <c r="AF38" s="224" t="s">
        <v>11271</v>
      </c>
      <c r="AG38" s="224"/>
      <c r="AH38" s="224"/>
      <c r="AI38" s="689"/>
      <c r="AJ38" s="224" t="s">
        <v>11272</v>
      </c>
      <c r="AK38" s="229" t="s">
        <v>11273</v>
      </c>
      <c r="AL38" s="224" t="s">
        <v>11274</v>
      </c>
    </row>
    <row r="39" s="93" customFormat="1" customHeight="1"/>
    <row r="40" s="93" customFormat="1" customHeight="1"/>
    <row r="41" s="93" customFormat="1" customHeight="1"/>
    <row r="42" s="93" customFormat="1" customHeight="1"/>
    <row r="43" s="93" customFormat="1" customHeight="1"/>
    <row r="44" s="93" customFormat="1" customHeight="1"/>
    <row r="45" s="93" customFormat="1" customHeight="1"/>
    <row r="46" s="93" customFormat="1" customHeight="1"/>
    <row r="47" s="93" customFormat="1" customHeight="1"/>
    <row r="48" s="93" customFormat="1" customHeight="1"/>
    <row r="49" s="93" customFormat="1" customHeight="1"/>
    <row r="50" s="93" customFormat="1" customHeight="1"/>
    <row r="51" s="93" customFormat="1" customHeight="1"/>
    <row r="52" s="93" customFormat="1" customHeight="1"/>
    <row r="53" s="93" customFormat="1" customHeight="1"/>
    <row r="54" s="93" customFormat="1" customHeight="1"/>
    <row r="55" s="93" customFormat="1" customHeight="1"/>
    <row r="56" s="93" customFormat="1" customHeight="1"/>
    <row r="57" s="93" customFormat="1" customHeight="1"/>
    <row r="58" s="93" customFormat="1" customHeight="1"/>
    <row r="59" s="93" customFormat="1" customHeight="1"/>
    <row r="60" s="93" customFormat="1" customHeight="1"/>
    <row r="61" s="93" customFormat="1" customHeight="1"/>
    <row r="62" s="93" customFormat="1" customHeight="1"/>
    <row r="63" s="93" customFormat="1" customHeight="1"/>
    <row r="64" s="93" customFormat="1" customHeight="1"/>
    <row r="65" s="93" customFormat="1" customHeight="1"/>
    <row r="66" s="93" customFormat="1" customHeight="1"/>
    <row r="67" s="93" customFormat="1" customHeight="1"/>
    <row r="68" s="93" customFormat="1" customHeight="1"/>
    <row r="69" s="93" customFormat="1" customHeight="1"/>
    <row r="70" s="93" customFormat="1" customHeight="1"/>
    <row r="71" s="93" customFormat="1" customHeight="1"/>
    <row r="72" s="93" customFormat="1" customHeight="1"/>
    <row r="73" s="93" customFormat="1" customHeight="1"/>
    <row r="74" s="93" customFormat="1" customHeight="1"/>
    <row r="75" s="93" customFormat="1" customHeight="1"/>
    <row r="76" s="93" customFormat="1" customHeight="1"/>
    <row r="77" s="93" customFormat="1" customHeight="1"/>
    <row r="78" s="93" customFormat="1" customHeight="1"/>
    <row r="79" s="93" customFormat="1" customHeight="1"/>
    <row r="80" s="93" customFormat="1" customHeight="1"/>
    <row r="81" s="93" customFormat="1" customHeight="1"/>
  </sheetData>
  <mergeCells count="36">
    <mergeCell ref="A1:C1"/>
    <mergeCell ref="A2:C2"/>
    <mergeCell ref="A3:C3"/>
    <mergeCell ref="A6:C6"/>
    <mergeCell ref="X6:AC6"/>
    <mergeCell ref="A8:AE8"/>
    <mergeCell ref="A9:AE9"/>
    <mergeCell ref="H12:I12"/>
    <mergeCell ref="J12:L12"/>
    <mergeCell ref="M12:N12"/>
    <mergeCell ref="P12:Q12"/>
    <mergeCell ref="R12:S12"/>
    <mergeCell ref="T12:U12"/>
    <mergeCell ref="A12:A13"/>
    <mergeCell ref="B12:B13"/>
    <mergeCell ref="C12:C13"/>
    <mergeCell ref="D12:D13"/>
    <mergeCell ref="F12:F13"/>
    <mergeCell ref="G12:G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 ref="AL12:AL13"/>
  </mergeCells>
  <conditionalFormatting sqref="D17:W17;AF31:AL32;G31:G32;AC31:AC32;V31:W33;Y33:Z33;D33:R33;AB33;AD33:AL33;T18:W18;Y17:Z21;E20:F21;AB17:AL19;D14:AL16;D24:R27;D37:R37;AC23;V23:X23;T24:AL27;T37:AL37;D18:R19;V19:W22;B14:B19">
    <cfRule type="expression" dxfId="1087" priority="1" stopIfTrue="1">
      <formula>IF(OR($BE14="not",$BE14="resign",$BE14="resign",$BE14="end",$BE14="terminated",$BE14="permanent"),"TRUE","FALSE")</formula>
    </cfRule>
  </conditionalFormatting>
  <conditionalFormatting sqref="AA17:AA18">
    <cfRule type="expression" dxfId="1088" priority="2" stopIfTrue="1">
      <formula>IF(OR($BE17="not",$BE17="resign",$BE17="resign",$BE17="end",$BE17="terminated",$BE17="permanent"),"TRUE","FALSE")</formula>
    </cfRule>
  </conditionalFormatting>
  <conditionalFormatting sqref="T19:U19">
    <cfRule type="expression" dxfId="1089" priority="3" stopIfTrue="1">
      <formula>IF(OR($BE19="not",$BE19="resign",$BE19="resign",$BE19="end",$BE19="terminated",$BE19="permanent"),"TRUE","FALSE")</formula>
    </cfRule>
  </conditionalFormatting>
  <conditionalFormatting sqref="AA19">
    <cfRule type="expression" dxfId="1090" priority="4" stopIfTrue="1">
      <formula>IF(OR($BE19="not",$BE19="resign",$BE19="resign",$BE19="end",$BE19="terminated",$BE19="permanent"),"TRUE","FALSE")</formula>
    </cfRule>
  </conditionalFormatting>
  <conditionalFormatting sqref="X19">
    <cfRule type="expression" dxfId="1091" priority="5" stopIfTrue="1">
      <formula>IF(OR($BE19="not",$BE19="resign",$BE19="resign",$BE19="end",$BE19="terminated",$BE19="permanent"),"TRUE","FALSE")</formula>
    </cfRule>
  </conditionalFormatting>
  <conditionalFormatting sqref="F31">
    <cfRule type="expression" dxfId="1092" priority="6" stopIfTrue="1">
      <formula>IF(OR($BE31="not",$BE31="resign",$BE31="resign",$BE31="end",$BE31="terminated",$BE31="permanent"),"TRUE","FALSE")</formula>
    </cfRule>
  </conditionalFormatting>
  <conditionalFormatting sqref="Y31:Z31">
    <cfRule type="expression" dxfId="1093" priority="7" stopIfTrue="1">
      <formula>IF(OR(#REF!="not",#REF!="resign",#REF!="resign",#REF!="end",#REF!="terminated",#REF!="permanent"),"TRUE","FALSE")</formula>
    </cfRule>
  </conditionalFormatting>
  <conditionalFormatting sqref="B33">
    <cfRule type="expression" dxfId="1094" priority="8" stopIfTrue="1">
      <formula>IF(OR($BE33="not",$BE33="resign",$BE33="resign",$BE33="end",$BE33="terminated",$BE33="permanent"),"TRUE","FALSE")</formula>
    </cfRule>
  </conditionalFormatting>
  <conditionalFormatting sqref="AA33">
    <cfRule type="expression" dxfId="1095" priority="9" stopIfTrue="1">
      <formula>IF(OR(#REF!="not",#REF!="resign",#REF!="resign",#REF!="end",#REF!="terminated",#REF!="permanent"),"TRUE","FALSE")</formula>
    </cfRule>
  </conditionalFormatting>
  <conditionalFormatting sqref="T33:U33">
    <cfRule type="expression" dxfId="1096" priority="10" stopIfTrue="1">
      <formula>IF(OR($BE33="not",$BE33="resign",$BE33="resign",$BE33="end",$BE33="terminated",$BE33="permanent"),"TRUE","FALSE")</formula>
    </cfRule>
  </conditionalFormatting>
  <conditionalFormatting sqref="X33">
    <cfRule type="expression" dxfId="1097" priority="11" stopIfTrue="1">
      <formula>IF(OR($BE33="not",$BE33="resign",$BE33="resign",$BE33="end",$BE33="terminated",$BE33="permanent"),"TRUE","FALSE")</formula>
    </cfRule>
  </conditionalFormatting>
  <conditionalFormatting sqref="AC33">
    <cfRule type="expression" dxfId="1098" priority="12" stopIfTrue="1">
      <formula>IF(OR($BE33="not",$BE33="resign",$BE33="resign",$BE33="end",$BE33="terminated",$BE33="permanent"),"TRUE","FALSE")</formula>
    </cfRule>
  </conditionalFormatting>
  <conditionalFormatting sqref="T20:U20;D20;AA20:AB20;AD20:AL20;G20:R20;X20">
    <cfRule type="expression" dxfId="1099" priority="13" stopIfTrue="1">
      <formula>IF(OR($BE20="not",$BE20="resign",$BE20="resign",$BE20="end",$BE20="terminated",$BE20="permanent"),"TRUE","FALSE")</formula>
    </cfRule>
  </conditionalFormatting>
  <conditionalFormatting sqref="AC20:AC22">
    <cfRule type="expression" dxfId="1100" priority="14" stopIfTrue="1">
      <formula>IF(OR($BE20="not",$BE20="resign",$BE20="resign",$BE20="end",$BE20="terminated",$BE20="permanent"),"TRUE","FALSE")</formula>
    </cfRule>
  </conditionalFormatting>
  <conditionalFormatting sqref="T21:U21;D21;AA21:AB21;AD21:AL21;G21:R21;X21">
    <cfRule type="expression" dxfId="1101" priority="15" stopIfTrue="1">
      <formula>IF(OR($BE21="not",$BE21="resign",$BE21="resign",$BE21="end",$BE21="terminated",$BE21="permanent"),"TRUE","FALSE")</formula>
    </cfRule>
  </conditionalFormatting>
  <conditionalFormatting sqref="B20">
    <cfRule type="expression" dxfId="1102" priority="16" stopIfTrue="1">
      <formula>IF(OR(#REF!="not",#REF!="resign",#REF!="resign",#REF!="end",#REF!="terminated",#REF!="permanent"),"TRUE","FALSE")</formula>
    </cfRule>
  </conditionalFormatting>
  <conditionalFormatting sqref="D34;AD34:AL34;F34:R34;V34:AB34">
    <cfRule type="expression" dxfId="1103" priority="17" stopIfTrue="1">
      <formula>IF(OR(#REF!="not",#REF!="resign",#REF!="resign",#REF!="end",#REF!="terminated",#REF!="permanent"),"TRUE","FALSE")</formula>
    </cfRule>
  </conditionalFormatting>
  <conditionalFormatting sqref="AC34">
    <cfRule type="expression" dxfId="1104" priority="18" stopIfTrue="1">
      <formula>IF(OR(#REF!="not",#REF!="resign",#REF!="resign",#REF!="end",#REF!="terminated",#REF!="permanent"),"TRUE","FALSE")</formula>
    </cfRule>
  </conditionalFormatting>
  <conditionalFormatting sqref="T34:U34">
    <cfRule type="expression" dxfId="1105" priority="19" stopIfTrue="1">
      <formula>IF(OR(#REF!="not",#REF!="resign",#REF!="resign",#REF!="end",#REF!="terminated",#REF!="permanent"),"TRUE","FALSE")</formula>
    </cfRule>
  </conditionalFormatting>
  <conditionalFormatting sqref="B21">
    <cfRule type="expression" dxfId="1106" priority="20" stopIfTrue="1">
      <formula>IF(OR(#REF!="not",#REF!="resign",#REF!="resign",#REF!="end",#REF!="terminated",#REF!="permanent"),"TRUE","FALSE")</formula>
    </cfRule>
  </conditionalFormatting>
  <conditionalFormatting sqref="Y22:Z22;E22:F22">
    <cfRule type="expression" dxfId="1107" priority="21" stopIfTrue="1">
      <formula>IF(OR($BE22="not",$BE22="resign",$BE22="resign",$BE22="end",$BE22="terminated",$BE22="permanent"),"TRUE","FALSE")</formula>
    </cfRule>
  </conditionalFormatting>
  <conditionalFormatting sqref="T22:U22;D22;AA22:AB22;AD22:AL22;G22:R22;X22">
    <cfRule type="expression" dxfId="1108" priority="22" stopIfTrue="1">
      <formula>IF(OR($BE22="not",$BE22="resign",$BE22="resign",$BE22="end",$BE22="terminated",$BE22="permanent"),"TRUE","FALSE")</formula>
    </cfRule>
  </conditionalFormatting>
  <conditionalFormatting sqref="E34">
    <cfRule type="expression" dxfId="1109" priority="23" stopIfTrue="1">
      <formula>IF(OR(#REF!="not",#REF!="resign",#REF!="resign",#REF!="end",#REF!="terminated",#REF!="permanent"),"TRUE","FALSE")</formula>
    </cfRule>
  </conditionalFormatting>
  <conditionalFormatting sqref="E23:F23">
    <cfRule type="expression" dxfId="1110" priority="24" stopIfTrue="1">
      <formula>IF(OR($BE23="not",$BE23="resign",$BE23="resign",$BE23="end",$BE23="terminated",$BE23="permanent"),"TRUE","FALSE")</formula>
    </cfRule>
  </conditionalFormatting>
  <conditionalFormatting sqref="T23:U23;D23;AA23:AB23;AD23:AL23;G23:R23">
    <cfRule type="expression" dxfId="1111" priority="25" stopIfTrue="1">
      <formula>IF(OR($BE23="not",$BE23="resign",$BE23="resign",$BE23="end",$BE23="terminated",$BE23="permanent"),"TRUE","FALSE")</formula>
    </cfRule>
  </conditionalFormatting>
  <conditionalFormatting sqref="Y23:Z23">
    <cfRule type="expression" dxfId="1112" priority="26" stopIfTrue="1">
      <formula>IF(OR($BE23="not",$BE23="resign",$BE23="resign",$BE23="end",$BE23="terminated",$BE23="permanent"),"TRUE","FALSE")</formula>
    </cfRule>
  </conditionalFormatting>
  <conditionalFormatting sqref="X17">
    <cfRule type="expression" dxfId="1113" priority="27" stopIfTrue="1">
      <formula>IF(OR($BE17="not",$BE17="resign",$BE17="resign",$BE17="end",$BE17="terminated",$BE17="permanent"),"TRUE","FALSE")</formula>
    </cfRule>
  </conditionalFormatting>
  <conditionalFormatting sqref="X18">
    <cfRule type="expression" dxfId="1114" priority="28" stopIfTrue="1">
      <formula>IF(OR($BE18="not",$BE18="resign",$BE18="resign",$BE18="end",$BE18="terminated",$BE18="permanent"),"TRUE","FALSE")</formula>
    </cfRule>
  </conditionalFormatting>
  <conditionalFormatting sqref="B35;D35:AL35">
    <cfRule type="expression" dxfId="1115" priority="29" stopIfTrue="1">
      <formula>IF(OR(#REF!="not",#REF!="resign",#REF!="resign",#REF!="end",#REF!="terminated",#REF!="permanent"),"TRUE","FALSE")</formula>
    </cfRule>
  </conditionalFormatting>
  <conditionalFormatting sqref="B36;D36:AK36">
    <cfRule type="expression" dxfId="1116" priority="30" stopIfTrue="1">
      <formula>IF(OR(#REF!="not",#REF!="resign",#REF!="resign",#REF!="end",#REF!="terminated",#REF!="permanent"),"TRUE","FALSE")</formula>
    </cfRule>
  </conditionalFormatting>
  <conditionalFormatting sqref="AL36">
    <cfRule type="expression" dxfId="1117" priority="31" stopIfTrue="1">
      <formula>IF(OR(#REF!="not",#REF!="resign",#REF!="resign",#REF!="end",#REF!="terminated",#REF!="permanent"),"TRUE","FALSE")</formula>
    </cfRule>
  </conditionalFormatting>
  <conditionalFormatting sqref="D38:R38;B38;T38:AL38">
    <cfRule type="expression" dxfId="1118" priority="32" stopIfTrue="1">
      <formula>IF(OR(#REF!="not",#REF!="resign",#REF!="resign",#REF!="end",#REF!="terminated",#REF!="permanent"),"TRUE","FALSE")</formula>
    </cfRule>
  </conditionalFormatting>
  <hyperlinks>
    <hyperlink ref="AK36" location="" display="farhan_achan19@yahoo.co.id"/>
    <hyperlink ref="AH36" location="" display="13045128157"/>
    <hyperlink ref="AF36" location="" display="3171071907930005"/>
    <hyperlink ref="AK15" location="" display="ditasarwa23@gmail.com, receptionist.jkt@beiersdorf.com"/>
    <hyperlink ref="AK19" location="" display="Mayadevitaaa@gmail.com       "/>
    <hyperlink ref="AK31" location="" display="fransiscaindahw@gmail.com"/>
    <hyperlink ref="AF31" location="" display="3275106911920008"/>
    <hyperlink ref="AG31" location="" display="750382319447000"/>
    <hyperlink ref="AK32" location="" display="amandaterre@gmail.com"/>
    <hyperlink ref="AK33" location="" display="dcgiokani@gmail.com"/>
    <hyperlink ref="AK38" location="" display="ayutyasr@gmail.com"/>
    <hyperlink ref="AK20" location="" display="pamalia05@gmail.com"/>
    <hyperlink ref="AK21" location="" display="SHELVIWIDJAYA@GMAIL.COM"/>
    <hyperlink ref="AK22" location="" display="akbar-ramadhan@outlook.com"/>
    <hyperlink ref="AK23" r:id="rId4" display="deaelodia@gmail.com"/>
    <hyperlink ref="AK37" r:id="rId5" display="mrch.fairuz@gmail.com"/>
    <hyperlink ref="AK16" location="" display="farhan_achan19@yahoo.co.id"/>
    <hyperlink ref="AH16" location="" display="13045128157"/>
    <hyperlink ref="AF16" location="" display="3171071907930005"/>
  </hyperlinks>
  <printOptions horizontalCentered="1"/>
  <pageMargins left="0.25" right="0.25" top="1" bottom="1" header="0.5" footer="0.5"/>
  <pageSetup paperSize="9" scale="75"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AU126"/>
  <sheetViews>
    <sheetView topLeftCell="B3" workbookViewId="0">
      <pane xSplit="3" ySplit="2" topLeftCell="I5" activePane="bottomRight" state="frozen"/>
      <selection/>
      <selection pane="topRight"/>
      <selection pane="bottomLeft"/>
      <selection pane="bottomRight" activeCell="D17" sqref="D17"/>
    </sheetView>
  </sheetViews>
  <sheetFormatPr defaultColWidth="9" defaultRowHeight="12.75"/>
  <cols>
    <col min="1" max="1" width="9.14166666666667" style="1028"/>
    <col min="2" max="2" width="4.85833333333333" style="1028" customWidth="1"/>
    <col min="3" max="3" width="9.14166666666667" style="1028"/>
    <col min="4" max="4" width="21.5666666666667" style="1028" customWidth="1"/>
    <col min="5" max="5" width="27.1416666666667" style="1028" customWidth="1"/>
    <col min="6" max="6" width="3.56666666666667" style="1028" customWidth="1"/>
    <col min="7" max="7" width="11.1416666666667" style="1028" customWidth="1"/>
    <col min="8" max="8" width="10.425" style="1028" customWidth="1"/>
    <col min="9" max="9" width="9.70833333333333" style="1028" customWidth="1"/>
    <col min="10" max="10" width="14.425" style="1028" customWidth="1"/>
    <col min="11" max="11" width="11.425" style="1028" customWidth="1"/>
    <col min="12" max="12" width="9.28333333333333" style="1028" customWidth="1"/>
    <col min="13" max="14" width="8.56666666666667" style="1028" customWidth="1"/>
    <col min="15" max="15" width="8.425" style="1028" customWidth="1"/>
    <col min="16" max="16" width="8.28333333333333" style="1028" customWidth="1"/>
    <col min="17" max="17" width="8.14166666666667" style="1028" customWidth="1"/>
    <col min="18" max="18" width="1.85833333333333" style="1028" customWidth="1"/>
    <col min="19" max="19" width="8.14166666666667" style="1028" customWidth="1"/>
    <col min="20" max="20" width="8.70833333333333" style="1028" customWidth="1"/>
    <col min="21" max="21" width="8.85833333333333" style="1028" customWidth="1"/>
    <col min="22" max="22" width="9.56666666666667" style="1028" customWidth="1"/>
    <col min="23" max="23" width="9.14166666666667" style="1028" customWidth="1"/>
    <col min="24" max="24" width="9.70833333333333" style="1028" customWidth="1"/>
    <col min="25" max="25" width="12.8583333333333" style="1028" customWidth="1"/>
    <col min="26" max="26" width="10" style="1028" customWidth="1"/>
    <col min="27" max="27" width="11.425" style="1028" customWidth="1"/>
    <col min="28" max="28" width="8.70833333333333" style="1028" customWidth="1"/>
    <col min="29" max="29" width="8.85833333333333" style="1028" customWidth="1"/>
    <col min="30" max="30" width="9.85833333333333" style="1028" customWidth="1"/>
    <col min="31" max="31" width="6.56666666666667" style="1028" customWidth="1"/>
    <col min="32" max="32" width="4.28333333333333" style="1028" customWidth="1"/>
    <col min="33" max="33" width="11.8583333333333" style="1028" customWidth="1"/>
    <col min="34" max="34" width="32.5666666666667" style="1028" customWidth="1"/>
    <col min="35" max="35" width="6.28333333333333" style="1028" customWidth="1"/>
    <col min="36" max="36" width="44.1416666666667" style="1028" customWidth="1"/>
    <col min="37" max="37" width="20.2833333333333" style="1028" customWidth="1"/>
    <col min="38" max="38" width="22" style="1028" customWidth="1"/>
    <col min="39" max="39" width="16.1416666666667" style="1028" customWidth="1"/>
    <col min="40" max="40" width="16.2833333333333" style="1028" customWidth="1"/>
    <col min="41" max="41" width="12.1416666666667" style="1028" customWidth="1"/>
    <col min="42" max="42" width="12.8583333333333" style="1028" customWidth="1"/>
    <col min="43" max="43" width="29" style="1028" customWidth="1"/>
    <col min="44" max="44" width="20" style="1028" customWidth="1"/>
    <col min="45" max="45" width="13.425" style="1028" customWidth="1"/>
    <col min="46" max="46" width="9.14166666666667" style="1028"/>
    <col min="47" max="47" width="9.85833333333333" style="1028" customWidth="1"/>
    <col min="48" max="16384" width="9.14166666666667" style="1028"/>
  </cols>
  <sheetData>
    <row r="3" ht="13.5" spans="2:45">
      <c r="B3" s="908" t="s">
        <v>0</v>
      </c>
      <c r="C3" s="908" t="s">
        <v>1</v>
      </c>
      <c r="D3" s="908" t="s">
        <v>2</v>
      </c>
      <c r="E3" s="908" t="s">
        <v>3</v>
      </c>
      <c r="F3" s="908" t="s">
        <v>4</v>
      </c>
      <c r="G3" s="908" t="s">
        <v>5</v>
      </c>
      <c r="H3" s="908" t="s">
        <v>6</v>
      </c>
      <c r="I3" s="908" t="s">
        <v>7</v>
      </c>
      <c r="J3" s="908" t="s">
        <v>8</v>
      </c>
      <c r="K3" s="929" t="s">
        <v>9</v>
      </c>
      <c r="L3" s="930"/>
      <c r="M3" s="929" t="s">
        <v>10</v>
      </c>
      <c r="N3" s="982"/>
      <c r="O3" s="982"/>
      <c r="P3" s="982"/>
      <c r="Q3" s="982"/>
      <c r="R3" s="930"/>
      <c r="S3" s="908" t="s">
        <v>14</v>
      </c>
      <c r="T3" s="908" t="s">
        <v>15</v>
      </c>
      <c r="U3" s="1363" t="s">
        <v>3502</v>
      </c>
      <c r="V3" s="943" t="s">
        <v>16</v>
      </c>
      <c r="W3" s="943" t="s">
        <v>17</v>
      </c>
      <c r="X3" s="943" t="s">
        <v>3503</v>
      </c>
      <c r="Y3" s="1298" t="s">
        <v>3504</v>
      </c>
      <c r="Z3" s="943" t="s">
        <v>3505</v>
      </c>
      <c r="AA3" s="943" t="s">
        <v>3506</v>
      </c>
      <c r="AB3" s="943" t="s">
        <v>3507</v>
      </c>
      <c r="AC3" s="943" t="s">
        <v>24</v>
      </c>
      <c r="AD3" s="943" t="s">
        <v>3508</v>
      </c>
      <c r="AE3" s="908" t="s">
        <v>25</v>
      </c>
      <c r="AF3" s="908" t="s">
        <v>26</v>
      </c>
      <c r="AG3" s="908" t="s">
        <v>27</v>
      </c>
      <c r="AH3" s="908" t="s">
        <v>15</v>
      </c>
      <c r="AI3" s="908" t="s">
        <v>3509</v>
      </c>
      <c r="AJ3" s="908" t="s">
        <v>28</v>
      </c>
      <c r="AK3" s="908" t="s">
        <v>29</v>
      </c>
      <c r="AL3" s="908" t="s">
        <v>30</v>
      </c>
      <c r="AM3" s="908" t="s">
        <v>31</v>
      </c>
      <c r="AN3" s="908" t="s">
        <v>32</v>
      </c>
      <c r="AO3" s="908" t="s">
        <v>33</v>
      </c>
      <c r="AP3" s="908" t="s">
        <v>34</v>
      </c>
      <c r="AQ3" s="908" t="s">
        <v>35</v>
      </c>
      <c r="AR3" s="964" t="s">
        <v>36</v>
      </c>
      <c r="AS3" s="1376" t="s">
        <v>3510</v>
      </c>
    </row>
    <row r="4" ht="13.5" spans="2:45">
      <c r="B4" s="909"/>
      <c r="C4" s="910"/>
      <c r="D4" s="910"/>
      <c r="E4" s="910"/>
      <c r="F4" s="910"/>
      <c r="G4" s="910"/>
      <c r="H4" s="909"/>
      <c r="I4" s="909"/>
      <c r="J4" s="910"/>
      <c r="K4" s="931" t="s">
        <v>37</v>
      </c>
      <c r="L4" s="931" t="s">
        <v>38</v>
      </c>
      <c r="M4" s="931">
        <v>1</v>
      </c>
      <c r="N4" s="931">
        <v>2</v>
      </c>
      <c r="O4" s="931">
        <v>3</v>
      </c>
      <c r="P4" s="931">
        <v>4</v>
      </c>
      <c r="Q4" s="931">
        <v>5</v>
      </c>
      <c r="R4" s="931">
        <v>6</v>
      </c>
      <c r="S4" s="910"/>
      <c r="T4" s="910"/>
      <c r="U4" s="1364"/>
      <c r="V4" s="944"/>
      <c r="W4" s="944"/>
      <c r="X4" s="944"/>
      <c r="Y4" s="1368"/>
      <c r="Z4" s="944"/>
      <c r="AA4" s="1090"/>
      <c r="AB4" s="944"/>
      <c r="AC4" s="1091"/>
      <c r="AD4" s="1091"/>
      <c r="AE4" s="909"/>
      <c r="AF4" s="909"/>
      <c r="AG4" s="909"/>
      <c r="AH4" s="909"/>
      <c r="AI4" s="909"/>
      <c r="AJ4" s="909"/>
      <c r="AK4" s="909"/>
      <c r="AL4" s="909"/>
      <c r="AM4" s="909"/>
      <c r="AN4" s="909"/>
      <c r="AO4" s="909"/>
      <c r="AP4" s="965"/>
      <c r="AQ4" s="909"/>
      <c r="AR4" s="966"/>
      <c r="AS4" s="1377"/>
    </row>
    <row r="5" s="871" customFormat="1" ht="63.75" spans="2:47">
      <c r="B5" s="1551" t="s">
        <v>39</v>
      </c>
      <c r="C5" s="914" t="s">
        <v>3511</v>
      </c>
      <c r="D5" s="912" t="s">
        <v>3512</v>
      </c>
      <c r="E5" s="920" t="s">
        <v>3513</v>
      </c>
      <c r="F5" s="920" t="s">
        <v>43</v>
      </c>
      <c r="G5" s="920" t="s">
        <v>60</v>
      </c>
      <c r="H5" s="925" t="s">
        <v>920</v>
      </c>
      <c r="I5" s="925" t="s">
        <v>3514</v>
      </c>
      <c r="J5" s="912" t="s">
        <v>3515</v>
      </c>
      <c r="K5" s="926">
        <v>42744</v>
      </c>
      <c r="L5" s="926">
        <v>42916</v>
      </c>
      <c r="M5" s="926">
        <v>43100</v>
      </c>
      <c r="N5" s="926">
        <v>43131</v>
      </c>
      <c r="O5" s="926">
        <v>43220</v>
      </c>
      <c r="P5" s="926" t="s">
        <v>3516</v>
      </c>
      <c r="Q5" s="926">
        <v>43281</v>
      </c>
      <c r="R5" s="926"/>
      <c r="S5" s="640">
        <f ca="1">SUM(Q5-NOW())</f>
        <v>8.61546296296001</v>
      </c>
      <c r="T5" s="121" t="str">
        <f ca="1" t="shared" ref="T5:T51" si="0">IF(S5&lt;=40,"WARNING","ACTIVE")</f>
        <v>WARNING</v>
      </c>
      <c r="U5" s="946"/>
      <c r="V5" s="946">
        <v>5500000</v>
      </c>
      <c r="W5" s="946">
        <v>500000</v>
      </c>
      <c r="X5" s="946"/>
      <c r="Y5" s="946"/>
      <c r="Z5" s="946">
        <v>1000000</v>
      </c>
      <c r="AA5" s="946">
        <v>1000000</v>
      </c>
      <c r="AB5" s="946">
        <v>1000000</v>
      </c>
      <c r="AC5" s="946">
        <v>0</v>
      </c>
      <c r="AD5" s="946"/>
      <c r="AE5" s="946" t="s">
        <v>112</v>
      </c>
      <c r="AF5" s="956" t="s">
        <v>113</v>
      </c>
      <c r="AG5" s="956" t="s">
        <v>3517</v>
      </c>
      <c r="AH5" s="1371" t="s">
        <v>3518</v>
      </c>
      <c r="AI5" s="925"/>
      <c r="AJ5" s="285" t="s">
        <v>3519</v>
      </c>
      <c r="AK5" s="1552" t="s">
        <v>3520</v>
      </c>
      <c r="AL5" s="285" t="s">
        <v>3521</v>
      </c>
      <c r="AM5" s="1552" t="s">
        <v>3522</v>
      </c>
      <c r="AN5" s="1552" t="s">
        <v>3523</v>
      </c>
      <c r="AO5" s="285"/>
      <c r="AP5" s="285"/>
      <c r="AQ5" s="1372" t="s">
        <v>3524</v>
      </c>
      <c r="AR5" s="912"/>
      <c r="AS5" s="1378"/>
      <c r="AT5" s="1379"/>
      <c r="AU5" s="906"/>
    </row>
    <row r="6" s="1026" customFormat="1" ht="14.1" customHeight="1" spans="2:47">
      <c r="B6" s="1551" t="s">
        <v>56</v>
      </c>
      <c r="C6" s="914" t="s">
        <v>3525</v>
      </c>
      <c r="D6" s="912" t="s">
        <v>3526</v>
      </c>
      <c r="E6" s="920" t="s">
        <v>3527</v>
      </c>
      <c r="F6" s="920" t="s">
        <v>43</v>
      </c>
      <c r="G6" s="920" t="s">
        <v>404</v>
      </c>
      <c r="H6" s="925" t="s">
        <v>3528</v>
      </c>
      <c r="I6" s="925" t="s">
        <v>3514</v>
      </c>
      <c r="J6" s="912" t="s">
        <v>3529</v>
      </c>
      <c r="K6" s="926">
        <v>42870</v>
      </c>
      <c r="L6" s="926">
        <v>43054</v>
      </c>
      <c r="M6" s="926">
        <v>43159</v>
      </c>
      <c r="N6" s="926">
        <v>43251</v>
      </c>
      <c r="O6" s="1056">
        <v>43281</v>
      </c>
      <c r="P6" s="926"/>
      <c r="Q6" s="926"/>
      <c r="R6" s="926"/>
      <c r="S6" s="640">
        <f ca="1" t="shared" ref="S6:S11" si="1">SUM(O6-NOW())</f>
        <v>8.61546296296001</v>
      </c>
      <c r="T6" s="121" t="str">
        <f ca="1" t="shared" si="0"/>
        <v>WARNING</v>
      </c>
      <c r="U6" s="946"/>
      <c r="V6" s="946">
        <v>9500000</v>
      </c>
      <c r="W6" s="946">
        <v>1000000</v>
      </c>
      <c r="X6" s="946">
        <v>0</v>
      </c>
      <c r="Y6" s="946"/>
      <c r="Z6" s="946">
        <v>2000000</v>
      </c>
      <c r="AA6" s="946">
        <v>1000000</v>
      </c>
      <c r="AB6" s="946">
        <v>1000000</v>
      </c>
      <c r="AC6" s="946" t="s">
        <v>583</v>
      </c>
      <c r="AD6" s="946"/>
      <c r="AE6" s="946" t="s">
        <v>0</v>
      </c>
      <c r="AF6" s="956" t="s">
        <v>48</v>
      </c>
      <c r="AG6" s="956" t="s">
        <v>3530</v>
      </c>
      <c r="AH6" s="925" t="s">
        <v>3531</v>
      </c>
      <c r="AI6" s="925"/>
      <c r="AJ6" s="285" t="s">
        <v>3532</v>
      </c>
      <c r="AK6" s="285">
        <v>85642190166</v>
      </c>
      <c r="AL6" s="285" t="s">
        <v>3533</v>
      </c>
      <c r="AM6" s="1552" t="s">
        <v>3534</v>
      </c>
      <c r="AN6" s="1552" t="s">
        <v>3535</v>
      </c>
      <c r="AO6" s="285">
        <v>13024030598</v>
      </c>
      <c r="AP6" s="1552" t="s">
        <v>3536</v>
      </c>
      <c r="AQ6" s="1373" t="s">
        <v>3537</v>
      </c>
      <c r="AR6" s="912"/>
      <c r="AS6" s="1378"/>
      <c r="AT6" s="1379"/>
      <c r="AU6" s="906"/>
    </row>
    <row r="7" s="974" customFormat="1" ht="21" spans="2:47">
      <c r="B7" s="1551" t="s">
        <v>68</v>
      </c>
      <c r="C7" s="914" t="s">
        <v>3538</v>
      </c>
      <c r="D7" s="912" t="s">
        <v>3539</v>
      </c>
      <c r="E7" s="920" t="s">
        <v>3540</v>
      </c>
      <c r="F7" s="920" t="s">
        <v>43</v>
      </c>
      <c r="G7" s="920" t="s">
        <v>44</v>
      </c>
      <c r="H7" s="925" t="s">
        <v>2910</v>
      </c>
      <c r="I7" s="925" t="s">
        <v>3514</v>
      </c>
      <c r="J7" s="912" t="s">
        <v>3541</v>
      </c>
      <c r="K7" s="926">
        <v>42951</v>
      </c>
      <c r="L7" s="926">
        <v>43134</v>
      </c>
      <c r="M7" s="926">
        <v>43190</v>
      </c>
      <c r="N7" s="926">
        <v>43281</v>
      </c>
      <c r="O7" s="926"/>
      <c r="P7" s="926"/>
      <c r="Q7" s="926"/>
      <c r="R7" s="926"/>
      <c r="S7" s="640">
        <f ca="1">SUM(N7-NOW())</f>
        <v>8.61546296296001</v>
      </c>
      <c r="T7" s="121" t="str">
        <f ca="1" t="shared" si="0"/>
        <v>WARNING</v>
      </c>
      <c r="U7" s="946"/>
      <c r="V7" s="1076">
        <v>5500000</v>
      </c>
      <c r="W7" s="1076">
        <v>150000</v>
      </c>
      <c r="X7" s="1076" t="s">
        <v>583</v>
      </c>
      <c r="Y7" s="1076"/>
      <c r="Z7" s="1076" t="s">
        <v>583</v>
      </c>
      <c r="AA7" s="946">
        <v>200000</v>
      </c>
      <c r="AB7" s="946">
        <v>500000</v>
      </c>
      <c r="AC7" s="1076" t="s">
        <v>583</v>
      </c>
      <c r="AD7" s="1076"/>
      <c r="AE7" s="946" t="s">
        <v>0</v>
      </c>
      <c r="AF7" s="956" t="s">
        <v>48</v>
      </c>
      <c r="AG7" s="956" t="s">
        <v>48</v>
      </c>
      <c r="AH7" s="925"/>
      <c r="AI7" s="925"/>
      <c r="AJ7" s="285" t="s">
        <v>3542</v>
      </c>
      <c r="AK7" s="1552" t="s">
        <v>3543</v>
      </c>
      <c r="AL7" s="961" t="s">
        <v>3544</v>
      </c>
      <c r="AM7" s="1537" t="s">
        <v>3545</v>
      </c>
      <c r="AN7" s="1537" t="s">
        <v>3546</v>
      </c>
      <c r="AO7" s="961" t="s">
        <v>3547</v>
      </c>
      <c r="AP7" s="1537" t="s">
        <v>3548</v>
      </c>
      <c r="AQ7" s="1374" t="s">
        <v>3549</v>
      </c>
      <c r="AR7" s="912"/>
      <c r="AS7" s="1380"/>
      <c r="AT7" s="1379"/>
      <c r="AU7" s="906"/>
    </row>
    <row r="8" s="974" customFormat="1" ht="14.1" customHeight="1" spans="2:47">
      <c r="B8" s="1551" t="s">
        <v>78</v>
      </c>
      <c r="C8" s="914" t="s">
        <v>3550</v>
      </c>
      <c r="D8" s="912" t="s">
        <v>3551</v>
      </c>
      <c r="E8" s="920" t="s">
        <v>3552</v>
      </c>
      <c r="F8" s="920" t="s">
        <v>43</v>
      </c>
      <c r="G8" s="920" t="s">
        <v>254</v>
      </c>
      <c r="H8" s="925" t="s">
        <v>2910</v>
      </c>
      <c r="I8" s="925" t="s">
        <v>3514</v>
      </c>
      <c r="J8" s="912" t="s">
        <v>3553</v>
      </c>
      <c r="K8" s="926">
        <v>42947</v>
      </c>
      <c r="L8" s="926">
        <v>43130</v>
      </c>
      <c r="M8" s="926">
        <v>43281</v>
      </c>
      <c r="N8" s="926"/>
      <c r="O8" s="926"/>
      <c r="P8" s="926"/>
      <c r="Q8" s="926"/>
      <c r="R8" s="926"/>
      <c r="S8" s="640">
        <f ca="1">SUM(M8-NOW())</f>
        <v>8.61546296296001</v>
      </c>
      <c r="T8" s="121" t="str">
        <f ca="1" t="shared" si="0"/>
        <v>WARNING</v>
      </c>
      <c r="U8" s="946"/>
      <c r="V8" s="1076">
        <v>8000000</v>
      </c>
      <c r="W8" s="1076">
        <v>150000</v>
      </c>
      <c r="X8" s="1076"/>
      <c r="Y8" s="1076"/>
      <c r="Z8" s="1076"/>
      <c r="AA8" s="946">
        <v>200000</v>
      </c>
      <c r="AB8" s="1076">
        <v>500000</v>
      </c>
      <c r="AC8" s="1076"/>
      <c r="AD8" s="1076"/>
      <c r="AE8" s="946" t="s">
        <v>0</v>
      </c>
      <c r="AF8" s="956" t="s">
        <v>48</v>
      </c>
      <c r="AG8" s="956" t="s">
        <v>48</v>
      </c>
      <c r="AH8" s="925"/>
      <c r="AI8" s="925"/>
      <c r="AJ8" s="285" t="s">
        <v>3554</v>
      </c>
      <c r="AK8" s="285">
        <v>87878883017</v>
      </c>
      <c r="AL8" s="961" t="s">
        <v>3555</v>
      </c>
      <c r="AM8" s="1537" t="s">
        <v>3556</v>
      </c>
      <c r="AN8" s="1537" t="s">
        <v>3557</v>
      </c>
      <c r="AO8" s="961" t="s">
        <v>3558</v>
      </c>
      <c r="AP8" s="961"/>
      <c r="AQ8" s="1374" t="s">
        <v>3559</v>
      </c>
      <c r="AR8" s="912"/>
      <c r="AS8" s="164"/>
      <c r="AT8" s="1379"/>
      <c r="AU8" s="906"/>
    </row>
    <row r="9" s="974" customFormat="1" ht="14.1" customHeight="1" spans="2:47">
      <c r="B9" s="1551" t="s">
        <v>92</v>
      </c>
      <c r="C9" s="914" t="s">
        <v>3560</v>
      </c>
      <c r="D9" s="912" t="s">
        <v>3561</v>
      </c>
      <c r="E9" s="920" t="s">
        <v>3562</v>
      </c>
      <c r="F9" s="920" t="s">
        <v>125</v>
      </c>
      <c r="G9" s="920" t="s">
        <v>44</v>
      </c>
      <c r="H9" s="925" t="s">
        <v>920</v>
      </c>
      <c r="I9" s="925" t="s">
        <v>3514</v>
      </c>
      <c r="J9" s="912" t="s">
        <v>3563</v>
      </c>
      <c r="K9" s="926">
        <v>43003</v>
      </c>
      <c r="L9" s="981">
        <v>43100</v>
      </c>
      <c r="M9" s="926">
        <v>43159</v>
      </c>
      <c r="N9" s="926">
        <v>43251</v>
      </c>
      <c r="O9" s="1056">
        <v>43281</v>
      </c>
      <c r="P9" s="926"/>
      <c r="Q9" s="926"/>
      <c r="R9" s="926"/>
      <c r="S9" s="640">
        <f ca="1" t="shared" si="1"/>
        <v>8.61546296296001</v>
      </c>
      <c r="T9" s="121" t="str">
        <f ca="1" t="shared" si="0"/>
        <v>WARNING</v>
      </c>
      <c r="U9" s="946"/>
      <c r="V9" s="1076">
        <v>8500000</v>
      </c>
      <c r="W9" s="1076">
        <v>1000000</v>
      </c>
      <c r="X9" s="1076"/>
      <c r="Y9" s="1076"/>
      <c r="Z9" s="1076">
        <v>4000000</v>
      </c>
      <c r="AA9" s="1076">
        <v>1000000</v>
      </c>
      <c r="AB9" s="1076">
        <v>1500000</v>
      </c>
      <c r="AC9" s="1076"/>
      <c r="AD9" s="1076"/>
      <c r="AE9" s="946" t="s">
        <v>0</v>
      </c>
      <c r="AF9" s="956" t="s">
        <v>48</v>
      </c>
      <c r="AG9" s="956" t="s">
        <v>760</v>
      </c>
      <c r="AH9" s="925"/>
      <c r="AI9" s="925"/>
      <c r="AJ9" s="285" t="s">
        <v>3564</v>
      </c>
      <c r="AK9" s="285">
        <v>8124267870</v>
      </c>
      <c r="AL9" s="961" t="s">
        <v>3565</v>
      </c>
      <c r="AM9" s="1537" t="s">
        <v>3566</v>
      </c>
      <c r="AN9" s="1537" t="s">
        <v>3567</v>
      </c>
      <c r="AO9" s="961"/>
      <c r="AP9" s="1537" t="s">
        <v>3568</v>
      </c>
      <c r="AQ9" s="1373" t="s">
        <v>3569</v>
      </c>
      <c r="AR9" s="912"/>
      <c r="AS9" s="1378"/>
      <c r="AT9" s="1379"/>
      <c r="AU9" s="906"/>
    </row>
    <row r="10" s="974" customFormat="1" ht="14.1" customHeight="1" spans="2:47">
      <c r="B10" s="1551" t="s">
        <v>107</v>
      </c>
      <c r="C10" s="914" t="s">
        <v>3570</v>
      </c>
      <c r="D10" s="912" t="s">
        <v>3571</v>
      </c>
      <c r="E10" s="920" t="s">
        <v>3572</v>
      </c>
      <c r="F10" s="920" t="s">
        <v>43</v>
      </c>
      <c r="G10" s="920" t="s">
        <v>60</v>
      </c>
      <c r="H10" s="925" t="s">
        <v>920</v>
      </c>
      <c r="I10" s="925" t="s">
        <v>3514</v>
      </c>
      <c r="J10" s="912" t="s">
        <v>3573</v>
      </c>
      <c r="K10" s="926">
        <v>43003</v>
      </c>
      <c r="L10" s="981">
        <v>43100</v>
      </c>
      <c r="M10" s="926">
        <v>43159</v>
      </c>
      <c r="N10" s="926">
        <v>43343</v>
      </c>
      <c r="O10" s="926"/>
      <c r="P10" s="926"/>
      <c r="Q10" s="926"/>
      <c r="R10" s="926"/>
      <c r="S10" s="640">
        <f ca="1" t="shared" ref="S10:S12" si="2">SUM(N10-NOW())</f>
        <v>70.61546296296</v>
      </c>
      <c r="T10" s="121" t="str">
        <f ca="1" t="shared" si="0"/>
        <v>ACTIVE</v>
      </c>
      <c r="U10" s="946"/>
      <c r="V10" s="1076">
        <v>19000000</v>
      </c>
      <c r="W10" s="1076">
        <v>1500000</v>
      </c>
      <c r="X10" s="1076"/>
      <c r="Y10" s="1076"/>
      <c r="Z10" s="1076">
        <v>8000000</v>
      </c>
      <c r="AA10" s="1076">
        <v>1500000</v>
      </c>
      <c r="AB10" s="1076">
        <v>1500000</v>
      </c>
      <c r="AC10" s="1076"/>
      <c r="AD10" s="1076"/>
      <c r="AE10" s="946" t="s">
        <v>0</v>
      </c>
      <c r="AF10" s="946" t="s">
        <v>0</v>
      </c>
      <c r="AG10" s="956" t="s">
        <v>760</v>
      </c>
      <c r="AH10" s="925"/>
      <c r="AI10" s="925"/>
      <c r="AJ10" s="285" t="s">
        <v>3574</v>
      </c>
      <c r="AK10" s="285">
        <v>81212449933</v>
      </c>
      <c r="AL10" s="961" t="s">
        <v>3575</v>
      </c>
      <c r="AM10" s="1537" t="s">
        <v>3576</v>
      </c>
      <c r="AN10" s="1537" t="s">
        <v>3577</v>
      </c>
      <c r="AO10" s="961"/>
      <c r="AP10" s="961"/>
      <c r="AQ10" s="1373" t="s">
        <v>3578</v>
      </c>
      <c r="AR10" s="912"/>
      <c r="AS10" s="1378"/>
      <c r="AT10" s="1379"/>
      <c r="AU10" s="906"/>
    </row>
    <row r="11" s="974" customFormat="1" ht="14.1" customHeight="1" spans="2:47">
      <c r="B11" s="1551" t="s">
        <v>121</v>
      </c>
      <c r="C11" s="914" t="s">
        <v>3579</v>
      </c>
      <c r="D11" s="912" t="s">
        <v>3580</v>
      </c>
      <c r="E11" s="920" t="s">
        <v>3581</v>
      </c>
      <c r="F11" s="920" t="s">
        <v>43</v>
      </c>
      <c r="G11" s="920" t="s">
        <v>404</v>
      </c>
      <c r="H11" s="925" t="s">
        <v>920</v>
      </c>
      <c r="I11" s="925" t="s">
        <v>3514</v>
      </c>
      <c r="J11" s="912" t="s">
        <v>3563</v>
      </c>
      <c r="K11" s="926">
        <v>43003</v>
      </c>
      <c r="L11" s="981">
        <v>43100</v>
      </c>
      <c r="M11" s="926">
        <v>43159</v>
      </c>
      <c r="N11" s="926">
        <v>43251</v>
      </c>
      <c r="O11" s="1056">
        <v>43281</v>
      </c>
      <c r="P11" s="926"/>
      <c r="Q11" s="926"/>
      <c r="R11" s="926"/>
      <c r="S11" s="640">
        <f ca="1" t="shared" si="1"/>
        <v>8.61546296296001</v>
      </c>
      <c r="T11" s="121" t="str">
        <f ca="1" t="shared" si="0"/>
        <v>WARNING</v>
      </c>
      <c r="U11" s="946"/>
      <c r="V11" s="1076">
        <v>5000000</v>
      </c>
      <c r="W11" s="1076">
        <v>1000000</v>
      </c>
      <c r="X11" s="1076"/>
      <c r="Y11" s="1076"/>
      <c r="Z11" s="1076">
        <v>4000000</v>
      </c>
      <c r="AA11" s="1076">
        <v>1000000</v>
      </c>
      <c r="AB11" s="1076">
        <v>1500000</v>
      </c>
      <c r="AC11" s="1076"/>
      <c r="AD11" s="1076"/>
      <c r="AE11" s="946" t="s">
        <v>0</v>
      </c>
      <c r="AF11" s="956" t="s">
        <v>48</v>
      </c>
      <c r="AG11" s="956" t="s">
        <v>760</v>
      </c>
      <c r="AH11" s="925"/>
      <c r="AI11" s="925"/>
      <c r="AJ11" s="285" t="s">
        <v>3582</v>
      </c>
      <c r="AK11" s="285">
        <v>8112655526</v>
      </c>
      <c r="AL11" s="961" t="s">
        <v>3583</v>
      </c>
      <c r="AM11" s="1537" t="s">
        <v>3584</v>
      </c>
      <c r="AN11" s="1537" t="s">
        <v>3585</v>
      </c>
      <c r="AO11" s="961"/>
      <c r="AP11" s="1537" t="s">
        <v>3586</v>
      </c>
      <c r="AQ11" s="1373" t="s">
        <v>3587</v>
      </c>
      <c r="AR11" s="912"/>
      <c r="AS11" s="1378"/>
      <c r="AT11" s="1379"/>
      <c r="AU11" s="906"/>
    </row>
    <row r="12" s="1024" customFormat="1" ht="14.1" customHeight="1" spans="2:47">
      <c r="B12" s="1553" t="s">
        <v>135</v>
      </c>
      <c r="C12" s="1031" t="s">
        <v>3588</v>
      </c>
      <c r="D12" s="919" t="s">
        <v>3589</v>
      </c>
      <c r="E12" s="923" t="s">
        <v>3590</v>
      </c>
      <c r="F12" s="923" t="s">
        <v>43</v>
      </c>
      <c r="G12" s="923" t="s">
        <v>254</v>
      </c>
      <c r="H12" s="927" t="s">
        <v>3591</v>
      </c>
      <c r="I12" s="927" t="s">
        <v>3514</v>
      </c>
      <c r="J12" s="919" t="s">
        <v>3592</v>
      </c>
      <c r="K12" s="928">
        <v>43010</v>
      </c>
      <c r="L12" s="934">
        <v>43100</v>
      </c>
      <c r="M12" s="928">
        <v>43159</v>
      </c>
      <c r="N12" s="928">
        <v>43251</v>
      </c>
      <c r="O12" s="928"/>
      <c r="P12" s="928"/>
      <c r="Q12" s="928"/>
      <c r="R12" s="928"/>
      <c r="S12" s="641">
        <f ca="1" t="shared" si="2"/>
        <v>-21.38453703704</v>
      </c>
      <c r="T12" s="187" t="str">
        <f ca="1" t="shared" si="0"/>
        <v>WARNING</v>
      </c>
      <c r="U12" s="1070"/>
      <c r="V12" s="1074">
        <v>5500000</v>
      </c>
      <c r="W12" s="1074">
        <v>150000</v>
      </c>
      <c r="X12" s="1074"/>
      <c r="Y12" s="1074"/>
      <c r="Z12" s="1074">
        <v>1000000</v>
      </c>
      <c r="AA12" s="1006">
        <v>200000</v>
      </c>
      <c r="AB12" s="1074">
        <v>500000</v>
      </c>
      <c r="AC12" s="1074"/>
      <c r="AD12" s="1074"/>
      <c r="AE12" s="1070" t="s">
        <v>0</v>
      </c>
      <c r="AF12" s="960" t="s">
        <v>48</v>
      </c>
      <c r="AG12" s="960" t="s">
        <v>760</v>
      </c>
      <c r="AH12" s="927" t="s">
        <v>3593</v>
      </c>
      <c r="AI12" s="927"/>
      <c r="AJ12" s="290" t="s">
        <v>3594</v>
      </c>
      <c r="AK12" s="290">
        <v>81319800113</v>
      </c>
      <c r="AL12" s="962" t="s">
        <v>3595</v>
      </c>
      <c r="AM12" s="1541" t="s">
        <v>3596</v>
      </c>
      <c r="AN12" s="1541" t="s">
        <v>3597</v>
      </c>
      <c r="AO12" s="962"/>
      <c r="AP12" s="962"/>
      <c r="AQ12" s="1375" t="s">
        <v>3598</v>
      </c>
      <c r="AR12" s="919" t="s">
        <v>3599</v>
      </c>
      <c r="AS12" s="1381"/>
      <c r="AT12" s="1382"/>
      <c r="AU12" s="970"/>
    </row>
    <row r="13" s="974" customFormat="1" ht="14.1" customHeight="1" spans="2:47">
      <c r="B13" s="1551" t="s">
        <v>146</v>
      </c>
      <c r="C13" s="914" t="s">
        <v>3600</v>
      </c>
      <c r="D13" s="912" t="s">
        <v>3601</v>
      </c>
      <c r="E13" s="920" t="s">
        <v>3602</v>
      </c>
      <c r="F13" s="920" t="s">
        <v>43</v>
      </c>
      <c r="G13" s="920" t="s">
        <v>44</v>
      </c>
      <c r="H13" s="925" t="s">
        <v>920</v>
      </c>
      <c r="I13" s="925" t="s">
        <v>3514</v>
      </c>
      <c r="J13" s="912" t="s">
        <v>3603</v>
      </c>
      <c r="K13" s="926">
        <v>43010</v>
      </c>
      <c r="L13" s="981">
        <v>43100</v>
      </c>
      <c r="M13" s="926">
        <v>43159</v>
      </c>
      <c r="N13" s="926">
        <v>43251</v>
      </c>
      <c r="O13" s="993">
        <v>43312</v>
      </c>
      <c r="P13" s="926"/>
      <c r="Q13" s="926"/>
      <c r="R13" s="926"/>
      <c r="S13" s="640">
        <f ca="1" t="shared" ref="S13:S15" si="3">SUM(O13-NOW())</f>
        <v>39.61546296296</v>
      </c>
      <c r="T13" s="121" t="str">
        <f ca="1" t="shared" si="0"/>
        <v>WARNING</v>
      </c>
      <c r="U13" s="946"/>
      <c r="V13" s="1076">
        <v>5000000</v>
      </c>
      <c r="W13" s="1076">
        <v>150000</v>
      </c>
      <c r="X13" s="1076"/>
      <c r="Y13" s="1076"/>
      <c r="Z13" s="1076"/>
      <c r="AA13" s="1002">
        <v>200000</v>
      </c>
      <c r="AB13" s="1076">
        <v>500000</v>
      </c>
      <c r="AC13" s="1076"/>
      <c r="AD13" s="1076"/>
      <c r="AE13" s="946" t="s">
        <v>0</v>
      </c>
      <c r="AF13" s="956" t="s">
        <v>48</v>
      </c>
      <c r="AG13" s="956" t="s">
        <v>760</v>
      </c>
      <c r="AH13" s="925"/>
      <c r="AI13" s="925"/>
      <c r="AJ13" s="285" t="s">
        <v>3604</v>
      </c>
      <c r="AK13" s="285">
        <v>85290789977</v>
      </c>
      <c r="AL13" s="961" t="s">
        <v>3605</v>
      </c>
      <c r="AM13" s="1537" t="s">
        <v>3606</v>
      </c>
      <c r="AN13" s="961"/>
      <c r="AO13" s="961"/>
      <c r="AP13" s="1537" t="s">
        <v>3607</v>
      </c>
      <c r="AQ13" s="1374" t="s">
        <v>3608</v>
      </c>
      <c r="AR13" s="912"/>
      <c r="AS13" s="1378"/>
      <c r="AT13" s="1379"/>
      <c r="AU13" s="906"/>
    </row>
    <row r="14" s="974" customFormat="1" ht="14.1" customHeight="1" spans="2:47">
      <c r="B14" s="1551" t="s">
        <v>157</v>
      </c>
      <c r="C14" s="914" t="s">
        <v>3609</v>
      </c>
      <c r="D14" s="912" t="s">
        <v>3610</v>
      </c>
      <c r="E14" s="920" t="s">
        <v>3611</v>
      </c>
      <c r="F14" s="920" t="s">
        <v>43</v>
      </c>
      <c r="G14" s="920" t="s">
        <v>44</v>
      </c>
      <c r="H14" s="925" t="s">
        <v>920</v>
      </c>
      <c r="I14" s="925" t="s">
        <v>3514</v>
      </c>
      <c r="J14" s="912" t="s">
        <v>3603</v>
      </c>
      <c r="K14" s="926">
        <v>43010</v>
      </c>
      <c r="L14" s="981">
        <v>43100</v>
      </c>
      <c r="M14" s="926">
        <v>43159</v>
      </c>
      <c r="N14" s="926">
        <v>43251</v>
      </c>
      <c r="O14" s="1056">
        <v>43281</v>
      </c>
      <c r="P14" s="926"/>
      <c r="Q14" s="926"/>
      <c r="R14" s="926"/>
      <c r="S14" s="640">
        <f ca="1" t="shared" si="3"/>
        <v>8.61546296296001</v>
      </c>
      <c r="T14" s="121" t="str">
        <f ca="1" t="shared" si="0"/>
        <v>WARNING</v>
      </c>
      <c r="U14" s="946"/>
      <c r="V14" s="1076">
        <v>5000000</v>
      </c>
      <c r="W14" s="1076">
        <v>150000</v>
      </c>
      <c r="X14" s="1076"/>
      <c r="Y14" s="1076"/>
      <c r="Z14" s="1076"/>
      <c r="AA14" s="1002">
        <v>200000</v>
      </c>
      <c r="AB14" s="1076">
        <v>500000</v>
      </c>
      <c r="AC14" s="1076"/>
      <c r="AD14" s="1076"/>
      <c r="AE14" s="946" t="s">
        <v>0</v>
      </c>
      <c r="AF14" s="956" t="s">
        <v>48</v>
      </c>
      <c r="AG14" s="956" t="s">
        <v>760</v>
      </c>
      <c r="AH14" s="925"/>
      <c r="AI14" s="925"/>
      <c r="AJ14" s="285" t="s">
        <v>3612</v>
      </c>
      <c r="AK14" s="285">
        <v>8976123943</v>
      </c>
      <c r="AL14" s="961" t="s">
        <v>3613</v>
      </c>
      <c r="AM14" s="1537" t="s">
        <v>3614</v>
      </c>
      <c r="AN14" s="961"/>
      <c r="AO14" s="961"/>
      <c r="AP14" s="961"/>
      <c r="AQ14" s="1374" t="s">
        <v>3615</v>
      </c>
      <c r="AR14" s="912"/>
      <c r="AS14" s="1378"/>
      <c r="AT14" s="1379"/>
      <c r="AU14" s="906"/>
    </row>
    <row r="15" s="974" customFormat="1" ht="14.1" customHeight="1" spans="2:47">
      <c r="B15" s="1551" t="s">
        <v>168</v>
      </c>
      <c r="C15" s="914" t="s">
        <v>3616</v>
      </c>
      <c r="D15" s="912" t="s">
        <v>3617</v>
      </c>
      <c r="E15" s="920" t="s">
        <v>3618</v>
      </c>
      <c r="F15" s="920" t="s">
        <v>43</v>
      </c>
      <c r="G15" s="920" t="s">
        <v>44</v>
      </c>
      <c r="H15" s="925" t="s">
        <v>920</v>
      </c>
      <c r="I15" s="925" t="s">
        <v>3514</v>
      </c>
      <c r="J15" s="912" t="s">
        <v>3603</v>
      </c>
      <c r="K15" s="926">
        <v>43010</v>
      </c>
      <c r="L15" s="981">
        <v>43100</v>
      </c>
      <c r="M15" s="926">
        <v>43159</v>
      </c>
      <c r="N15" s="926">
        <v>43251</v>
      </c>
      <c r="O15" s="1056">
        <v>43281</v>
      </c>
      <c r="P15" s="926"/>
      <c r="Q15" s="926"/>
      <c r="R15" s="926"/>
      <c r="S15" s="640">
        <f ca="1" t="shared" si="3"/>
        <v>8.61546296296001</v>
      </c>
      <c r="T15" s="121" t="str">
        <f ca="1" t="shared" si="0"/>
        <v>WARNING</v>
      </c>
      <c r="U15" s="946"/>
      <c r="V15" s="1076">
        <v>5000000</v>
      </c>
      <c r="W15" s="1076">
        <v>150000</v>
      </c>
      <c r="X15" s="1076"/>
      <c r="Y15" s="1076"/>
      <c r="Z15" s="1076"/>
      <c r="AA15" s="1002">
        <v>200000</v>
      </c>
      <c r="AB15" s="1076">
        <v>500000</v>
      </c>
      <c r="AC15" s="1076"/>
      <c r="AD15" s="1076"/>
      <c r="AE15" s="946" t="s">
        <v>0</v>
      </c>
      <c r="AF15" s="956" t="s">
        <v>48</v>
      </c>
      <c r="AG15" s="956" t="s">
        <v>760</v>
      </c>
      <c r="AH15" s="925"/>
      <c r="AI15" s="925"/>
      <c r="AJ15" s="285" t="s">
        <v>3619</v>
      </c>
      <c r="AK15" s="285"/>
      <c r="AL15" s="961" t="s">
        <v>3620</v>
      </c>
      <c r="AM15" s="1537" t="s">
        <v>3621</v>
      </c>
      <c r="AN15" s="1537" t="s">
        <v>3622</v>
      </c>
      <c r="AO15" s="961"/>
      <c r="AP15" s="961"/>
      <c r="AQ15" s="1374" t="s">
        <v>3623</v>
      </c>
      <c r="AR15" s="912"/>
      <c r="AS15" s="1378"/>
      <c r="AT15" s="1379"/>
      <c r="AU15" s="906"/>
    </row>
    <row r="16" s="974" customFormat="1" ht="14.1" customHeight="1" spans="2:47">
      <c r="B16" s="1551" t="s">
        <v>181</v>
      </c>
      <c r="C16" s="914" t="s">
        <v>3624</v>
      </c>
      <c r="D16" s="912" t="s">
        <v>3625</v>
      </c>
      <c r="E16" s="920" t="s">
        <v>3626</v>
      </c>
      <c r="F16" s="920" t="s">
        <v>125</v>
      </c>
      <c r="G16" s="920" t="s">
        <v>44</v>
      </c>
      <c r="H16" s="925" t="s">
        <v>1549</v>
      </c>
      <c r="I16" s="925" t="s">
        <v>3514</v>
      </c>
      <c r="J16" s="912" t="s">
        <v>3627</v>
      </c>
      <c r="K16" s="926">
        <v>43026</v>
      </c>
      <c r="L16" s="981">
        <v>43100</v>
      </c>
      <c r="M16" s="926">
        <v>43281</v>
      </c>
      <c r="N16" s="926"/>
      <c r="O16" s="926"/>
      <c r="P16" s="926"/>
      <c r="Q16" s="926"/>
      <c r="R16" s="926"/>
      <c r="S16" s="640">
        <f ca="1" t="shared" ref="S16:S19" si="4">SUM(M16-NOW())</f>
        <v>8.61546296296001</v>
      </c>
      <c r="T16" s="121" t="str">
        <f ca="1" t="shared" si="0"/>
        <v>WARNING</v>
      </c>
      <c r="U16" s="946"/>
      <c r="V16" s="1076">
        <v>6500000</v>
      </c>
      <c r="W16" s="1076">
        <v>750000</v>
      </c>
      <c r="X16" s="1076"/>
      <c r="Y16" s="1076"/>
      <c r="Z16" s="1076">
        <v>1000000</v>
      </c>
      <c r="AA16" s="1002">
        <v>750000</v>
      </c>
      <c r="AB16" s="1076">
        <v>1000000</v>
      </c>
      <c r="AC16" s="1076"/>
      <c r="AD16" s="1076"/>
      <c r="AE16" s="946" t="s">
        <v>0</v>
      </c>
      <c r="AF16" s="956" t="s">
        <v>48</v>
      </c>
      <c r="AG16" s="956" t="s">
        <v>760</v>
      </c>
      <c r="AH16" s="925"/>
      <c r="AI16" s="925"/>
      <c r="AJ16" s="285" t="s">
        <v>3628</v>
      </c>
      <c r="AK16" s="285">
        <v>82339301438</v>
      </c>
      <c r="AL16" s="961" t="s">
        <v>3629</v>
      </c>
      <c r="AM16" s="1537" t="s">
        <v>3630</v>
      </c>
      <c r="AN16" s="1537" t="s">
        <v>3631</v>
      </c>
      <c r="AO16" s="961" t="s">
        <v>3632</v>
      </c>
      <c r="AP16" s="1537" t="s">
        <v>3633</v>
      </c>
      <c r="AQ16" s="1374" t="s">
        <v>3634</v>
      </c>
      <c r="AR16" s="912"/>
      <c r="AS16" s="1380"/>
      <c r="AT16" s="1379"/>
      <c r="AU16" s="906"/>
    </row>
    <row r="17" s="974" customFormat="1" ht="14.1" customHeight="1" spans="2:47">
      <c r="B17" s="1551" t="s">
        <v>194</v>
      </c>
      <c r="C17" s="914" t="s">
        <v>3635</v>
      </c>
      <c r="D17" s="1359" t="s">
        <v>3636</v>
      </c>
      <c r="E17" s="920" t="s">
        <v>3637</v>
      </c>
      <c r="F17" s="920" t="s">
        <v>125</v>
      </c>
      <c r="G17" s="920" t="s">
        <v>60</v>
      </c>
      <c r="H17" s="925" t="s">
        <v>1549</v>
      </c>
      <c r="I17" s="925" t="s">
        <v>3514</v>
      </c>
      <c r="J17" s="912" t="s">
        <v>3638</v>
      </c>
      <c r="K17" s="926">
        <v>43025</v>
      </c>
      <c r="L17" s="981">
        <v>43100</v>
      </c>
      <c r="M17" s="926">
        <v>43281</v>
      </c>
      <c r="N17" s="926"/>
      <c r="O17" s="926"/>
      <c r="P17" s="926"/>
      <c r="Q17" s="926"/>
      <c r="R17" s="926"/>
      <c r="S17" s="640">
        <f ca="1" t="shared" si="4"/>
        <v>8.61546296296001</v>
      </c>
      <c r="T17" s="121" t="str">
        <f ca="1" t="shared" si="0"/>
        <v>WARNING</v>
      </c>
      <c r="U17" s="946"/>
      <c r="V17" s="1002">
        <v>9000000</v>
      </c>
      <c r="W17" s="1076">
        <v>1000000</v>
      </c>
      <c r="X17" s="1002"/>
      <c r="Y17" s="1002"/>
      <c r="Z17" s="1002">
        <v>1000000</v>
      </c>
      <c r="AA17" s="1002"/>
      <c r="AB17" s="1076">
        <v>1000000</v>
      </c>
      <c r="AC17" s="1002"/>
      <c r="AD17" s="1076"/>
      <c r="AE17" s="946" t="s">
        <v>0</v>
      </c>
      <c r="AF17" s="956" t="s">
        <v>48</v>
      </c>
      <c r="AG17" s="956" t="s">
        <v>760</v>
      </c>
      <c r="AH17" s="925"/>
      <c r="AI17" s="925"/>
      <c r="AJ17" s="285" t="s">
        <v>3639</v>
      </c>
      <c r="AK17" s="1552" t="s">
        <v>3640</v>
      </c>
      <c r="AL17" s="961" t="s">
        <v>3641</v>
      </c>
      <c r="AM17" s="1537" t="s">
        <v>3642</v>
      </c>
      <c r="AN17" s="1537" t="s">
        <v>3643</v>
      </c>
      <c r="AO17" s="961"/>
      <c r="AP17" s="1537" t="s">
        <v>3644</v>
      </c>
      <c r="AQ17" s="1374" t="s">
        <v>3645</v>
      </c>
      <c r="AR17" s="912"/>
      <c r="AS17" s="1380"/>
      <c r="AT17" s="1379"/>
      <c r="AU17" s="906"/>
    </row>
    <row r="18" s="974" customFormat="1" ht="14.1" customHeight="1" spans="2:47">
      <c r="B18" s="1551" t="s">
        <v>204</v>
      </c>
      <c r="C18" s="914" t="s">
        <v>3646</v>
      </c>
      <c r="D18" s="912" t="s">
        <v>3647</v>
      </c>
      <c r="E18" s="920" t="s">
        <v>3648</v>
      </c>
      <c r="F18" s="920" t="s">
        <v>43</v>
      </c>
      <c r="G18" s="920" t="s">
        <v>44</v>
      </c>
      <c r="H18" s="925" t="s">
        <v>2910</v>
      </c>
      <c r="I18" s="925" t="s">
        <v>3514</v>
      </c>
      <c r="J18" s="912" t="s">
        <v>3649</v>
      </c>
      <c r="K18" s="926">
        <v>43038</v>
      </c>
      <c r="L18" s="981">
        <v>43100</v>
      </c>
      <c r="M18" s="926">
        <v>43281</v>
      </c>
      <c r="N18" s="926"/>
      <c r="O18" s="926"/>
      <c r="P18" s="926"/>
      <c r="Q18" s="926"/>
      <c r="R18" s="926"/>
      <c r="S18" s="640">
        <f ca="1" t="shared" si="4"/>
        <v>8.61546296296001</v>
      </c>
      <c r="T18" s="121" t="str">
        <f ca="1" t="shared" si="0"/>
        <v>WARNING</v>
      </c>
      <c r="U18" s="946"/>
      <c r="V18" s="1002">
        <v>8000000</v>
      </c>
      <c r="W18" s="1076">
        <v>1000000</v>
      </c>
      <c r="X18" s="1002">
        <v>3000000</v>
      </c>
      <c r="Y18" s="1002"/>
      <c r="Z18" s="1002">
        <v>3000000</v>
      </c>
      <c r="AA18" s="1076">
        <v>1000000</v>
      </c>
      <c r="AB18" s="1076">
        <v>1000000</v>
      </c>
      <c r="AC18" s="1002"/>
      <c r="AD18" s="1076"/>
      <c r="AE18" s="946" t="s">
        <v>0</v>
      </c>
      <c r="AF18" s="956" t="s">
        <v>48</v>
      </c>
      <c r="AG18" s="956" t="s">
        <v>760</v>
      </c>
      <c r="AH18" s="925"/>
      <c r="AI18" s="925"/>
      <c r="AJ18" s="285" t="s">
        <v>3650</v>
      </c>
      <c r="AK18" s="1552" t="s">
        <v>3651</v>
      </c>
      <c r="AL18" s="961" t="s">
        <v>3652</v>
      </c>
      <c r="AM18" s="1537" t="s">
        <v>3653</v>
      </c>
      <c r="AN18" s="1537" t="s">
        <v>3654</v>
      </c>
      <c r="AO18" s="1537" t="s">
        <v>3655</v>
      </c>
      <c r="AP18" s="1537" t="s">
        <v>3656</v>
      </c>
      <c r="AQ18" s="1374" t="s">
        <v>3657</v>
      </c>
      <c r="AR18" s="912"/>
      <c r="AS18" s="1380"/>
      <c r="AT18" s="1379"/>
      <c r="AU18" s="906"/>
    </row>
    <row r="19" s="974" customFormat="1" ht="14.1" customHeight="1" spans="2:47">
      <c r="B19" s="1551" t="s">
        <v>215</v>
      </c>
      <c r="C19" s="914" t="s">
        <v>3658</v>
      </c>
      <c r="D19" s="912" t="s">
        <v>3659</v>
      </c>
      <c r="E19" s="920" t="s">
        <v>3660</v>
      </c>
      <c r="F19" s="920" t="s">
        <v>125</v>
      </c>
      <c r="G19" s="920" t="s">
        <v>60</v>
      </c>
      <c r="H19" s="925" t="s">
        <v>1549</v>
      </c>
      <c r="I19" s="925" t="s">
        <v>3514</v>
      </c>
      <c r="J19" s="912" t="s">
        <v>3661</v>
      </c>
      <c r="K19" s="926">
        <v>43025</v>
      </c>
      <c r="L19" s="981">
        <v>43100</v>
      </c>
      <c r="M19" s="926">
        <v>43281</v>
      </c>
      <c r="N19" s="926"/>
      <c r="O19" s="926"/>
      <c r="P19" s="926"/>
      <c r="Q19" s="926"/>
      <c r="R19" s="926"/>
      <c r="S19" s="640">
        <f ca="1" t="shared" si="4"/>
        <v>8.61546296296001</v>
      </c>
      <c r="T19" s="121" t="str">
        <f ca="1" t="shared" si="0"/>
        <v>WARNING</v>
      </c>
      <c r="U19" s="946"/>
      <c r="V19" s="1002">
        <v>7000000</v>
      </c>
      <c r="W19" s="1076">
        <v>1000000</v>
      </c>
      <c r="X19" s="1002"/>
      <c r="Y19" s="1002"/>
      <c r="Z19" s="1002">
        <v>1000000</v>
      </c>
      <c r="AA19" s="1002"/>
      <c r="AB19" s="1076">
        <v>1000000</v>
      </c>
      <c r="AC19" s="1002"/>
      <c r="AD19" s="1076"/>
      <c r="AE19" s="946" t="s">
        <v>0</v>
      </c>
      <c r="AF19" s="956" t="s">
        <v>48</v>
      </c>
      <c r="AG19" s="956" t="s">
        <v>760</v>
      </c>
      <c r="AH19" s="925"/>
      <c r="AI19" s="925"/>
      <c r="AJ19" s="285" t="s">
        <v>3662</v>
      </c>
      <c r="AK19" s="285">
        <v>82144686970</v>
      </c>
      <c r="AL19" s="961" t="s">
        <v>3663</v>
      </c>
      <c r="AM19" s="1537" t="s">
        <v>3664</v>
      </c>
      <c r="AN19" s="1537" t="s">
        <v>3665</v>
      </c>
      <c r="AO19" s="961" t="s">
        <v>2574</v>
      </c>
      <c r="AP19" s="1537" t="s">
        <v>3666</v>
      </c>
      <c r="AQ19" s="1374" t="s">
        <v>3667</v>
      </c>
      <c r="AR19" s="912"/>
      <c r="AS19" s="1380"/>
      <c r="AT19" s="1379"/>
      <c r="AU19" s="906"/>
    </row>
    <row r="20" s="974" customFormat="1" ht="14.1" customHeight="1" spans="2:47">
      <c r="B20" s="1551" t="s">
        <v>229</v>
      </c>
      <c r="C20" s="914" t="s">
        <v>3668</v>
      </c>
      <c r="D20" s="1359" t="s">
        <v>3669</v>
      </c>
      <c r="E20" s="920" t="s">
        <v>3670</v>
      </c>
      <c r="F20" s="920" t="s">
        <v>43</v>
      </c>
      <c r="G20" s="920" t="s">
        <v>44</v>
      </c>
      <c r="H20" s="925" t="s">
        <v>3671</v>
      </c>
      <c r="I20" s="925" t="s">
        <v>3514</v>
      </c>
      <c r="J20" s="1361" t="s">
        <v>3672</v>
      </c>
      <c r="K20" s="926">
        <v>43018</v>
      </c>
      <c r="L20" s="981">
        <v>43100</v>
      </c>
      <c r="M20" s="926">
        <v>43159</v>
      </c>
      <c r="N20" s="926">
        <v>43251</v>
      </c>
      <c r="O20" s="993" t="s">
        <v>3673</v>
      </c>
      <c r="P20" s="993">
        <v>43312</v>
      </c>
      <c r="Q20" s="926"/>
      <c r="R20" s="926"/>
      <c r="S20" s="640">
        <f ca="1">SUM(P20-NOW())</f>
        <v>39.61546296296</v>
      </c>
      <c r="T20" s="121" t="str">
        <f ca="1" t="shared" si="0"/>
        <v>WARNING</v>
      </c>
      <c r="U20" s="946"/>
      <c r="V20" s="1365">
        <v>6000000</v>
      </c>
      <c r="W20" s="1076">
        <v>150000</v>
      </c>
      <c r="X20" s="1002"/>
      <c r="Y20" s="1002"/>
      <c r="Z20" s="1002"/>
      <c r="AA20" s="1002">
        <v>200000</v>
      </c>
      <c r="AB20" s="1076">
        <v>500000</v>
      </c>
      <c r="AC20" s="1002"/>
      <c r="AD20" s="1076"/>
      <c r="AE20" s="946" t="s">
        <v>0</v>
      </c>
      <c r="AF20" s="956" t="s">
        <v>48</v>
      </c>
      <c r="AG20" s="956" t="s">
        <v>760</v>
      </c>
      <c r="AH20" s="1371" t="s">
        <v>3674</v>
      </c>
      <c r="AI20" s="925"/>
      <c r="AJ20" s="285" t="s">
        <v>3675</v>
      </c>
      <c r="AK20" s="1552" t="s">
        <v>3676</v>
      </c>
      <c r="AL20" s="961" t="s">
        <v>3677</v>
      </c>
      <c r="AM20" s="1537" t="s">
        <v>3678</v>
      </c>
      <c r="AN20" s="1537" t="s">
        <v>3679</v>
      </c>
      <c r="AO20" s="961"/>
      <c r="AP20" s="961"/>
      <c r="AQ20" s="1374" t="s">
        <v>3680</v>
      </c>
      <c r="AR20" s="912"/>
      <c r="AS20" s="1380"/>
      <c r="AT20" s="1379"/>
      <c r="AU20" s="906"/>
    </row>
    <row r="21" s="974" customFormat="1" ht="14.1" customHeight="1" spans="2:47">
      <c r="B21" s="1551" t="s">
        <v>239</v>
      </c>
      <c r="C21" s="914" t="s">
        <v>3681</v>
      </c>
      <c r="D21" s="912" t="s">
        <v>3682</v>
      </c>
      <c r="E21" s="920" t="s">
        <v>3683</v>
      </c>
      <c r="F21" s="920" t="s">
        <v>43</v>
      </c>
      <c r="G21" s="920" t="s">
        <v>43</v>
      </c>
      <c r="H21" s="925" t="s">
        <v>2910</v>
      </c>
      <c r="I21" s="925" t="s">
        <v>3684</v>
      </c>
      <c r="J21" s="912" t="s">
        <v>3529</v>
      </c>
      <c r="K21" s="926">
        <v>43032</v>
      </c>
      <c r="L21" s="981">
        <v>43100</v>
      </c>
      <c r="M21" s="926">
        <v>43281</v>
      </c>
      <c r="N21" s="926"/>
      <c r="O21" s="926"/>
      <c r="P21" s="926"/>
      <c r="Q21" s="926"/>
      <c r="R21" s="926"/>
      <c r="S21" s="640">
        <f ca="1" t="shared" ref="S21:S26" si="5">SUM(M21-NOW())</f>
        <v>8.61546296296001</v>
      </c>
      <c r="T21" s="121" t="str">
        <f ca="1" t="shared" si="0"/>
        <v>WARNING</v>
      </c>
      <c r="U21" s="946"/>
      <c r="V21" s="1002">
        <v>9000000</v>
      </c>
      <c r="W21" s="1076">
        <v>1000000</v>
      </c>
      <c r="X21" s="1002"/>
      <c r="Y21" s="1002"/>
      <c r="Z21" s="1076">
        <v>1000000</v>
      </c>
      <c r="AA21" s="1076">
        <v>1000000</v>
      </c>
      <c r="AB21" s="1076">
        <v>1000000</v>
      </c>
      <c r="AC21" s="1002"/>
      <c r="AD21" s="1076"/>
      <c r="AE21" s="946" t="s">
        <v>0</v>
      </c>
      <c r="AF21" s="956" t="s">
        <v>48</v>
      </c>
      <c r="AG21" s="956" t="s">
        <v>760</v>
      </c>
      <c r="AH21" s="925"/>
      <c r="AI21" s="925"/>
      <c r="AJ21" s="285" t="s">
        <v>3685</v>
      </c>
      <c r="AK21" s="285"/>
      <c r="AL21" s="961" t="s">
        <v>3686</v>
      </c>
      <c r="AM21" s="1537" t="s">
        <v>3687</v>
      </c>
      <c r="AN21" s="961"/>
      <c r="AO21" s="961"/>
      <c r="AP21" s="961"/>
      <c r="AQ21" s="1374" t="s">
        <v>3688</v>
      </c>
      <c r="AR21" s="912"/>
      <c r="AS21" s="1380"/>
      <c r="AT21" s="1379"/>
      <c r="AU21" s="906"/>
    </row>
    <row r="22" s="974" customFormat="1" ht="14.1" customHeight="1" spans="2:47">
      <c r="B22" s="1551" t="s">
        <v>250</v>
      </c>
      <c r="C22" s="914" t="s">
        <v>3689</v>
      </c>
      <c r="D22" s="912" t="s">
        <v>3690</v>
      </c>
      <c r="E22" s="920" t="s">
        <v>3691</v>
      </c>
      <c r="F22" s="920" t="s">
        <v>43</v>
      </c>
      <c r="G22" s="920" t="s">
        <v>44</v>
      </c>
      <c r="H22" s="925" t="s">
        <v>757</v>
      </c>
      <c r="I22" s="925" t="s">
        <v>3684</v>
      </c>
      <c r="J22" s="912" t="s">
        <v>3529</v>
      </c>
      <c r="K22" s="926">
        <v>43033</v>
      </c>
      <c r="L22" s="981">
        <v>43100</v>
      </c>
      <c r="M22" s="926">
        <v>43281</v>
      </c>
      <c r="N22" s="926"/>
      <c r="O22" s="926"/>
      <c r="P22" s="926"/>
      <c r="Q22" s="926"/>
      <c r="R22" s="926"/>
      <c r="S22" s="640">
        <f ca="1" t="shared" si="5"/>
        <v>8.61546296296001</v>
      </c>
      <c r="T22" s="121" t="str">
        <f ca="1" t="shared" si="0"/>
        <v>WARNING</v>
      </c>
      <c r="U22" s="946"/>
      <c r="V22" s="1002">
        <v>7000000</v>
      </c>
      <c r="W22" s="1076">
        <v>1000000</v>
      </c>
      <c r="X22" s="1002">
        <v>3000000</v>
      </c>
      <c r="Y22" s="1002"/>
      <c r="Z22" s="1076">
        <v>1000000</v>
      </c>
      <c r="AA22" s="1076">
        <v>1000000</v>
      </c>
      <c r="AB22" s="1076">
        <v>1000000</v>
      </c>
      <c r="AC22" s="1002"/>
      <c r="AD22" s="1076"/>
      <c r="AE22" s="946" t="s">
        <v>0</v>
      </c>
      <c r="AF22" s="956" t="s">
        <v>48</v>
      </c>
      <c r="AG22" s="956" t="s">
        <v>760</v>
      </c>
      <c r="AH22" s="925"/>
      <c r="AI22" s="925"/>
      <c r="AJ22" s="285" t="s">
        <v>3692</v>
      </c>
      <c r="AK22" s="285">
        <v>81357222652</v>
      </c>
      <c r="AL22" s="961" t="s">
        <v>3693</v>
      </c>
      <c r="AM22" s="1537" t="s">
        <v>3694</v>
      </c>
      <c r="AN22" s="961"/>
      <c r="AO22" s="1537" t="s">
        <v>3695</v>
      </c>
      <c r="AP22" s="961"/>
      <c r="AQ22" s="1374" t="s">
        <v>3696</v>
      </c>
      <c r="AR22" s="912"/>
      <c r="AS22" s="1380"/>
      <c r="AT22" s="1379"/>
      <c r="AU22" s="906"/>
    </row>
    <row r="23" s="1025" customFormat="1" ht="14.1" customHeight="1" spans="2:47">
      <c r="B23" s="1551" t="s">
        <v>261</v>
      </c>
      <c r="C23" s="14" t="s">
        <v>3697</v>
      </c>
      <c r="D23" s="1162" t="s">
        <v>3698</v>
      </c>
      <c r="E23" s="1043" t="s">
        <v>3699</v>
      </c>
      <c r="F23" s="1043" t="s">
        <v>43</v>
      </c>
      <c r="G23" s="1043" t="s">
        <v>44</v>
      </c>
      <c r="H23" s="1226" t="s">
        <v>3700</v>
      </c>
      <c r="I23" s="914" t="s">
        <v>3684</v>
      </c>
      <c r="J23" s="1049" t="s">
        <v>3603</v>
      </c>
      <c r="K23" s="1169">
        <v>43055</v>
      </c>
      <c r="L23" s="1169">
        <v>43115</v>
      </c>
      <c r="M23" s="926">
        <v>43146</v>
      </c>
      <c r="N23" s="1169">
        <v>43220</v>
      </c>
      <c r="O23" s="1204">
        <v>43311</v>
      </c>
      <c r="P23" s="1050"/>
      <c r="Q23" s="1169"/>
      <c r="R23" s="1210"/>
      <c r="S23" s="640">
        <f ca="1">SUM(O23-NOW())</f>
        <v>38.61546296296</v>
      </c>
      <c r="T23" s="121" t="str">
        <f ca="1" t="shared" si="0"/>
        <v>WARNING</v>
      </c>
      <c r="U23" s="946"/>
      <c r="V23" s="1077">
        <v>4800000</v>
      </c>
      <c r="W23" s="1077">
        <v>150000</v>
      </c>
      <c r="X23" s="1085"/>
      <c r="Y23" s="1078"/>
      <c r="Z23" s="1079"/>
      <c r="AA23" s="1078">
        <v>200000</v>
      </c>
      <c r="AB23" s="1078">
        <v>500000</v>
      </c>
      <c r="AC23" s="1002"/>
      <c r="AD23" s="1076"/>
      <c r="AE23" s="946" t="s">
        <v>0</v>
      </c>
      <c r="AF23" s="956" t="s">
        <v>48</v>
      </c>
      <c r="AG23" s="956" t="s">
        <v>760</v>
      </c>
      <c r="AH23" s="1049"/>
      <c r="AI23" s="925"/>
      <c r="AJ23" s="1102" t="s">
        <v>3701</v>
      </c>
      <c r="AK23" s="1103" t="s">
        <v>3702</v>
      </c>
      <c r="AL23" s="1103" t="s">
        <v>3703</v>
      </c>
      <c r="AM23" s="1536" t="s">
        <v>3704</v>
      </c>
      <c r="AN23" s="1103"/>
      <c r="AO23" s="1103"/>
      <c r="AP23" s="1103"/>
      <c r="AQ23" s="130" t="s">
        <v>3705</v>
      </c>
      <c r="AR23" s="1187"/>
      <c r="AS23" s="1380"/>
      <c r="AT23" s="1379"/>
      <c r="AU23" s="1130"/>
    </row>
    <row r="24" s="974" customFormat="1" ht="14.1" customHeight="1" spans="2:47">
      <c r="B24" s="1551" t="s">
        <v>272</v>
      </c>
      <c r="C24" s="14" t="s">
        <v>3706</v>
      </c>
      <c r="D24" s="1162" t="s">
        <v>3707</v>
      </c>
      <c r="E24" s="1043" t="s">
        <v>3708</v>
      </c>
      <c r="F24" s="1043" t="s">
        <v>43</v>
      </c>
      <c r="G24" s="1043" t="s">
        <v>96</v>
      </c>
      <c r="H24" s="1049" t="s">
        <v>757</v>
      </c>
      <c r="I24" s="914"/>
      <c r="J24" s="1049" t="s">
        <v>3709</v>
      </c>
      <c r="K24" s="1169">
        <v>43102</v>
      </c>
      <c r="L24" s="1169">
        <v>43190</v>
      </c>
      <c r="M24" s="926">
        <v>43281</v>
      </c>
      <c r="N24" s="1169"/>
      <c r="O24" s="1169"/>
      <c r="P24" s="1050"/>
      <c r="Q24" s="1169"/>
      <c r="R24" s="1210"/>
      <c r="S24" s="640">
        <f ca="1" t="shared" si="5"/>
        <v>8.61546296296001</v>
      </c>
      <c r="T24" s="121" t="str">
        <f ca="1" t="shared" si="0"/>
        <v>WARNING</v>
      </c>
      <c r="U24" s="946"/>
      <c r="V24" s="1077">
        <v>14500000</v>
      </c>
      <c r="W24" s="1077">
        <v>1000000</v>
      </c>
      <c r="X24" s="1085">
        <v>3000000</v>
      </c>
      <c r="Y24" s="1078"/>
      <c r="Z24" s="1085">
        <v>3000000</v>
      </c>
      <c r="AA24" s="1078">
        <v>1000000</v>
      </c>
      <c r="AB24" s="1078">
        <v>1000000</v>
      </c>
      <c r="AC24" s="1002"/>
      <c r="AD24" s="1076"/>
      <c r="AE24" s="946" t="s">
        <v>0</v>
      </c>
      <c r="AF24" s="956" t="s">
        <v>48</v>
      </c>
      <c r="AG24" s="956" t="s">
        <v>760</v>
      </c>
      <c r="AH24" s="1049"/>
      <c r="AI24" s="925"/>
      <c r="AJ24" s="1102" t="s">
        <v>3710</v>
      </c>
      <c r="AK24" s="1536" t="s">
        <v>3711</v>
      </c>
      <c r="AL24" s="1103" t="s">
        <v>3712</v>
      </c>
      <c r="AM24" s="1536" t="s">
        <v>3713</v>
      </c>
      <c r="AN24" s="1103" t="s">
        <v>3714</v>
      </c>
      <c r="AO24" s="1103"/>
      <c r="AP24" s="1103"/>
      <c r="AQ24" s="127" t="s">
        <v>3715</v>
      </c>
      <c r="AR24" s="1187"/>
      <c r="AS24" s="1380"/>
      <c r="AT24" s="1379"/>
      <c r="AU24" s="906"/>
    </row>
    <row r="25" s="974" customFormat="1" ht="14.1" customHeight="1" spans="2:46">
      <c r="B25" s="1551" t="s">
        <v>286</v>
      </c>
      <c r="C25" s="14" t="s">
        <v>3716</v>
      </c>
      <c r="D25" s="1162" t="s">
        <v>3717</v>
      </c>
      <c r="E25" s="1043" t="s">
        <v>3718</v>
      </c>
      <c r="F25" s="1043" t="s">
        <v>43</v>
      </c>
      <c r="G25" s="1043" t="s">
        <v>44</v>
      </c>
      <c r="H25" s="1049" t="s">
        <v>3719</v>
      </c>
      <c r="I25" s="914"/>
      <c r="J25" s="1049" t="s">
        <v>3529</v>
      </c>
      <c r="K25" s="1169">
        <v>43129</v>
      </c>
      <c r="L25" s="1169">
        <v>43218</v>
      </c>
      <c r="M25" s="993">
        <v>43403</v>
      </c>
      <c r="N25" s="1169"/>
      <c r="O25" s="1169"/>
      <c r="P25" s="1050"/>
      <c r="Q25" s="1169"/>
      <c r="R25" s="1210"/>
      <c r="S25" s="640">
        <f ca="1" t="shared" si="5"/>
        <v>130.61546296296</v>
      </c>
      <c r="T25" s="121" t="str">
        <f ca="1" t="shared" si="0"/>
        <v>ACTIVE</v>
      </c>
      <c r="U25" s="946"/>
      <c r="V25" s="1077">
        <v>4000000</v>
      </c>
      <c r="W25" s="1077">
        <v>1000000</v>
      </c>
      <c r="X25" s="1085"/>
      <c r="Y25" s="1078"/>
      <c r="Z25" s="1077">
        <v>1000000</v>
      </c>
      <c r="AA25" s="1077">
        <v>1000000</v>
      </c>
      <c r="AB25" s="1077">
        <v>1000000</v>
      </c>
      <c r="AC25" s="1002"/>
      <c r="AD25" s="1076"/>
      <c r="AE25" s="946" t="s">
        <v>0</v>
      </c>
      <c r="AF25" s="956" t="s">
        <v>48</v>
      </c>
      <c r="AG25" s="956" t="s">
        <v>760</v>
      </c>
      <c r="AH25" s="1049"/>
      <c r="AI25" s="925"/>
      <c r="AJ25" s="1102" t="s">
        <v>3720</v>
      </c>
      <c r="AK25" s="1536" t="s">
        <v>3721</v>
      </c>
      <c r="AL25" s="1103" t="s">
        <v>3722</v>
      </c>
      <c r="AM25" s="1536" t="s">
        <v>3723</v>
      </c>
      <c r="AN25" s="1536" t="s">
        <v>3724</v>
      </c>
      <c r="AO25" s="1103" t="s">
        <v>3725</v>
      </c>
      <c r="AP25" s="1103"/>
      <c r="AQ25" s="127" t="s">
        <v>3726</v>
      </c>
      <c r="AR25" s="1187"/>
      <c r="AS25" s="1380"/>
      <c r="AT25" s="1379"/>
    </row>
    <row r="26" s="974" customFormat="1" ht="14.1" customHeight="1" spans="2:45">
      <c r="B26" s="1551" t="s">
        <v>296</v>
      </c>
      <c r="C26" s="14" t="s">
        <v>3727</v>
      </c>
      <c r="D26" s="1162" t="s">
        <v>3728</v>
      </c>
      <c r="E26" s="1043" t="s">
        <v>3729</v>
      </c>
      <c r="F26" s="1043" t="s">
        <v>43</v>
      </c>
      <c r="G26" s="1043" t="s">
        <v>60</v>
      </c>
      <c r="H26" s="1226" t="s">
        <v>3730</v>
      </c>
      <c r="I26" s="914"/>
      <c r="J26" s="1226" t="s">
        <v>3731</v>
      </c>
      <c r="K26" s="1169">
        <v>43132</v>
      </c>
      <c r="L26" s="1169">
        <v>43220</v>
      </c>
      <c r="M26" s="993">
        <v>43373</v>
      </c>
      <c r="N26" s="1169"/>
      <c r="O26" s="1169"/>
      <c r="P26" s="1050"/>
      <c r="Q26" s="1169"/>
      <c r="R26" s="1210"/>
      <c r="S26" s="640">
        <f ca="1" t="shared" si="5"/>
        <v>100.61546296296</v>
      </c>
      <c r="T26" s="121" t="str">
        <f ca="1" t="shared" si="0"/>
        <v>ACTIVE</v>
      </c>
      <c r="U26" s="946"/>
      <c r="V26" s="1222">
        <v>5000000</v>
      </c>
      <c r="W26" s="1077">
        <v>750000</v>
      </c>
      <c r="X26" s="1085"/>
      <c r="Y26" s="1078"/>
      <c r="Z26" s="1222">
        <v>2000000</v>
      </c>
      <c r="AA26" s="1077">
        <v>750000</v>
      </c>
      <c r="AB26" s="1077">
        <v>1000000</v>
      </c>
      <c r="AC26" s="1002"/>
      <c r="AD26" s="1076"/>
      <c r="AE26" s="946" t="s">
        <v>0</v>
      </c>
      <c r="AF26" s="956" t="s">
        <v>48</v>
      </c>
      <c r="AG26" s="956" t="s">
        <v>760</v>
      </c>
      <c r="AH26" s="1226" t="s">
        <v>3732</v>
      </c>
      <c r="AI26" s="925"/>
      <c r="AJ26" s="1102" t="s">
        <v>3733</v>
      </c>
      <c r="AK26" s="1536" t="s">
        <v>3734</v>
      </c>
      <c r="AL26" s="1103" t="s">
        <v>3735</v>
      </c>
      <c r="AM26" s="1536" t="s">
        <v>3736</v>
      </c>
      <c r="AN26" s="1103" t="s">
        <v>3737</v>
      </c>
      <c r="AO26" s="1103" t="s">
        <v>3738</v>
      </c>
      <c r="AP26" s="1103" t="s">
        <v>3739</v>
      </c>
      <c r="AQ26" s="127" t="s">
        <v>3740</v>
      </c>
      <c r="AR26" s="1187"/>
      <c r="AS26" s="1380"/>
    </row>
    <row r="27" s="974" customFormat="1" ht="14.1" customHeight="1" spans="2:45">
      <c r="B27" s="1551" t="s">
        <v>308</v>
      </c>
      <c r="C27" s="14" t="s">
        <v>3741</v>
      </c>
      <c r="D27" s="1162" t="s">
        <v>3742</v>
      </c>
      <c r="E27" s="1043" t="s">
        <v>3743</v>
      </c>
      <c r="F27" s="1043" t="s">
        <v>43</v>
      </c>
      <c r="G27" s="1043" t="s">
        <v>60</v>
      </c>
      <c r="H27" s="1049" t="s">
        <v>3719</v>
      </c>
      <c r="I27" s="914" t="s">
        <v>3684</v>
      </c>
      <c r="J27" s="1049" t="s">
        <v>3744</v>
      </c>
      <c r="K27" s="1169">
        <v>43136</v>
      </c>
      <c r="L27" s="1169">
        <v>43255</v>
      </c>
      <c r="M27" s="926"/>
      <c r="N27" s="1169"/>
      <c r="O27" s="1169"/>
      <c r="P27" s="1050"/>
      <c r="Q27" s="1169"/>
      <c r="R27" s="1210"/>
      <c r="S27" s="640">
        <f ca="1" t="shared" ref="S27" si="6">SUM(L27-NOW())</f>
        <v>-17.38453703704</v>
      </c>
      <c r="T27" s="121" t="str">
        <f ca="1" t="shared" si="0"/>
        <v>WARNING</v>
      </c>
      <c r="U27" s="946"/>
      <c r="V27" s="1083">
        <v>13000000</v>
      </c>
      <c r="W27" s="1077">
        <v>1000000</v>
      </c>
      <c r="X27" s="1366">
        <v>3000000</v>
      </c>
      <c r="Y27" s="1228"/>
      <c r="Z27" s="1085">
        <v>3000000</v>
      </c>
      <c r="AA27" s="1077">
        <v>1000000</v>
      </c>
      <c r="AB27" s="1077">
        <v>1000000</v>
      </c>
      <c r="AC27" s="1002"/>
      <c r="AD27" s="1076"/>
      <c r="AE27" s="946" t="s">
        <v>0</v>
      </c>
      <c r="AF27" s="956" t="s">
        <v>48</v>
      </c>
      <c r="AG27" s="956" t="s">
        <v>760</v>
      </c>
      <c r="AH27" s="1049"/>
      <c r="AI27" s="925"/>
      <c r="AJ27" s="1102" t="s">
        <v>3745</v>
      </c>
      <c r="AK27" s="1536" t="s">
        <v>3746</v>
      </c>
      <c r="AL27" s="1103" t="s">
        <v>3747</v>
      </c>
      <c r="AM27" s="1536" t="s">
        <v>3748</v>
      </c>
      <c r="AN27" s="1103" t="s">
        <v>3749</v>
      </c>
      <c r="AO27" s="1103" t="s">
        <v>3750</v>
      </c>
      <c r="AP27" s="1103"/>
      <c r="AQ27" s="127" t="s">
        <v>3751</v>
      </c>
      <c r="AR27" s="1187"/>
      <c r="AS27" s="1380"/>
    </row>
    <row r="28" s="974" customFormat="1" ht="21" spans="2:45">
      <c r="B28" s="1551" t="s">
        <v>320</v>
      </c>
      <c r="C28" s="14" t="s">
        <v>3752</v>
      </c>
      <c r="D28" s="1162" t="s">
        <v>2515</v>
      </c>
      <c r="E28" s="1043" t="s">
        <v>3753</v>
      </c>
      <c r="F28" s="1043" t="s">
        <v>43</v>
      </c>
      <c r="G28" s="1043" t="s">
        <v>44</v>
      </c>
      <c r="H28" s="1049" t="s">
        <v>2910</v>
      </c>
      <c r="I28" s="914" t="s">
        <v>3684</v>
      </c>
      <c r="J28" s="1226" t="s">
        <v>3754</v>
      </c>
      <c r="K28" s="1169">
        <v>43136</v>
      </c>
      <c r="L28" s="1169">
        <v>43194</v>
      </c>
      <c r="M28" s="993">
        <v>43285</v>
      </c>
      <c r="N28" s="1169"/>
      <c r="O28" s="1169"/>
      <c r="P28" s="1050"/>
      <c r="Q28" s="1169"/>
      <c r="R28" s="1210"/>
      <c r="S28" s="640">
        <f ca="1">SUM(M28-NOW())</f>
        <v>12.61546296296</v>
      </c>
      <c r="T28" s="121" t="str">
        <f ca="1" t="shared" si="0"/>
        <v>WARNING</v>
      </c>
      <c r="U28" s="946"/>
      <c r="V28" s="1367">
        <v>4500000</v>
      </c>
      <c r="W28" s="1083">
        <v>150000</v>
      </c>
      <c r="X28" s="1366"/>
      <c r="Y28" s="1228"/>
      <c r="Z28" s="1366"/>
      <c r="AA28" s="1367">
        <v>200000</v>
      </c>
      <c r="AB28" s="1083"/>
      <c r="AC28" s="1002"/>
      <c r="AD28" s="1369">
        <v>0</v>
      </c>
      <c r="AE28" s="946" t="s">
        <v>0</v>
      </c>
      <c r="AF28" s="956" t="s">
        <v>48</v>
      </c>
      <c r="AG28" s="956" t="s">
        <v>760</v>
      </c>
      <c r="AH28" s="1226" t="s">
        <v>3755</v>
      </c>
      <c r="AI28" s="925"/>
      <c r="AJ28" s="1102" t="s">
        <v>3756</v>
      </c>
      <c r="AK28" s="1536" t="s">
        <v>3757</v>
      </c>
      <c r="AL28" s="1103" t="s">
        <v>3758</v>
      </c>
      <c r="AM28" s="1536" t="s">
        <v>3759</v>
      </c>
      <c r="AN28" s="1103" t="s">
        <v>3760</v>
      </c>
      <c r="AO28" s="1103"/>
      <c r="AP28" s="1103"/>
      <c r="AQ28" s="127" t="s">
        <v>3761</v>
      </c>
      <c r="AR28" s="1187"/>
      <c r="AS28" s="1380"/>
    </row>
    <row r="29" s="974" customFormat="1" ht="21" spans="2:44">
      <c r="B29" s="1551" t="s">
        <v>333</v>
      </c>
      <c r="C29" s="164" t="s">
        <v>3762</v>
      </c>
      <c r="D29" s="1162" t="s">
        <v>3763</v>
      </c>
      <c r="E29" s="1043" t="s">
        <v>3764</v>
      </c>
      <c r="F29" s="1043" t="s">
        <v>43</v>
      </c>
      <c r="G29" s="1043"/>
      <c r="H29" s="1049" t="s">
        <v>757</v>
      </c>
      <c r="I29" s="914" t="s">
        <v>3684</v>
      </c>
      <c r="J29" s="1226" t="s">
        <v>3765</v>
      </c>
      <c r="K29" s="1169">
        <v>43143</v>
      </c>
      <c r="L29" s="1169">
        <v>43170</v>
      </c>
      <c r="M29" s="993">
        <v>43190</v>
      </c>
      <c r="N29" s="1204">
        <v>43281</v>
      </c>
      <c r="O29" s="1169"/>
      <c r="P29" s="1050"/>
      <c r="Q29" s="1169"/>
      <c r="R29" s="1210"/>
      <c r="S29" s="640">
        <f ca="1">SUM(N29-NOW())</f>
        <v>8.61546296296001</v>
      </c>
      <c r="T29" s="121" t="str">
        <f ca="1" t="shared" si="0"/>
        <v>WARNING</v>
      </c>
      <c r="U29" s="946"/>
      <c r="V29" s="1083">
        <v>4000000</v>
      </c>
      <c r="W29" s="1083">
        <v>150000</v>
      </c>
      <c r="X29" s="1366"/>
      <c r="Y29" s="1228"/>
      <c r="Z29" s="1366"/>
      <c r="AA29" s="1083"/>
      <c r="AB29" s="1083"/>
      <c r="AC29" s="1370">
        <v>0</v>
      </c>
      <c r="AD29" s="1076">
        <v>17000</v>
      </c>
      <c r="AE29" s="946" t="s">
        <v>0</v>
      </c>
      <c r="AF29" s="956" t="s">
        <v>48</v>
      </c>
      <c r="AG29" s="956" t="s">
        <v>760</v>
      </c>
      <c r="AH29" s="1226" t="s">
        <v>3766</v>
      </c>
      <c r="AI29" s="925"/>
      <c r="AJ29" s="1102" t="s">
        <v>3767</v>
      </c>
      <c r="AK29" s="1536" t="s">
        <v>3768</v>
      </c>
      <c r="AL29" s="1103" t="s">
        <v>3769</v>
      </c>
      <c r="AM29" s="1103"/>
      <c r="AN29" s="1103"/>
      <c r="AO29" s="1103"/>
      <c r="AP29" s="1103"/>
      <c r="AQ29" s="127" t="s">
        <v>3770</v>
      </c>
      <c r="AR29" s="1187"/>
    </row>
    <row r="30" s="974" customFormat="1" ht="14.1" customHeight="1" spans="2:44">
      <c r="B30" s="1551" t="s">
        <v>346</v>
      </c>
      <c r="C30" s="164" t="s">
        <v>3771</v>
      </c>
      <c r="D30" s="1162" t="s">
        <v>3772</v>
      </c>
      <c r="E30" s="1043" t="s">
        <v>3773</v>
      </c>
      <c r="F30" s="1043" t="s">
        <v>125</v>
      </c>
      <c r="G30" s="1043" t="s">
        <v>43</v>
      </c>
      <c r="H30" s="1049" t="s">
        <v>3719</v>
      </c>
      <c r="I30" s="914" t="s">
        <v>3684</v>
      </c>
      <c r="J30" s="1049" t="s">
        <v>3774</v>
      </c>
      <c r="K30" s="1169">
        <v>43160</v>
      </c>
      <c r="L30" s="1169">
        <v>43251</v>
      </c>
      <c r="M30" s="993">
        <v>43281</v>
      </c>
      <c r="N30" s="1169"/>
      <c r="O30" s="1169"/>
      <c r="P30" s="1050"/>
      <c r="Q30" s="1169"/>
      <c r="R30" s="1210"/>
      <c r="S30" s="640">
        <f ca="1">SUM(M30-NOW())</f>
        <v>8.61546296296001</v>
      </c>
      <c r="T30" s="121" t="str">
        <f ca="1" t="shared" si="0"/>
        <v>WARNING</v>
      </c>
      <c r="U30" s="946"/>
      <c r="V30" s="1083">
        <v>4500000</v>
      </c>
      <c r="W30" s="1083">
        <v>150000</v>
      </c>
      <c r="X30" s="1366"/>
      <c r="Y30" s="1228"/>
      <c r="Z30" s="1366"/>
      <c r="AA30" s="1083">
        <v>200000</v>
      </c>
      <c r="AB30" s="1083">
        <v>500000</v>
      </c>
      <c r="AC30" s="1366"/>
      <c r="AD30" s="1076"/>
      <c r="AE30" s="946" t="s">
        <v>0</v>
      </c>
      <c r="AF30" s="956" t="s">
        <v>48</v>
      </c>
      <c r="AG30" s="956" t="s">
        <v>760</v>
      </c>
      <c r="AH30" s="1049"/>
      <c r="AI30" s="925"/>
      <c r="AJ30" s="1102" t="s">
        <v>3775</v>
      </c>
      <c r="AK30" s="1536" t="s">
        <v>3776</v>
      </c>
      <c r="AL30" s="1103" t="s">
        <v>3777</v>
      </c>
      <c r="AM30" s="1536" t="s">
        <v>3778</v>
      </c>
      <c r="AN30" s="1103" t="s">
        <v>3779</v>
      </c>
      <c r="AO30" s="1103"/>
      <c r="AP30" s="1103" t="s">
        <v>3780</v>
      </c>
      <c r="AQ30" s="127" t="s">
        <v>3781</v>
      </c>
      <c r="AR30" s="1187"/>
    </row>
    <row r="31" s="974" customFormat="1" ht="14.1" customHeight="1" spans="2:44">
      <c r="B31" s="1551" t="s">
        <v>357</v>
      </c>
      <c r="C31" s="164" t="s">
        <v>3782</v>
      </c>
      <c r="D31" s="1162" t="s">
        <v>3783</v>
      </c>
      <c r="E31" s="1043" t="s">
        <v>3784</v>
      </c>
      <c r="F31" s="1043" t="s">
        <v>43</v>
      </c>
      <c r="G31" s="1043" t="s">
        <v>44</v>
      </c>
      <c r="H31" s="1049" t="s">
        <v>2910</v>
      </c>
      <c r="I31" s="914" t="s">
        <v>3684</v>
      </c>
      <c r="J31" s="1049" t="s">
        <v>3785</v>
      </c>
      <c r="K31" s="1169">
        <v>43174</v>
      </c>
      <c r="L31" s="1169">
        <v>43281</v>
      </c>
      <c r="M31" s="926"/>
      <c r="N31" s="1169"/>
      <c r="O31" s="1169"/>
      <c r="P31" s="1050"/>
      <c r="Q31" s="1169"/>
      <c r="R31" s="1210"/>
      <c r="S31" s="640">
        <f ca="1" t="shared" ref="S31:S51" si="7">SUM(L31-NOW())</f>
        <v>8.61546296296001</v>
      </c>
      <c r="T31" s="121" t="str">
        <f ca="1" t="shared" si="0"/>
        <v>WARNING</v>
      </c>
      <c r="U31" s="946"/>
      <c r="V31" s="1083">
        <v>4000000</v>
      </c>
      <c r="W31" s="1083">
        <v>150000</v>
      </c>
      <c r="X31" s="1366"/>
      <c r="Y31" s="1228"/>
      <c r="Z31" s="1366"/>
      <c r="AA31" s="1083"/>
      <c r="AB31" s="1083"/>
      <c r="AC31" s="1366"/>
      <c r="AD31" s="1076">
        <v>17000</v>
      </c>
      <c r="AE31" s="946" t="s">
        <v>0</v>
      </c>
      <c r="AF31" s="956" t="s">
        <v>48</v>
      </c>
      <c r="AG31" s="956" t="s">
        <v>760</v>
      </c>
      <c r="AH31" s="1049"/>
      <c r="AI31" s="925"/>
      <c r="AJ31" s="1102" t="s">
        <v>3786</v>
      </c>
      <c r="AK31" s="1536" t="s">
        <v>3787</v>
      </c>
      <c r="AL31" s="1103" t="s">
        <v>3788</v>
      </c>
      <c r="AM31" s="1536" t="s">
        <v>3789</v>
      </c>
      <c r="AN31" s="1103"/>
      <c r="AO31" s="1536" t="s">
        <v>3790</v>
      </c>
      <c r="AP31" s="1103" t="s">
        <v>3791</v>
      </c>
      <c r="AQ31" s="127" t="s">
        <v>3792</v>
      </c>
      <c r="AR31" s="1187"/>
    </row>
    <row r="32" s="974" customFormat="1" ht="14.1" customHeight="1" spans="2:44">
      <c r="B32" s="1551" t="s">
        <v>369</v>
      </c>
      <c r="C32" s="164" t="s">
        <v>3793</v>
      </c>
      <c r="D32" s="1162" t="s">
        <v>3794</v>
      </c>
      <c r="E32" s="1043" t="s">
        <v>3795</v>
      </c>
      <c r="F32" s="1043" t="s">
        <v>43</v>
      </c>
      <c r="G32" s="1043" t="s">
        <v>254</v>
      </c>
      <c r="H32" s="1049" t="s">
        <v>1068</v>
      </c>
      <c r="I32" s="914" t="s">
        <v>3684</v>
      </c>
      <c r="J32" s="1049" t="s">
        <v>3796</v>
      </c>
      <c r="K32" s="1169">
        <v>43174</v>
      </c>
      <c r="L32" s="1169">
        <v>43281</v>
      </c>
      <c r="M32" s="926"/>
      <c r="N32" s="1169"/>
      <c r="O32" s="1169"/>
      <c r="P32" s="1050"/>
      <c r="Q32" s="1169"/>
      <c r="R32" s="1210"/>
      <c r="S32" s="640">
        <f ca="1" t="shared" si="7"/>
        <v>8.61546296296001</v>
      </c>
      <c r="T32" s="121" t="str">
        <f ca="1" t="shared" si="0"/>
        <v>WARNING</v>
      </c>
      <c r="U32" s="946"/>
      <c r="V32" s="1083">
        <v>9000000</v>
      </c>
      <c r="W32" s="1083">
        <v>1000000</v>
      </c>
      <c r="X32" s="1366">
        <v>3000000</v>
      </c>
      <c r="Y32" s="1228"/>
      <c r="Z32" s="1366">
        <v>3000000</v>
      </c>
      <c r="AA32" s="1083">
        <v>1000000</v>
      </c>
      <c r="AB32" s="1083">
        <v>1000000</v>
      </c>
      <c r="AC32" s="1366"/>
      <c r="AD32" s="1076"/>
      <c r="AE32" s="946" t="s">
        <v>0</v>
      </c>
      <c r="AF32" s="956" t="s">
        <v>48</v>
      </c>
      <c r="AG32" s="956" t="s">
        <v>760</v>
      </c>
      <c r="AH32" s="1049"/>
      <c r="AI32" s="925"/>
      <c r="AJ32" s="1102" t="s">
        <v>3797</v>
      </c>
      <c r="AK32" s="1536" t="s">
        <v>3798</v>
      </c>
      <c r="AL32" s="1103" t="s">
        <v>3799</v>
      </c>
      <c r="AM32" s="1536" t="s">
        <v>3800</v>
      </c>
      <c r="AN32" s="1103" t="s">
        <v>3801</v>
      </c>
      <c r="AO32" s="1103"/>
      <c r="AP32" s="1536" t="s">
        <v>3802</v>
      </c>
      <c r="AQ32" s="127" t="s">
        <v>3803</v>
      </c>
      <c r="AR32" s="1187"/>
    </row>
    <row r="33" s="974" customFormat="1" ht="14.1" customHeight="1" spans="2:44">
      <c r="B33" s="1551" t="s">
        <v>381</v>
      </c>
      <c r="C33" s="164" t="s">
        <v>3804</v>
      </c>
      <c r="D33" s="1162" t="s">
        <v>3805</v>
      </c>
      <c r="E33" s="1043" t="s">
        <v>3806</v>
      </c>
      <c r="F33" s="1043" t="s">
        <v>43</v>
      </c>
      <c r="G33" s="1043" t="s">
        <v>60</v>
      </c>
      <c r="H33" s="1049" t="s">
        <v>2910</v>
      </c>
      <c r="I33" s="914" t="s">
        <v>3684</v>
      </c>
      <c r="J33" s="1049" t="s">
        <v>3785</v>
      </c>
      <c r="K33" s="1169">
        <v>43174</v>
      </c>
      <c r="L33" s="1169">
        <v>43281</v>
      </c>
      <c r="M33" s="926"/>
      <c r="N33" s="1169"/>
      <c r="O33" s="1169"/>
      <c r="P33" s="1050"/>
      <c r="Q33" s="1169"/>
      <c r="R33" s="1210"/>
      <c r="S33" s="640">
        <f ca="1" t="shared" si="7"/>
        <v>8.61546296296001</v>
      </c>
      <c r="T33" s="121" t="str">
        <f ca="1" t="shared" si="0"/>
        <v>WARNING</v>
      </c>
      <c r="U33" s="946"/>
      <c r="V33" s="1083">
        <v>4000000</v>
      </c>
      <c r="W33" s="1083">
        <v>150000</v>
      </c>
      <c r="X33" s="1366"/>
      <c r="Y33" s="1228"/>
      <c r="Z33" s="1366"/>
      <c r="AA33" s="1083"/>
      <c r="AB33" s="1083"/>
      <c r="AC33" s="1366"/>
      <c r="AD33" s="1076">
        <v>17000</v>
      </c>
      <c r="AE33" s="946" t="s">
        <v>0</v>
      </c>
      <c r="AF33" s="956" t="s">
        <v>48</v>
      </c>
      <c r="AG33" s="956" t="s">
        <v>760</v>
      </c>
      <c r="AH33" s="1049"/>
      <c r="AI33" s="925"/>
      <c r="AJ33" s="1102" t="s">
        <v>3807</v>
      </c>
      <c r="AK33" s="1536" t="s">
        <v>3808</v>
      </c>
      <c r="AL33" s="1103" t="s">
        <v>3809</v>
      </c>
      <c r="AM33" s="1536" t="s">
        <v>3810</v>
      </c>
      <c r="AN33" s="1103"/>
      <c r="AO33" s="1103"/>
      <c r="AP33" s="1103" t="s">
        <v>3811</v>
      </c>
      <c r="AQ33" s="127" t="s">
        <v>3812</v>
      </c>
      <c r="AR33" s="1187"/>
    </row>
    <row r="34" s="1025" customFormat="1" ht="24" spans="2:44">
      <c r="B34" s="1551" t="s">
        <v>390</v>
      </c>
      <c r="C34" s="164" t="s">
        <v>3813</v>
      </c>
      <c r="D34" s="1162" t="s">
        <v>3814</v>
      </c>
      <c r="E34" s="1043" t="s">
        <v>3815</v>
      </c>
      <c r="F34" s="1043" t="s">
        <v>43</v>
      </c>
      <c r="G34" s="1043" t="s">
        <v>254</v>
      </c>
      <c r="H34" s="1049" t="s">
        <v>757</v>
      </c>
      <c r="I34" s="914" t="s">
        <v>3684</v>
      </c>
      <c r="J34" s="1049" t="s">
        <v>3529</v>
      </c>
      <c r="K34" s="1169">
        <v>43191</v>
      </c>
      <c r="L34" s="1169">
        <v>43281</v>
      </c>
      <c r="M34" s="926"/>
      <c r="N34" s="1169"/>
      <c r="O34" s="1169"/>
      <c r="P34" s="1050"/>
      <c r="Q34" s="1169"/>
      <c r="R34" s="1210"/>
      <c r="S34" s="640">
        <f ca="1" t="shared" si="7"/>
        <v>8.61546296296001</v>
      </c>
      <c r="T34" s="121" t="str">
        <f ca="1" t="shared" si="0"/>
        <v>WARNING</v>
      </c>
      <c r="U34" s="946"/>
      <c r="V34" s="1083">
        <v>5000000</v>
      </c>
      <c r="W34" s="1083">
        <v>1000000</v>
      </c>
      <c r="X34" s="1366">
        <v>3000000</v>
      </c>
      <c r="Y34" s="1228"/>
      <c r="Z34" s="1366">
        <v>1000000</v>
      </c>
      <c r="AA34" s="1083">
        <v>1000000</v>
      </c>
      <c r="AB34" s="1083">
        <v>1000000</v>
      </c>
      <c r="AC34" s="1366"/>
      <c r="AD34" s="1076"/>
      <c r="AE34" s="946" t="s">
        <v>0</v>
      </c>
      <c r="AF34" s="956" t="s">
        <v>48</v>
      </c>
      <c r="AG34" s="956" t="s">
        <v>760</v>
      </c>
      <c r="AH34" s="1049"/>
      <c r="AI34" s="925"/>
      <c r="AJ34" s="1102" t="s">
        <v>3816</v>
      </c>
      <c r="AK34" s="1536" t="s">
        <v>3817</v>
      </c>
      <c r="AL34" s="1103" t="s">
        <v>3818</v>
      </c>
      <c r="AM34" s="1536" t="s">
        <v>3819</v>
      </c>
      <c r="AN34" s="1103" t="s">
        <v>3820</v>
      </c>
      <c r="AO34" s="1536" t="s">
        <v>3821</v>
      </c>
      <c r="AP34" s="1103" t="s">
        <v>3822</v>
      </c>
      <c r="AQ34" s="130" t="s">
        <v>3823</v>
      </c>
      <c r="AR34" s="912" t="s">
        <v>3824</v>
      </c>
    </row>
    <row r="35" s="974" customFormat="1" ht="14.1" customHeight="1" spans="2:44">
      <c r="B35" s="1551" t="s">
        <v>400</v>
      </c>
      <c r="C35" s="164" t="s">
        <v>3825</v>
      </c>
      <c r="D35" s="1162" t="s">
        <v>3826</v>
      </c>
      <c r="E35" s="1043" t="s">
        <v>3827</v>
      </c>
      <c r="F35" s="1043" t="s">
        <v>43</v>
      </c>
      <c r="G35" s="1043" t="s">
        <v>60</v>
      </c>
      <c r="H35" s="1049" t="s">
        <v>1549</v>
      </c>
      <c r="I35" s="914" t="s">
        <v>3684</v>
      </c>
      <c r="J35" s="1049" t="s">
        <v>3828</v>
      </c>
      <c r="K35" s="1169">
        <v>43185</v>
      </c>
      <c r="L35" s="1169">
        <v>43281</v>
      </c>
      <c r="M35" s="926"/>
      <c r="N35" s="1169"/>
      <c r="O35" s="1169"/>
      <c r="P35" s="1050"/>
      <c r="Q35" s="1169"/>
      <c r="R35" s="1210"/>
      <c r="S35" s="640">
        <f ca="1" t="shared" si="7"/>
        <v>8.61546296296001</v>
      </c>
      <c r="T35" s="121" t="str">
        <f ca="1" t="shared" si="0"/>
        <v>WARNING</v>
      </c>
      <c r="U35" s="946"/>
      <c r="V35" s="1083">
        <v>5000000</v>
      </c>
      <c r="W35" s="1083">
        <v>150000</v>
      </c>
      <c r="X35" s="1366"/>
      <c r="Y35" s="1228"/>
      <c r="Z35" s="1366"/>
      <c r="AA35" s="1083">
        <v>200000</v>
      </c>
      <c r="AB35" s="1083">
        <v>500000</v>
      </c>
      <c r="AC35" s="1366"/>
      <c r="AD35" s="1076"/>
      <c r="AE35" s="946" t="s">
        <v>0</v>
      </c>
      <c r="AF35" s="956" t="s">
        <v>48</v>
      </c>
      <c r="AG35" s="956" t="s">
        <v>760</v>
      </c>
      <c r="AH35" s="1049"/>
      <c r="AI35" s="925"/>
      <c r="AJ35" s="1102" t="s">
        <v>3829</v>
      </c>
      <c r="AK35" s="1536" t="s">
        <v>3830</v>
      </c>
      <c r="AL35" s="1103" t="s">
        <v>3831</v>
      </c>
      <c r="AM35" s="1536" t="s">
        <v>3832</v>
      </c>
      <c r="AN35" s="1103" t="s">
        <v>3833</v>
      </c>
      <c r="AO35" s="1103"/>
      <c r="AP35" s="1103"/>
      <c r="AQ35" s="127" t="s">
        <v>3834</v>
      </c>
      <c r="AR35" s="1187"/>
    </row>
    <row r="36" s="974" customFormat="1" ht="14.1" customHeight="1" spans="2:44">
      <c r="B36" s="1551" t="s">
        <v>411</v>
      </c>
      <c r="C36" s="164" t="s">
        <v>3835</v>
      </c>
      <c r="D36" s="1162" t="s">
        <v>3836</v>
      </c>
      <c r="E36" s="1043" t="s">
        <v>3837</v>
      </c>
      <c r="F36" s="1043" t="s">
        <v>43</v>
      </c>
      <c r="G36" s="1043" t="s">
        <v>44</v>
      </c>
      <c r="H36" s="1049" t="s">
        <v>3838</v>
      </c>
      <c r="I36" s="914" t="s">
        <v>3684</v>
      </c>
      <c r="J36" s="1049" t="s">
        <v>3603</v>
      </c>
      <c r="K36" s="1169">
        <v>43185</v>
      </c>
      <c r="L36" s="1169">
        <v>43276</v>
      </c>
      <c r="M36" s="926"/>
      <c r="N36" s="1169"/>
      <c r="O36" s="1169"/>
      <c r="P36" s="1050"/>
      <c r="Q36" s="1169"/>
      <c r="R36" s="1210"/>
      <c r="S36" s="640">
        <f ca="1" t="shared" si="7"/>
        <v>3.61546296296001</v>
      </c>
      <c r="T36" s="121" t="str">
        <f ca="1" t="shared" si="0"/>
        <v>WARNING</v>
      </c>
      <c r="U36" s="946"/>
      <c r="V36" s="1083">
        <v>4000000</v>
      </c>
      <c r="W36" s="1083">
        <v>150000</v>
      </c>
      <c r="X36" s="1366"/>
      <c r="Y36" s="1228"/>
      <c r="Z36" s="1366"/>
      <c r="AA36" s="1083">
        <v>200000</v>
      </c>
      <c r="AB36" s="1083">
        <v>500000</v>
      </c>
      <c r="AC36" s="1366"/>
      <c r="AD36" s="1076"/>
      <c r="AE36" s="946" t="s">
        <v>0</v>
      </c>
      <c r="AF36" s="956" t="s">
        <v>48</v>
      </c>
      <c r="AG36" s="956" t="s">
        <v>760</v>
      </c>
      <c r="AH36" s="1049"/>
      <c r="AI36" s="925"/>
      <c r="AJ36" s="1102" t="s">
        <v>3839</v>
      </c>
      <c r="AK36" s="1536" t="s">
        <v>3840</v>
      </c>
      <c r="AL36" s="1536" t="s">
        <v>3841</v>
      </c>
      <c r="AM36" s="1536" t="s">
        <v>3842</v>
      </c>
      <c r="AN36" s="1103"/>
      <c r="AO36" s="1103"/>
      <c r="AP36" s="1103"/>
      <c r="AQ36" s="127" t="s">
        <v>3843</v>
      </c>
      <c r="AR36" s="1187"/>
    </row>
    <row r="37" s="974" customFormat="1" ht="14.1" customHeight="1" spans="2:44">
      <c r="B37" s="1551" t="s">
        <v>424</v>
      </c>
      <c r="C37" s="164" t="s">
        <v>3844</v>
      </c>
      <c r="D37" s="1162" t="s">
        <v>3845</v>
      </c>
      <c r="E37" s="1043" t="s">
        <v>3846</v>
      </c>
      <c r="F37" s="1043" t="s">
        <v>43</v>
      </c>
      <c r="G37" s="1043" t="s">
        <v>60</v>
      </c>
      <c r="H37" s="1049" t="s">
        <v>3847</v>
      </c>
      <c r="I37" s="914" t="s">
        <v>3684</v>
      </c>
      <c r="J37" s="1049" t="s">
        <v>3603</v>
      </c>
      <c r="K37" s="1169">
        <v>43186</v>
      </c>
      <c r="L37" s="1169">
        <v>43277</v>
      </c>
      <c r="M37" s="926"/>
      <c r="N37" s="1169"/>
      <c r="O37" s="1169"/>
      <c r="P37" s="1050"/>
      <c r="Q37" s="1169"/>
      <c r="R37" s="1210"/>
      <c r="S37" s="640">
        <f ca="1" t="shared" si="7"/>
        <v>4.61546296296001</v>
      </c>
      <c r="T37" s="121" t="str">
        <f ca="1" t="shared" si="0"/>
        <v>WARNING</v>
      </c>
      <c r="U37" s="946"/>
      <c r="V37" s="1083">
        <v>4500000</v>
      </c>
      <c r="W37" s="1083">
        <v>150000</v>
      </c>
      <c r="X37" s="1366"/>
      <c r="Y37" s="1228"/>
      <c r="Z37" s="1366"/>
      <c r="AA37" s="1083">
        <v>200000</v>
      </c>
      <c r="AB37" s="1083">
        <v>500000</v>
      </c>
      <c r="AC37" s="1366"/>
      <c r="AD37" s="1076"/>
      <c r="AE37" s="946" t="s">
        <v>0</v>
      </c>
      <c r="AF37" s="956" t="s">
        <v>48</v>
      </c>
      <c r="AG37" s="956" t="s">
        <v>760</v>
      </c>
      <c r="AH37" s="1049"/>
      <c r="AI37" s="925"/>
      <c r="AJ37" s="1102" t="s">
        <v>3848</v>
      </c>
      <c r="AK37" s="1536" t="s">
        <v>3849</v>
      </c>
      <c r="AL37" s="1536" t="s">
        <v>3850</v>
      </c>
      <c r="AM37" s="1536" t="s">
        <v>3851</v>
      </c>
      <c r="AN37" s="1103"/>
      <c r="AO37" s="1103"/>
      <c r="AP37" s="1103"/>
      <c r="AQ37" s="127" t="s">
        <v>3852</v>
      </c>
      <c r="AR37" s="1187"/>
    </row>
    <row r="38" s="974" customFormat="1" ht="14.1" customHeight="1" spans="2:44">
      <c r="B38" s="1551" t="s">
        <v>438</v>
      </c>
      <c r="C38" s="164" t="s">
        <v>3853</v>
      </c>
      <c r="D38" s="1162" t="s">
        <v>3854</v>
      </c>
      <c r="E38" s="1043" t="s">
        <v>3855</v>
      </c>
      <c r="F38" s="1043" t="s">
        <v>43</v>
      </c>
      <c r="G38" s="1043" t="s">
        <v>44</v>
      </c>
      <c r="H38" s="1049" t="s">
        <v>3856</v>
      </c>
      <c r="I38" s="914" t="s">
        <v>3684</v>
      </c>
      <c r="J38" s="1049" t="s">
        <v>3603</v>
      </c>
      <c r="K38" s="1169">
        <v>43185</v>
      </c>
      <c r="L38" s="1169">
        <v>43276</v>
      </c>
      <c r="M38" s="926"/>
      <c r="N38" s="1169"/>
      <c r="O38" s="1169"/>
      <c r="P38" s="1050"/>
      <c r="Q38" s="1169"/>
      <c r="R38" s="1210"/>
      <c r="S38" s="640">
        <f ca="1" t="shared" si="7"/>
        <v>3.61546296296001</v>
      </c>
      <c r="T38" s="121" t="str">
        <f ca="1" t="shared" si="0"/>
        <v>WARNING</v>
      </c>
      <c r="U38" s="946"/>
      <c r="V38" s="1083">
        <v>4500000</v>
      </c>
      <c r="W38" s="1083">
        <v>150000</v>
      </c>
      <c r="X38" s="1366"/>
      <c r="Y38" s="1228"/>
      <c r="Z38" s="1366"/>
      <c r="AA38" s="1083">
        <v>200000</v>
      </c>
      <c r="AB38" s="1083">
        <v>500000</v>
      </c>
      <c r="AC38" s="1366"/>
      <c r="AD38" s="1076"/>
      <c r="AE38" s="946" t="s">
        <v>0</v>
      </c>
      <c r="AF38" s="956" t="s">
        <v>48</v>
      </c>
      <c r="AG38" s="956" t="s">
        <v>760</v>
      </c>
      <c r="AH38" s="1049"/>
      <c r="AI38" s="925"/>
      <c r="AJ38" s="1102" t="s">
        <v>3857</v>
      </c>
      <c r="AK38" s="1536" t="s">
        <v>3858</v>
      </c>
      <c r="AL38" s="1103" t="s">
        <v>3859</v>
      </c>
      <c r="AM38" s="1536" t="s">
        <v>3860</v>
      </c>
      <c r="AN38" s="1536" t="s">
        <v>3861</v>
      </c>
      <c r="AO38" s="1536" t="s">
        <v>3862</v>
      </c>
      <c r="AP38" s="1536" t="s">
        <v>3863</v>
      </c>
      <c r="AQ38" s="127" t="s">
        <v>3864</v>
      </c>
      <c r="AR38" s="1187"/>
    </row>
    <row r="39" s="974" customFormat="1" ht="14.1" customHeight="1" spans="2:44">
      <c r="B39" s="1551" t="s">
        <v>450</v>
      </c>
      <c r="C39" s="164" t="s">
        <v>3865</v>
      </c>
      <c r="D39" s="1162" t="s">
        <v>3866</v>
      </c>
      <c r="E39" s="1043" t="s">
        <v>3867</v>
      </c>
      <c r="F39" s="1043" t="s">
        <v>43</v>
      </c>
      <c r="G39" s="1043" t="s">
        <v>44</v>
      </c>
      <c r="H39" s="1049" t="s">
        <v>1793</v>
      </c>
      <c r="I39" s="914" t="s">
        <v>3684</v>
      </c>
      <c r="J39" s="1049" t="s">
        <v>3785</v>
      </c>
      <c r="K39" s="1169">
        <v>43188</v>
      </c>
      <c r="L39" s="1169">
        <v>43279</v>
      </c>
      <c r="M39" s="926"/>
      <c r="N39" s="1169"/>
      <c r="O39" s="1169"/>
      <c r="P39" s="1050"/>
      <c r="Q39" s="1169"/>
      <c r="R39" s="1210"/>
      <c r="S39" s="640">
        <f ca="1" t="shared" si="7"/>
        <v>6.61546296296001</v>
      </c>
      <c r="T39" s="121" t="str">
        <f ca="1" t="shared" si="0"/>
        <v>WARNING</v>
      </c>
      <c r="U39" s="946"/>
      <c r="V39" s="1083">
        <v>2765000</v>
      </c>
      <c r="W39" s="1083">
        <v>150000</v>
      </c>
      <c r="X39" s="1366">
        <v>750000</v>
      </c>
      <c r="Y39" s="1228" t="s">
        <v>583</v>
      </c>
      <c r="Z39" s="1366"/>
      <c r="AA39" s="1083" t="s">
        <v>583</v>
      </c>
      <c r="AB39" s="1083" t="s">
        <v>583</v>
      </c>
      <c r="AC39" s="1366"/>
      <c r="AD39" s="1076">
        <v>17000</v>
      </c>
      <c r="AE39" s="946" t="s">
        <v>0</v>
      </c>
      <c r="AF39" s="956" t="s">
        <v>48</v>
      </c>
      <c r="AG39" s="956" t="s">
        <v>760</v>
      </c>
      <c r="AH39" s="1049"/>
      <c r="AI39" s="925"/>
      <c r="AJ39" s="1102" t="s">
        <v>3868</v>
      </c>
      <c r="AK39" s="1536" t="s">
        <v>3869</v>
      </c>
      <c r="AL39" s="1103" t="s">
        <v>3870</v>
      </c>
      <c r="AM39" s="1536" t="s">
        <v>3871</v>
      </c>
      <c r="AN39" s="1103"/>
      <c r="AO39" s="1103"/>
      <c r="AP39" s="1103"/>
      <c r="AQ39" s="127" t="s">
        <v>3872</v>
      </c>
      <c r="AR39" s="1187"/>
    </row>
    <row r="40" s="1025" customFormat="1" ht="14.1" customHeight="1" spans="2:44">
      <c r="B40" s="1551" t="s">
        <v>463</v>
      </c>
      <c r="C40" s="164" t="s">
        <v>3873</v>
      </c>
      <c r="D40" s="1162" t="s">
        <v>3874</v>
      </c>
      <c r="E40" s="1043" t="s">
        <v>3875</v>
      </c>
      <c r="F40" s="1043" t="s">
        <v>43</v>
      </c>
      <c r="G40" s="1043" t="s">
        <v>404</v>
      </c>
      <c r="H40" s="1049" t="s">
        <v>3528</v>
      </c>
      <c r="I40" s="914" t="s">
        <v>3684</v>
      </c>
      <c r="J40" s="1049" t="s">
        <v>3529</v>
      </c>
      <c r="K40" s="1169">
        <v>43191</v>
      </c>
      <c r="L40" s="1169">
        <v>43281</v>
      </c>
      <c r="M40" s="926"/>
      <c r="N40" s="1169"/>
      <c r="O40" s="1169"/>
      <c r="P40" s="1050"/>
      <c r="Q40" s="1169"/>
      <c r="R40" s="1210"/>
      <c r="S40" s="640">
        <v>70.5863648148152</v>
      </c>
      <c r="T40" s="121" t="s">
        <v>745</v>
      </c>
      <c r="U40" s="946"/>
      <c r="V40" s="1083">
        <v>5000000</v>
      </c>
      <c r="W40" s="1083">
        <v>1000000</v>
      </c>
      <c r="X40" s="1366" t="s">
        <v>583</v>
      </c>
      <c r="Y40" s="1228"/>
      <c r="Z40" s="1366">
        <v>2000000</v>
      </c>
      <c r="AA40" s="1083">
        <v>1000000</v>
      </c>
      <c r="AB40" s="1083">
        <v>1000000</v>
      </c>
      <c r="AC40" s="1366"/>
      <c r="AD40" s="1076" t="s">
        <v>583</v>
      </c>
      <c r="AE40" s="946" t="s">
        <v>0</v>
      </c>
      <c r="AF40" s="956" t="s">
        <v>48</v>
      </c>
      <c r="AG40" s="956" t="s">
        <v>760</v>
      </c>
      <c r="AH40" s="1049"/>
      <c r="AI40" s="925"/>
      <c r="AJ40" s="1102" t="s">
        <v>3876</v>
      </c>
      <c r="AK40" s="1536" t="s">
        <v>3877</v>
      </c>
      <c r="AL40" s="1103" t="s">
        <v>3878</v>
      </c>
      <c r="AM40" s="1536" t="s">
        <v>3879</v>
      </c>
      <c r="AN40" s="1536" t="s">
        <v>3880</v>
      </c>
      <c r="AO40" s="1103"/>
      <c r="AP40" s="1536" t="s">
        <v>3881</v>
      </c>
      <c r="AQ40" s="130" t="s">
        <v>3882</v>
      </c>
      <c r="AR40" s="1187"/>
    </row>
    <row r="41" s="974" customFormat="1" ht="14.1" customHeight="1" spans="2:44">
      <c r="B41" s="1551" t="s">
        <v>473</v>
      </c>
      <c r="C41" s="164" t="s">
        <v>3883</v>
      </c>
      <c r="D41" s="1162" t="s">
        <v>3884</v>
      </c>
      <c r="E41" s="1043" t="s">
        <v>3885</v>
      </c>
      <c r="F41" s="1043" t="s">
        <v>43</v>
      </c>
      <c r="G41" s="1043"/>
      <c r="H41" s="1049" t="s">
        <v>3886</v>
      </c>
      <c r="I41" s="914" t="s">
        <v>3684</v>
      </c>
      <c r="J41" s="1049" t="s">
        <v>3785</v>
      </c>
      <c r="K41" s="1169">
        <v>43192</v>
      </c>
      <c r="L41" s="1169">
        <v>43281</v>
      </c>
      <c r="M41" s="926"/>
      <c r="N41" s="1169"/>
      <c r="O41" s="1169"/>
      <c r="P41" s="1050"/>
      <c r="Q41" s="1169"/>
      <c r="R41" s="1210"/>
      <c r="S41" s="640">
        <f ca="1" t="shared" si="7"/>
        <v>8.61546296296001</v>
      </c>
      <c r="T41" s="121" t="str">
        <f ca="1" t="shared" si="0"/>
        <v>WARNING</v>
      </c>
      <c r="U41" s="946"/>
      <c r="V41" s="1083">
        <v>3000000</v>
      </c>
      <c r="W41" s="1083">
        <v>150000</v>
      </c>
      <c r="X41" s="1366">
        <v>750000</v>
      </c>
      <c r="Y41" s="1228"/>
      <c r="Z41" s="1366"/>
      <c r="AA41" s="1083" t="s">
        <v>583</v>
      </c>
      <c r="AB41" s="1083" t="s">
        <v>583</v>
      </c>
      <c r="AC41" s="1366"/>
      <c r="AD41" s="1076">
        <v>17000</v>
      </c>
      <c r="AE41" s="946" t="s">
        <v>0</v>
      </c>
      <c r="AF41" s="956" t="s">
        <v>48</v>
      </c>
      <c r="AG41" s="956" t="s">
        <v>760</v>
      </c>
      <c r="AH41" s="1049"/>
      <c r="AI41" s="925"/>
      <c r="AJ41" s="1102" t="s">
        <v>3887</v>
      </c>
      <c r="AK41" s="1536" t="s">
        <v>3888</v>
      </c>
      <c r="AL41" s="1103" t="s">
        <v>3889</v>
      </c>
      <c r="AM41" s="1536" t="s">
        <v>3890</v>
      </c>
      <c r="AN41" s="1536" t="s">
        <v>3891</v>
      </c>
      <c r="AO41" s="1103"/>
      <c r="AP41" s="1103"/>
      <c r="AQ41" s="127" t="s">
        <v>3892</v>
      </c>
      <c r="AR41" s="1187"/>
    </row>
    <row r="42" s="974" customFormat="1" ht="14.1" customHeight="1" spans="2:44">
      <c r="B42" s="1551" t="s">
        <v>483</v>
      </c>
      <c r="C42" s="164" t="s">
        <v>3893</v>
      </c>
      <c r="D42" s="1162" t="s">
        <v>3894</v>
      </c>
      <c r="E42" s="1043" t="s">
        <v>3895</v>
      </c>
      <c r="F42" s="1043" t="s">
        <v>43</v>
      </c>
      <c r="G42" s="1043" t="s">
        <v>44</v>
      </c>
      <c r="H42" s="1049" t="s">
        <v>1300</v>
      </c>
      <c r="I42" s="914" t="s">
        <v>3684</v>
      </c>
      <c r="J42" s="1049" t="s">
        <v>3785</v>
      </c>
      <c r="K42" s="1169">
        <v>43192</v>
      </c>
      <c r="L42" s="1169">
        <v>43281</v>
      </c>
      <c r="M42" s="926"/>
      <c r="N42" s="1169"/>
      <c r="O42" s="1169"/>
      <c r="P42" s="1050"/>
      <c r="Q42" s="1169"/>
      <c r="R42" s="1210"/>
      <c r="S42" s="640">
        <f ca="1" t="shared" si="7"/>
        <v>8.61546296296001</v>
      </c>
      <c r="T42" s="121" t="str">
        <f ca="1" t="shared" si="0"/>
        <v>WARNING</v>
      </c>
      <c r="U42" s="946"/>
      <c r="V42" s="1083">
        <v>3000000</v>
      </c>
      <c r="W42" s="1083">
        <v>150000</v>
      </c>
      <c r="X42" s="1366">
        <v>750000</v>
      </c>
      <c r="Y42" s="1228"/>
      <c r="Z42" s="1366"/>
      <c r="AA42" s="1083" t="s">
        <v>583</v>
      </c>
      <c r="AB42" s="1083" t="s">
        <v>583</v>
      </c>
      <c r="AC42" s="1366"/>
      <c r="AD42" s="1076">
        <v>17000</v>
      </c>
      <c r="AE42" s="946" t="s">
        <v>0</v>
      </c>
      <c r="AF42" s="956" t="s">
        <v>48</v>
      </c>
      <c r="AG42" s="956" t="s">
        <v>760</v>
      </c>
      <c r="AH42" s="1049"/>
      <c r="AI42" s="925"/>
      <c r="AJ42" s="1102" t="s">
        <v>3896</v>
      </c>
      <c r="AK42" s="1536" t="s">
        <v>3897</v>
      </c>
      <c r="AL42" s="1103" t="s">
        <v>3898</v>
      </c>
      <c r="AM42" s="1536" t="s">
        <v>3899</v>
      </c>
      <c r="AN42" s="1103"/>
      <c r="AO42" s="1103"/>
      <c r="AP42" s="1103"/>
      <c r="AQ42" s="127" t="s">
        <v>3900</v>
      </c>
      <c r="AR42" s="1187"/>
    </row>
    <row r="43" s="974" customFormat="1" ht="14.1" customHeight="1" spans="2:44">
      <c r="B43" s="1551" t="s">
        <v>494</v>
      </c>
      <c r="C43" s="164" t="s">
        <v>3901</v>
      </c>
      <c r="D43" s="1162" t="s">
        <v>3902</v>
      </c>
      <c r="E43" s="1043" t="s">
        <v>3903</v>
      </c>
      <c r="F43" s="1043" t="s">
        <v>43</v>
      </c>
      <c r="G43" s="1043" t="s">
        <v>44</v>
      </c>
      <c r="H43" s="1049" t="s">
        <v>3904</v>
      </c>
      <c r="I43" s="914" t="s">
        <v>3684</v>
      </c>
      <c r="J43" s="1049" t="s">
        <v>3785</v>
      </c>
      <c r="K43" s="1169">
        <v>43192</v>
      </c>
      <c r="L43" s="1169">
        <v>43281</v>
      </c>
      <c r="M43" s="926"/>
      <c r="N43" s="1169"/>
      <c r="O43" s="1169"/>
      <c r="P43" s="1050"/>
      <c r="Q43" s="1169"/>
      <c r="R43" s="1210"/>
      <c r="S43" s="640">
        <f ca="1" t="shared" si="7"/>
        <v>8.61546296296001</v>
      </c>
      <c r="T43" s="121" t="str">
        <f ca="1" t="shared" si="0"/>
        <v>WARNING</v>
      </c>
      <c r="U43" s="946"/>
      <c r="V43" s="1083">
        <v>2750000</v>
      </c>
      <c r="W43" s="1083">
        <v>150000</v>
      </c>
      <c r="X43" s="1366">
        <v>750000</v>
      </c>
      <c r="Y43" s="1228"/>
      <c r="Z43" s="1366"/>
      <c r="AA43" s="1083" t="s">
        <v>583</v>
      </c>
      <c r="AB43" s="1083" t="s">
        <v>583</v>
      </c>
      <c r="AC43" s="1366"/>
      <c r="AD43" s="1076">
        <v>17000</v>
      </c>
      <c r="AE43" s="946" t="s">
        <v>0</v>
      </c>
      <c r="AF43" s="956" t="s">
        <v>48</v>
      </c>
      <c r="AG43" s="956" t="s">
        <v>760</v>
      </c>
      <c r="AH43" s="1049"/>
      <c r="AI43" s="925"/>
      <c r="AJ43" s="1102" t="s">
        <v>3905</v>
      </c>
      <c r="AK43" s="1536" t="s">
        <v>3906</v>
      </c>
      <c r="AL43" s="1103" t="s">
        <v>3907</v>
      </c>
      <c r="AM43" s="1536" t="s">
        <v>3908</v>
      </c>
      <c r="AN43" s="1103"/>
      <c r="AO43" s="1103"/>
      <c r="AP43" s="1103"/>
      <c r="AQ43" s="127" t="s">
        <v>3909</v>
      </c>
      <c r="AR43" s="1187"/>
    </row>
    <row r="44" s="974" customFormat="1" ht="14.1" customHeight="1" spans="2:44">
      <c r="B44" s="1551" t="s">
        <v>504</v>
      </c>
      <c r="C44" s="164" t="s">
        <v>3910</v>
      </c>
      <c r="D44" s="1162" t="s">
        <v>3911</v>
      </c>
      <c r="E44" s="1043" t="s">
        <v>3912</v>
      </c>
      <c r="F44" s="1043" t="s">
        <v>43</v>
      </c>
      <c r="G44" s="1043" t="s">
        <v>44</v>
      </c>
      <c r="H44" s="1049" t="s">
        <v>2265</v>
      </c>
      <c r="I44" s="914" t="s">
        <v>3684</v>
      </c>
      <c r="J44" s="1049" t="s">
        <v>3603</v>
      </c>
      <c r="K44" s="1169">
        <v>43192</v>
      </c>
      <c r="L44" s="1169">
        <v>43281</v>
      </c>
      <c r="M44" s="926"/>
      <c r="N44" s="1169"/>
      <c r="O44" s="1169"/>
      <c r="P44" s="1050"/>
      <c r="Q44" s="1169"/>
      <c r="R44" s="1210"/>
      <c r="S44" s="640">
        <f ca="1" t="shared" si="7"/>
        <v>8.61546296296001</v>
      </c>
      <c r="T44" s="121" t="str">
        <f ca="1" t="shared" si="0"/>
        <v>WARNING</v>
      </c>
      <c r="U44" s="946"/>
      <c r="V44" s="1083">
        <v>5000000</v>
      </c>
      <c r="W44" s="1083">
        <v>150000</v>
      </c>
      <c r="X44" s="1366" t="s">
        <v>583</v>
      </c>
      <c r="Y44" s="1228"/>
      <c r="Z44" s="1366"/>
      <c r="AA44" s="1083">
        <v>200000</v>
      </c>
      <c r="AB44" s="1083">
        <v>500000</v>
      </c>
      <c r="AC44" s="1366"/>
      <c r="AD44" s="1076" t="s">
        <v>583</v>
      </c>
      <c r="AE44" s="946" t="s">
        <v>0</v>
      </c>
      <c r="AF44" s="956" t="s">
        <v>48</v>
      </c>
      <c r="AG44" s="956" t="s">
        <v>760</v>
      </c>
      <c r="AH44" s="1049"/>
      <c r="AI44" s="925"/>
      <c r="AJ44" s="1102" t="s">
        <v>3913</v>
      </c>
      <c r="AK44" s="1536" t="s">
        <v>3914</v>
      </c>
      <c r="AL44" s="1103" t="s">
        <v>3915</v>
      </c>
      <c r="AM44" s="1536" t="s">
        <v>3916</v>
      </c>
      <c r="AN44" s="1536" t="s">
        <v>3917</v>
      </c>
      <c r="AO44" s="1103"/>
      <c r="AP44" s="1536" t="s">
        <v>3918</v>
      </c>
      <c r="AQ44" s="127" t="s">
        <v>3919</v>
      </c>
      <c r="AR44" s="1187"/>
    </row>
    <row r="45" s="974" customFormat="1" ht="14.1" customHeight="1" spans="2:44">
      <c r="B45" s="1551" t="s">
        <v>514</v>
      </c>
      <c r="C45" s="164" t="s">
        <v>3920</v>
      </c>
      <c r="D45" s="1162" t="s">
        <v>3921</v>
      </c>
      <c r="E45" s="1043" t="s">
        <v>3922</v>
      </c>
      <c r="F45" s="1043" t="s">
        <v>43</v>
      </c>
      <c r="G45" s="1043" t="s">
        <v>44</v>
      </c>
      <c r="H45" s="1049" t="s">
        <v>1793</v>
      </c>
      <c r="I45" s="914" t="s">
        <v>3684</v>
      </c>
      <c r="J45" s="1049" t="s">
        <v>3785</v>
      </c>
      <c r="K45" s="1169">
        <v>43193</v>
      </c>
      <c r="L45" s="1169">
        <v>43283</v>
      </c>
      <c r="M45" s="926"/>
      <c r="N45" s="1169"/>
      <c r="O45" s="1169"/>
      <c r="P45" s="1050"/>
      <c r="Q45" s="1169"/>
      <c r="R45" s="1210"/>
      <c r="S45" s="640">
        <f ca="1" t="shared" si="7"/>
        <v>10.61546296296</v>
      </c>
      <c r="T45" s="121" t="str">
        <f ca="1" t="shared" si="0"/>
        <v>WARNING</v>
      </c>
      <c r="U45" s="946"/>
      <c r="V45" s="1083">
        <v>3500000</v>
      </c>
      <c r="W45" s="1083">
        <v>150000</v>
      </c>
      <c r="X45" s="1366">
        <v>750000</v>
      </c>
      <c r="Y45" s="1228"/>
      <c r="Z45" s="1366"/>
      <c r="AA45" s="1083" t="s">
        <v>583</v>
      </c>
      <c r="AB45" s="1083" t="s">
        <v>583</v>
      </c>
      <c r="AC45" s="1366"/>
      <c r="AD45" s="1076">
        <v>17000</v>
      </c>
      <c r="AE45" s="946" t="s">
        <v>0</v>
      </c>
      <c r="AF45" s="956" t="s">
        <v>48</v>
      </c>
      <c r="AG45" s="956" t="s">
        <v>760</v>
      </c>
      <c r="AH45" s="1049"/>
      <c r="AI45" s="925"/>
      <c r="AJ45" s="1102" t="s">
        <v>3923</v>
      </c>
      <c r="AK45" s="1536" t="s">
        <v>3924</v>
      </c>
      <c r="AL45" s="1103" t="s">
        <v>3925</v>
      </c>
      <c r="AM45" s="1536" t="s">
        <v>3926</v>
      </c>
      <c r="AN45" s="1536" t="s">
        <v>3927</v>
      </c>
      <c r="AO45" s="1103"/>
      <c r="AP45" s="1536" t="s">
        <v>3928</v>
      </c>
      <c r="AQ45" s="127" t="s">
        <v>3929</v>
      </c>
      <c r="AR45" s="1187"/>
    </row>
    <row r="46" s="974" customFormat="1" ht="14.1" customHeight="1" spans="2:44">
      <c r="B46" s="1551" t="s">
        <v>525</v>
      </c>
      <c r="C46" s="164" t="s">
        <v>3930</v>
      </c>
      <c r="D46" s="1162" t="s">
        <v>3931</v>
      </c>
      <c r="E46" s="1043" t="s">
        <v>3932</v>
      </c>
      <c r="F46" s="1043" t="s">
        <v>43</v>
      </c>
      <c r="G46" s="1043"/>
      <c r="H46" s="1049" t="s">
        <v>2910</v>
      </c>
      <c r="I46" s="914" t="s">
        <v>3684</v>
      </c>
      <c r="J46" s="1049" t="s">
        <v>3603</v>
      </c>
      <c r="K46" s="1169">
        <v>43194</v>
      </c>
      <c r="L46" s="1169">
        <v>43284</v>
      </c>
      <c r="M46" s="926"/>
      <c r="N46" s="1169"/>
      <c r="O46" s="1169"/>
      <c r="P46" s="1050"/>
      <c r="Q46" s="1169"/>
      <c r="R46" s="1210"/>
      <c r="S46" s="640">
        <f ca="1" t="shared" si="7"/>
        <v>11.61546296296</v>
      </c>
      <c r="T46" s="121" t="str">
        <f ca="1" t="shared" si="0"/>
        <v>WARNING</v>
      </c>
      <c r="U46" s="946"/>
      <c r="V46" s="1083">
        <v>5000000</v>
      </c>
      <c r="W46" s="1083">
        <v>150000</v>
      </c>
      <c r="X46" s="1366"/>
      <c r="Y46" s="1228" t="s">
        <v>583</v>
      </c>
      <c r="Z46" s="1366"/>
      <c r="AA46" s="1083">
        <v>200000</v>
      </c>
      <c r="AB46" s="1083">
        <v>500000</v>
      </c>
      <c r="AC46" s="1366" t="s">
        <v>583</v>
      </c>
      <c r="AD46" s="1076" t="s">
        <v>583</v>
      </c>
      <c r="AE46" s="946" t="s">
        <v>0</v>
      </c>
      <c r="AF46" s="956" t="s">
        <v>48</v>
      </c>
      <c r="AG46" s="956" t="s">
        <v>760</v>
      </c>
      <c r="AH46" s="1049"/>
      <c r="AI46" s="925"/>
      <c r="AJ46" s="1102" t="s">
        <v>3933</v>
      </c>
      <c r="AK46" s="1536" t="s">
        <v>3934</v>
      </c>
      <c r="AL46" s="1103" t="s">
        <v>3935</v>
      </c>
      <c r="AM46" s="1536" t="s">
        <v>3936</v>
      </c>
      <c r="AN46" s="1536" t="s">
        <v>3937</v>
      </c>
      <c r="AO46" s="1103"/>
      <c r="AP46" s="1103"/>
      <c r="AQ46" s="127" t="s">
        <v>3938</v>
      </c>
      <c r="AR46" s="1187"/>
    </row>
    <row r="47" s="974" customFormat="1" ht="14.1" customHeight="1" spans="2:44">
      <c r="B47" s="1551" t="s">
        <v>533</v>
      </c>
      <c r="C47" s="164" t="s">
        <v>3939</v>
      </c>
      <c r="D47" s="1162" t="s">
        <v>3940</v>
      </c>
      <c r="E47" s="1043" t="s">
        <v>3941</v>
      </c>
      <c r="F47" s="1043" t="s">
        <v>43</v>
      </c>
      <c r="G47" s="1043" t="s">
        <v>44</v>
      </c>
      <c r="H47" s="1049" t="s">
        <v>2910</v>
      </c>
      <c r="I47" s="914" t="s">
        <v>3684</v>
      </c>
      <c r="J47" s="1049" t="s">
        <v>3942</v>
      </c>
      <c r="K47" s="1169">
        <v>43194</v>
      </c>
      <c r="L47" s="1169">
        <v>43284</v>
      </c>
      <c r="M47" s="926"/>
      <c r="N47" s="1169"/>
      <c r="O47" s="1169"/>
      <c r="P47" s="1050"/>
      <c r="Q47" s="1169"/>
      <c r="R47" s="1210"/>
      <c r="S47" s="640">
        <f ca="1" t="shared" si="7"/>
        <v>11.61546296296</v>
      </c>
      <c r="T47" s="121" t="str">
        <f ca="1" t="shared" si="0"/>
        <v>WARNING</v>
      </c>
      <c r="U47" s="946"/>
      <c r="V47" s="1083">
        <v>3500000</v>
      </c>
      <c r="W47" s="1083">
        <v>150000</v>
      </c>
      <c r="X47" s="1366" t="s">
        <v>583</v>
      </c>
      <c r="Y47" s="1228"/>
      <c r="Z47" s="1366" t="s">
        <v>583</v>
      </c>
      <c r="AA47" s="1083" t="s">
        <v>583</v>
      </c>
      <c r="AB47" s="1083" t="s">
        <v>583</v>
      </c>
      <c r="AC47" s="1366"/>
      <c r="AD47" s="1076">
        <v>17000</v>
      </c>
      <c r="AE47" s="946" t="s">
        <v>0</v>
      </c>
      <c r="AF47" s="956" t="s">
        <v>48</v>
      </c>
      <c r="AG47" s="956" t="s">
        <v>760</v>
      </c>
      <c r="AH47" s="1049"/>
      <c r="AI47" s="925"/>
      <c r="AJ47" s="1102" t="s">
        <v>3943</v>
      </c>
      <c r="AK47" s="1536" t="s">
        <v>3944</v>
      </c>
      <c r="AL47" s="1536" t="s">
        <v>3945</v>
      </c>
      <c r="AM47" s="1536" t="s">
        <v>3946</v>
      </c>
      <c r="AN47" s="1103"/>
      <c r="AO47" s="1103"/>
      <c r="AP47" s="1103"/>
      <c r="AQ47" s="127" t="s">
        <v>3947</v>
      </c>
      <c r="AR47" s="1187"/>
    </row>
    <row r="48" s="974" customFormat="1" ht="14.1" customHeight="1" spans="2:44">
      <c r="B48" s="1551" t="s">
        <v>542</v>
      </c>
      <c r="C48" s="164" t="s">
        <v>3948</v>
      </c>
      <c r="D48" s="1162" t="s">
        <v>3949</v>
      </c>
      <c r="E48" s="1043" t="s">
        <v>3950</v>
      </c>
      <c r="F48" s="1043" t="s">
        <v>43</v>
      </c>
      <c r="G48" s="1043" t="s">
        <v>96</v>
      </c>
      <c r="H48" s="1049" t="s">
        <v>3719</v>
      </c>
      <c r="I48" s="914" t="s">
        <v>3684</v>
      </c>
      <c r="J48" s="1049" t="s">
        <v>3529</v>
      </c>
      <c r="K48" s="1169">
        <v>43199</v>
      </c>
      <c r="L48" s="1169">
        <v>43351</v>
      </c>
      <c r="M48" s="926"/>
      <c r="N48" s="1169"/>
      <c r="O48" s="1169"/>
      <c r="P48" s="1050"/>
      <c r="Q48" s="1169"/>
      <c r="R48" s="1210"/>
      <c r="S48" s="640">
        <f ca="1" t="shared" si="7"/>
        <v>78.61546296296</v>
      </c>
      <c r="T48" s="121" t="str">
        <f ca="1" t="shared" si="0"/>
        <v>ACTIVE</v>
      </c>
      <c r="U48" s="946"/>
      <c r="V48" s="1083">
        <v>10000000</v>
      </c>
      <c r="W48" s="1083">
        <v>1000000</v>
      </c>
      <c r="X48" s="1366">
        <v>3000000</v>
      </c>
      <c r="Y48" s="1228"/>
      <c r="Z48" s="1366">
        <v>2000000</v>
      </c>
      <c r="AA48" s="1083">
        <v>1000000</v>
      </c>
      <c r="AB48" s="1083">
        <v>1000000</v>
      </c>
      <c r="AC48" s="1366"/>
      <c r="AD48" s="1076" t="s">
        <v>583</v>
      </c>
      <c r="AE48" s="946" t="s">
        <v>0</v>
      </c>
      <c r="AF48" s="956" t="s">
        <v>48</v>
      </c>
      <c r="AG48" s="956" t="s">
        <v>760</v>
      </c>
      <c r="AH48" s="1049"/>
      <c r="AI48" s="925"/>
      <c r="AJ48" s="1102" t="s">
        <v>3951</v>
      </c>
      <c r="AK48" s="1536" t="s">
        <v>3952</v>
      </c>
      <c r="AL48" s="1103" t="s">
        <v>3953</v>
      </c>
      <c r="AM48" s="1536" t="s">
        <v>3954</v>
      </c>
      <c r="AN48" s="1536" t="s">
        <v>3955</v>
      </c>
      <c r="AO48" s="1536" t="s">
        <v>3956</v>
      </c>
      <c r="AP48" s="1536" t="s">
        <v>3957</v>
      </c>
      <c r="AQ48" s="127" t="s">
        <v>3958</v>
      </c>
      <c r="AR48" s="1187"/>
    </row>
    <row r="49" s="974" customFormat="1" ht="14.1" customHeight="1" spans="2:44">
      <c r="B49" s="1551" t="s">
        <v>550</v>
      </c>
      <c r="C49" s="164" t="s">
        <v>3959</v>
      </c>
      <c r="D49" s="1162" t="s">
        <v>3960</v>
      </c>
      <c r="E49" s="1043" t="s">
        <v>3961</v>
      </c>
      <c r="F49" s="1043" t="s">
        <v>43</v>
      </c>
      <c r="G49" s="1043" t="s">
        <v>44</v>
      </c>
      <c r="H49" s="1049" t="s">
        <v>2910</v>
      </c>
      <c r="I49" s="914" t="s">
        <v>3684</v>
      </c>
      <c r="J49" s="1049" t="s">
        <v>3942</v>
      </c>
      <c r="K49" s="1169">
        <v>43200</v>
      </c>
      <c r="L49" s="1169">
        <v>43290</v>
      </c>
      <c r="M49" s="926"/>
      <c r="N49" s="1169"/>
      <c r="O49" s="1169"/>
      <c r="P49" s="1050"/>
      <c r="Q49" s="1169"/>
      <c r="R49" s="1210"/>
      <c r="S49" s="640">
        <f ca="1" t="shared" si="7"/>
        <v>17.61546296296</v>
      </c>
      <c r="T49" s="121" t="str">
        <f ca="1" t="shared" si="0"/>
        <v>WARNING</v>
      </c>
      <c r="U49" s="946"/>
      <c r="V49" s="1083">
        <v>3500000</v>
      </c>
      <c r="W49" s="1083">
        <v>150000</v>
      </c>
      <c r="X49" s="1366" t="s">
        <v>583</v>
      </c>
      <c r="Y49" s="1228"/>
      <c r="Z49" s="1366" t="s">
        <v>583</v>
      </c>
      <c r="AA49" s="1083" t="s">
        <v>583</v>
      </c>
      <c r="AB49" s="1083"/>
      <c r="AC49" s="1366"/>
      <c r="AD49" s="1076">
        <v>17000</v>
      </c>
      <c r="AE49" s="946" t="s">
        <v>0</v>
      </c>
      <c r="AF49" s="956" t="s">
        <v>48</v>
      </c>
      <c r="AG49" s="956" t="s">
        <v>760</v>
      </c>
      <c r="AH49" s="1049"/>
      <c r="AI49" s="925"/>
      <c r="AJ49" s="1102" t="s">
        <v>3962</v>
      </c>
      <c r="AK49" s="1536" t="s">
        <v>3963</v>
      </c>
      <c r="AL49" s="1103" t="s">
        <v>3964</v>
      </c>
      <c r="AM49" s="1536" t="s">
        <v>3965</v>
      </c>
      <c r="AN49" s="1103"/>
      <c r="AO49" s="1103"/>
      <c r="AP49" s="1103"/>
      <c r="AQ49" s="127" t="s">
        <v>3966</v>
      </c>
      <c r="AR49" s="1187"/>
    </row>
    <row r="50" s="974" customFormat="1" ht="14.1" customHeight="1" spans="2:44">
      <c r="B50" s="1551" t="s">
        <v>559</v>
      </c>
      <c r="C50" s="164" t="s">
        <v>3967</v>
      </c>
      <c r="D50" s="1162" t="s">
        <v>3968</v>
      </c>
      <c r="E50" s="1043" t="s">
        <v>3969</v>
      </c>
      <c r="F50" s="1043" t="s">
        <v>43</v>
      </c>
      <c r="G50" s="1043" t="s">
        <v>44</v>
      </c>
      <c r="H50" s="1049" t="s">
        <v>3856</v>
      </c>
      <c r="I50" s="914" t="s">
        <v>3684</v>
      </c>
      <c r="J50" s="1049" t="s">
        <v>3603</v>
      </c>
      <c r="K50" s="1169">
        <v>43186</v>
      </c>
      <c r="L50" s="1169">
        <v>43277</v>
      </c>
      <c r="M50" s="926"/>
      <c r="N50" s="1169"/>
      <c r="O50" s="1169"/>
      <c r="P50" s="1050"/>
      <c r="Q50" s="1169"/>
      <c r="R50" s="1210"/>
      <c r="S50" s="640">
        <f ca="1" t="shared" si="7"/>
        <v>4.61546296296001</v>
      </c>
      <c r="T50" s="121" t="str">
        <f ca="1" t="shared" si="0"/>
        <v>WARNING</v>
      </c>
      <c r="U50" s="946"/>
      <c r="V50" s="1083">
        <v>4200000</v>
      </c>
      <c r="W50" s="1083">
        <v>150000</v>
      </c>
      <c r="X50" s="1366"/>
      <c r="Y50" s="1228"/>
      <c r="Z50" s="1366" t="s">
        <v>583</v>
      </c>
      <c r="AA50" s="1083">
        <v>200000</v>
      </c>
      <c r="AB50" s="1083"/>
      <c r="AC50" s="1366" t="s">
        <v>583</v>
      </c>
      <c r="AD50" s="1076" t="s">
        <v>583</v>
      </c>
      <c r="AE50" s="946" t="s">
        <v>0</v>
      </c>
      <c r="AF50" s="956" t="s">
        <v>48</v>
      </c>
      <c r="AG50" s="956" t="s">
        <v>760</v>
      </c>
      <c r="AH50" s="1049"/>
      <c r="AI50" s="925"/>
      <c r="AJ50" s="1102" t="s">
        <v>3970</v>
      </c>
      <c r="AK50" s="1536" t="s">
        <v>3971</v>
      </c>
      <c r="AL50" s="1103" t="s">
        <v>3972</v>
      </c>
      <c r="AM50" s="1536" t="s">
        <v>3973</v>
      </c>
      <c r="AN50" s="1536" t="s">
        <v>3974</v>
      </c>
      <c r="AO50" s="1103"/>
      <c r="AP50" s="1103"/>
      <c r="AQ50" s="127" t="s">
        <v>3975</v>
      </c>
      <c r="AR50" s="1187"/>
    </row>
    <row r="51" s="974" customFormat="1" ht="14.1" customHeight="1" spans="2:44">
      <c r="B51" s="1551" t="s">
        <v>569</v>
      </c>
      <c r="C51" s="164" t="s">
        <v>3976</v>
      </c>
      <c r="D51" s="1162" t="s">
        <v>3977</v>
      </c>
      <c r="E51" s="1043" t="s">
        <v>3978</v>
      </c>
      <c r="F51" s="1043" t="s">
        <v>43</v>
      </c>
      <c r="G51" s="1043" t="s">
        <v>44</v>
      </c>
      <c r="H51" s="1049" t="s">
        <v>3979</v>
      </c>
      <c r="I51" s="914" t="s">
        <v>3684</v>
      </c>
      <c r="J51" s="1049" t="s">
        <v>3942</v>
      </c>
      <c r="K51" s="1169">
        <v>43202</v>
      </c>
      <c r="L51" s="1169">
        <v>43292</v>
      </c>
      <c r="M51" s="926"/>
      <c r="N51" s="1169"/>
      <c r="O51" s="1169"/>
      <c r="P51" s="1050"/>
      <c r="Q51" s="1169"/>
      <c r="R51" s="1210"/>
      <c r="S51" s="640">
        <f ca="1" t="shared" si="7"/>
        <v>19.61546296296</v>
      </c>
      <c r="T51" s="121" t="str">
        <f ca="1" t="shared" si="0"/>
        <v>WARNING</v>
      </c>
      <c r="U51" s="946"/>
      <c r="V51" s="1083">
        <v>4000000</v>
      </c>
      <c r="W51" s="1083">
        <v>150000</v>
      </c>
      <c r="X51" s="1366"/>
      <c r="Y51" s="1228"/>
      <c r="Z51" s="1366" t="s">
        <v>583</v>
      </c>
      <c r="AA51" s="1083" t="s">
        <v>583</v>
      </c>
      <c r="AB51" s="1083"/>
      <c r="AC51" s="1366" t="s">
        <v>583</v>
      </c>
      <c r="AD51" s="1076">
        <v>17000</v>
      </c>
      <c r="AE51" s="946" t="s">
        <v>0</v>
      </c>
      <c r="AF51" s="956" t="s">
        <v>48</v>
      </c>
      <c r="AG51" s="956" t="s">
        <v>760</v>
      </c>
      <c r="AH51" s="1049"/>
      <c r="AI51" s="925"/>
      <c r="AJ51" s="1102" t="s">
        <v>3980</v>
      </c>
      <c r="AK51" s="1536" t="s">
        <v>3981</v>
      </c>
      <c r="AL51" s="1103" t="s">
        <v>3982</v>
      </c>
      <c r="AM51" s="1536" t="s">
        <v>3983</v>
      </c>
      <c r="AN51" s="1103"/>
      <c r="AO51" s="1103"/>
      <c r="AP51" s="1103"/>
      <c r="AQ51" s="127" t="s">
        <v>3984</v>
      </c>
      <c r="AR51" s="1187"/>
    </row>
    <row r="52" s="974" customFormat="1" ht="14.1" customHeight="1" spans="2:44">
      <c r="B52" s="1551" t="s">
        <v>579</v>
      </c>
      <c r="C52" s="164" t="s">
        <v>3985</v>
      </c>
      <c r="D52" s="1162" t="s">
        <v>3986</v>
      </c>
      <c r="E52" s="1043" t="s">
        <v>3987</v>
      </c>
      <c r="F52" s="1043" t="s">
        <v>43</v>
      </c>
      <c r="G52" s="1043" t="s">
        <v>404</v>
      </c>
      <c r="H52" s="1049" t="s">
        <v>3528</v>
      </c>
      <c r="I52" s="914" t="s">
        <v>3514</v>
      </c>
      <c r="J52" s="1049" t="s">
        <v>3988</v>
      </c>
      <c r="K52" s="1169">
        <v>43227</v>
      </c>
      <c r="L52" s="1169">
        <v>43318</v>
      </c>
      <c r="M52" s="926"/>
      <c r="N52" s="1169"/>
      <c r="O52" s="1169"/>
      <c r="P52" s="1050"/>
      <c r="Q52" s="1169"/>
      <c r="R52" s="1210"/>
      <c r="S52" s="640">
        <f ca="1" t="shared" ref="S52:S58" si="8">SUM(L52-NOW())</f>
        <v>45.61546296296</v>
      </c>
      <c r="T52" s="121" t="str">
        <f ca="1" t="shared" ref="T52:T58" si="9">IF(S52&lt;=40,"WARNING","ACTIVE")</f>
        <v>ACTIVE</v>
      </c>
      <c r="U52" s="946"/>
      <c r="V52" s="1083">
        <v>6000000</v>
      </c>
      <c r="W52" s="1083">
        <v>150000</v>
      </c>
      <c r="X52" s="1366"/>
      <c r="Y52" s="1228" t="s">
        <v>583</v>
      </c>
      <c r="Z52" s="1366"/>
      <c r="AA52" s="1083">
        <v>200000</v>
      </c>
      <c r="AB52" s="1083">
        <v>500000</v>
      </c>
      <c r="AC52" s="1366" t="s">
        <v>583</v>
      </c>
      <c r="AD52" s="1076" t="s">
        <v>583</v>
      </c>
      <c r="AE52" s="946" t="s">
        <v>0</v>
      </c>
      <c r="AF52" s="956" t="s">
        <v>48</v>
      </c>
      <c r="AG52" s="956" t="s">
        <v>760</v>
      </c>
      <c r="AH52" s="1049"/>
      <c r="AI52" s="925"/>
      <c r="AJ52" s="1102" t="s">
        <v>3989</v>
      </c>
      <c r="AK52" s="1536" t="s">
        <v>3990</v>
      </c>
      <c r="AL52" s="1103" t="s">
        <v>3991</v>
      </c>
      <c r="AM52" s="1536" t="s">
        <v>3992</v>
      </c>
      <c r="AN52" s="1103"/>
      <c r="AO52" s="1103"/>
      <c r="AP52" s="1103"/>
      <c r="AQ52" s="127" t="s">
        <v>3993</v>
      </c>
      <c r="AR52" s="1187"/>
    </row>
    <row r="53" s="974" customFormat="1" ht="14.1" customHeight="1" spans="2:44">
      <c r="B53" s="1551" t="s">
        <v>588</v>
      </c>
      <c r="C53" s="164" t="s">
        <v>3994</v>
      </c>
      <c r="D53" s="1162" t="s">
        <v>3995</v>
      </c>
      <c r="E53" s="1043" t="s">
        <v>3996</v>
      </c>
      <c r="F53" s="1043" t="s">
        <v>43</v>
      </c>
      <c r="G53" s="1043" t="s">
        <v>44</v>
      </c>
      <c r="H53" s="1049" t="s">
        <v>3997</v>
      </c>
      <c r="I53" s="914" t="s">
        <v>3514</v>
      </c>
      <c r="J53" s="1049" t="s">
        <v>3785</v>
      </c>
      <c r="K53" s="1212">
        <v>43234</v>
      </c>
      <c r="L53" s="1212">
        <v>43294</v>
      </c>
      <c r="M53" s="926"/>
      <c r="N53" s="1169"/>
      <c r="O53" s="1169"/>
      <c r="P53" s="1050"/>
      <c r="Q53" s="1169"/>
      <c r="R53" s="1210"/>
      <c r="S53" s="640">
        <f ca="1" t="shared" si="8"/>
        <v>21.61546296296</v>
      </c>
      <c r="T53" s="121" t="str">
        <f ca="1" t="shared" si="9"/>
        <v>WARNING</v>
      </c>
      <c r="U53" s="946"/>
      <c r="V53" s="1083">
        <v>3500000</v>
      </c>
      <c r="W53" s="1083">
        <v>100000</v>
      </c>
      <c r="X53" s="1366"/>
      <c r="Y53" s="1228" t="s">
        <v>583</v>
      </c>
      <c r="Z53" s="1366"/>
      <c r="AA53" s="1083">
        <v>100000</v>
      </c>
      <c r="AB53" s="1083" t="s">
        <v>583</v>
      </c>
      <c r="AC53" s="1366" t="s">
        <v>583</v>
      </c>
      <c r="AD53" s="1076" t="s">
        <v>583</v>
      </c>
      <c r="AE53" s="946" t="s">
        <v>0</v>
      </c>
      <c r="AF53" s="956" t="s">
        <v>48</v>
      </c>
      <c r="AG53" s="956" t="s">
        <v>760</v>
      </c>
      <c r="AH53" s="1049"/>
      <c r="AI53" s="925"/>
      <c r="AJ53" s="1102" t="s">
        <v>3998</v>
      </c>
      <c r="AK53" s="1103"/>
      <c r="AL53" s="1103" t="s">
        <v>3999</v>
      </c>
      <c r="AM53" s="1536" t="s">
        <v>4000</v>
      </c>
      <c r="AN53" s="1103"/>
      <c r="AO53" s="1536" t="s">
        <v>4001</v>
      </c>
      <c r="AP53" s="1103"/>
      <c r="AQ53" s="127" t="s">
        <v>4002</v>
      </c>
      <c r="AR53" s="1187"/>
    </row>
    <row r="54" s="974" customFormat="1" ht="14.1" customHeight="1" spans="2:44">
      <c r="B54" s="1551" t="s">
        <v>598</v>
      </c>
      <c r="C54" s="164" t="s">
        <v>4003</v>
      </c>
      <c r="D54" s="1162" t="s">
        <v>4004</v>
      </c>
      <c r="E54" s="1043" t="s">
        <v>4005</v>
      </c>
      <c r="F54" s="1043" t="s">
        <v>43</v>
      </c>
      <c r="G54" s="1043" t="s">
        <v>404</v>
      </c>
      <c r="H54" s="1049" t="s">
        <v>3997</v>
      </c>
      <c r="I54" s="914" t="s">
        <v>3514</v>
      </c>
      <c r="J54" s="1049" t="s">
        <v>3828</v>
      </c>
      <c r="K54" s="1212">
        <v>43234</v>
      </c>
      <c r="L54" s="1212">
        <v>43294</v>
      </c>
      <c r="M54" s="926"/>
      <c r="N54" s="1169"/>
      <c r="O54" s="1169"/>
      <c r="P54" s="1050"/>
      <c r="Q54" s="1169"/>
      <c r="R54" s="1210"/>
      <c r="S54" s="640">
        <f ca="1" t="shared" si="8"/>
        <v>21.61546296296</v>
      </c>
      <c r="T54" s="121" t="str">
        <f ca="1" t="shared" si="9"/>
        <v>WARNING</v>
      </c>
      <c r="U54" s="946"/>
      <c r="V54" s="1083">
        <v>4500000</v>
      </c>
      <c r="W54" s="1083">
        <v>250000</v>
      </c>
      <c r="X54" s="1366"/>
      <c r="Y54" s="1228" t="s">
        <v>583</v>
      </c>
      <c r="Z54" s="1366"/>
      <c r="AA54" s="1083">
        <v>250000</v>
      </c>
      <c r="AB54" s="1083" t="s">
        <v>583</v>
      </c>
      <c r="AC54" s="1366" t="s">
        <v>583</v>
      </c>
      <c r="AD54" s="1076" t="s">
        <v>583</v>
      </c>
      <c r="AE54" s="946" t="s">
        <v>0</v>
      </c>
      <c r="AF54" s="956" t="s">
        <v>48</v>
      </c>
      <c r="AG54" s="956" t="s">
        <v>760</v>
      </c>
      <c r="AH54" s="1049"/>
      <c r="AI54" s="925"/>
      <c r="AJ54" s="1102" t="s">
        <v>4006</v>
      </c>
      <c r="AK54" s="1536" t="s">
        <v>4007</v>
      </c>
      <c r="AL54" s="1103" t="s">
        <v>4008</v>
      </c>
      <c r="AM54" s="1536" t="s">
        <v>4009</v>
      </c>
      <c r="AN54" s="1103"/>
      <c r="AO54" s="1103"/>
      <c r="AP54" s="1536" t="s">
        <v>4010</v>
      </c>
      <c r="AQ54" s="127" t="s">
        <v>4011</v>
      </c>
      <c r="AR54" s="1187"/>
    </row>
    <row r="55" s="974" customFormat="1" ht="14.1" customHeight="1" spans="2:44">
      <c r="B55" s="1551" t="s">
        <v>609</v>
      </c>
      <c r="C55" s="164" t="s">
        <v>4012</v>
      </c>
      <c r="D55" s="1162" t="s">
        <v>4013</v>
      </c>
      <c r="E55" s="1043" t="s">
        <v>4014</v>
      </c>
      <c r="F55" s="1043" t="s">
        <v>43</v>
      </c>
      <c r="G55" s="1043" t="s">
        <v>60</v>
      </c>
      <c r="H55" s="1049" t="s">
        <v>3904</v>
      </c>
      <c r="I55" s="914" t="s">
        <v>3514</v>
      </c>
      <c r="J55" s="1049" t="s">
        <v>3529</v>
      </c>
      <c r="K55" s="1212">
        <v>43234</v>
      </c>
      <c r="L55" s="1212">
        <v>43294</v>
      </c>
      <c r="M55" s="926"/>
      <c r="N55" s="1169"/>
      <c r="O55" s="1169"/>
      <c r="P55" s="1050"/>
      <c r="Q55" s="1169"/>
      <c r="R55" s="1210"/>
      <c r="S55" s="640">
        <f ca="1" t="shared" si="8"/>
        <v>21.61546296296</v>
      </c>
      <c r="T55" s="121" t="str">
        <f ca="1" t="shared" si="9"/>
        <v>WARNING</v>
      </c>
      <c r="U55" s="946"/>
      <c r="V55" s="1083">
        <v>15250000</v>
      </c>
      <c r="W55" s="1083">
        <v>500000</v>
      </c>
      <c r="X55" s="1366"/>
      <c r="Y55" s="1228" t="s">
        <v>583</v>
      </c>
      <c r="Z55" s="1366"/>
      <c r="AA55" s="1083" t="s">
        <v>583</v>
      </c>
      <c r="AB55" s="1083" t="s">
        <v>583</v>
      </c>
      <c r="AC55" s="1366" t="s">
        <v>583</v>
      </c>
      <c r="AD55" s="1076" t="s">
        <v>583</v>
      </c>
      <c r="AE55" s="946" t="s">
        <v>0</v>
      </c>
      <c r="AF55" s="956" t="s">
        <v>48</v>
      </c>
      <c r="AG55" s="956" t="s">
        <v>760</v>
      </c>
      <c r="AH55" s="1049"/>
      <c r="AI55" s="925"/>
      <c r="AJ55" s="1102" t="s">
        <v>4015</v>
      </c>
      <c r="AK55" s="1536" t="s">
        <v>4016</v>
      </c>
      <c r="AL55" s="1103" t="s">
        <v>4017</v>
      </c>
      <c r="AM55" s="1536" t="s">
        <v>4018</v>
      </c>
      <c r="AN55" s="1536" t="s">
        <v>4019</v>
      </c>
      <c r="AO55" s="1536" t="s">
        <v>4020</v>
      </c>
      <c r="AP55" s="1103"/>
      <c r="AQ55" s="127" t="s">
        <v>4021</v>
      </c>
      <c r="AR55" s="1187"/>
    </row>
    <row r="56" s="974" customFormat="1" ht="14.1" customHeight="1" spans="2:44">
      <c r="B56" s="1551" t="s">
        <v>619</v>
      </c>
      <c r="C56" s="164" t="s">
        <v>4022</v>
      </c>
      <c r="D56" s="1162" t="s">
        <v>4023</v>
      </c>
      <c r="E56" s="1043" t="s">
        <v>4024</v>
      </c>
      <c r="F56" s="1043" t="s">
        <v>43</v>
      </c>
      <c r="G56" s="1043" t="s">
        <v>254</v>
      </c>
      <c r="H56" s="1049" t="s">
        <v>3904</v>
      </c>
      <c r="I56" s="914" t="s">
        <v>3514</v>
      </c>
      <c r="J56" s="1049" t="s">
        <v>3988</v>
      </c>
      <c r="K56" s="1212">
        <v>43236</v>
      </c>
      <c r="L56" s="1212">
        <v>43296</v>
      </c>
      <c r="M56" s="926"/>
      <c r="N56" s="1169"/>
      <c r="O56" s="1169"/>
      <c r="P56" s="1050"/>
      <c r="Q56" s="1169"/>
      <c r="R56" s="1210"/>
      <c r="S56" s="640">
        <f ca="1" t="shared" si="8"/>
        <v>23.61546296296</v>
      </c>
      <c r="T56" s="121" t="str">
        <f ca="1" t="shared" si="9"/>
        <v>WARNING</v>
      </c>
      <c r="U56" s="946"/>
      <c r="V56" s="1083">
        <v>6000000</v>
      </c>
      <c r="W56" s="1083">
        <v>500000</v>
      </c>
      <c r="X56" s="1366"/>
      <c r="Y56" s="1228" t="s">
        <v>583</v>
      </c>
      <c r="Z56" s="1366"/>
      <c r="AA56" s="1083">
        <v>250000</v>
      </c>
      <c r="AB56" s="1083">
        <v>500000</v>
      </c>
      <c r="AC56" s="1366" t="s">
        <v>583</v>
      </c>
      <c r="AD56" s="1076" t="s">
        <v>583</v>
      </c>
      <c r="AE56" s="946" t="s">
        <v>0</v>
      </c>
      <c r="AF56" s="956" t="s">
        <v>48</v>
      </c>
      <c r="AG56" s="956" t="s">
        <v>760</v>
      </c>
      <c r="AH56" s="1049"/>
      <c r="AI56" s="925"/>
      <c r="AJ56" s="1102" t="s">
        <v>4025</v>
      </c>
      <c r="AK56" s="1536" t="s">
        <v>4026</v>
      </c>
      <c r="AL56" s="1103" t="s">
        <v>4027</v>
      </c>
      <c r="AM56" s="1536" t="s">
        <v>4028</v>
      </c>
      <c r="AN56" s="1536" t="s">
        <v>4029</v>
      </c>
      <c r="AO56" s="1536" t="s">
        <v>4030</v>
      </c>
      <c r="AP56" s="1536" t="s">
        <v>4031</v>
      </c>
      <c r="AQ56" s="127" t="s">
        <v>4032</v>
      </c>
      <c r="AR56" s="1187"/>
    </row>
    <row r="57" s="974" customFormat="1" ht="14.1" customHeight="1" spans="2:44">
      <c r="B57" s="1551" t="s">
        <v>631</v>
      </c>
      <c r="C57" s="164" t="s">
        <v>4033</v>
      </c>
      <c r="D57" s="1162" t="s">
        <v>4034</v>
      </c>
      <c r="E57" s="1043" t="s">
        <v>4035</v>
      </c>
      <c r="F57" s="1043" t="s">
        <v>43</v>
      </c>
      <c r="G57" s="1043" t="s">
        <v>44</v>
      </c>
      <c r="H57" s="1049" t="s">
        <v>3904</v>
      </c>
      <c r="I57" s="914" t="s">
        <v>3514</v>
      </c>
      <c r="J57" s="1049" t="s">
        <v>3988</v>
      </c>
      <c r="K57" s="1169">
        <v>43235</v>
      </c>
      <c r="L57" s="1169">
        <v>43295</v>
      </c>
      <c r="M57" s="926"/>
      <c r="N57" s="1169"/>
      <c r="O57" s="1169"/>
      <c r="P57" s="1050"/>
      <c r="Q57" s="1169"/>
      <c r="R57" s="1210"/>
      <c r="S57" s="640">
        <f ca="1" t="shared" si="8"/>
        <v>22.61546296296</v>
      </c>
      <c r="T57" s="121" t="str">
        <f ca="1" t="shared" si="9"/>
        <v>WARNING</v>
      </c>
      <c r="U57" s="946"/>
      <c r="V57" s="1083">
        <v>6500000</v>
      </c>
      <c r="W57" s="1083">
        <v>500000</v>
      </c>
      <c r="X57" s="1366"/>
      <c r="Y57" s="1228" t="s">
        <v>583</v>
      </c>
      <c r="Z57" s="1366"/>
      <c r="AA57" s="1083">
        <v>250000</v>
      </c>
      <c r="AB57" s="1083">
        <v>500000</v>
      </c>
      <c r="AC57" s="1366" t="s">
        <v>583</v>
      </c>
      <c r="AD57" s="1076" t="s">
        <v>583</v>
      </c>
      <c r="AE57" s="946" t="s">
        <v>0</v>
      </c>
      <c r="AF57" s="956" t="s">
        <v>48</v>
      </c>
      <c r="AG57" s="956" t="s">
        <v>760</v>
      </c>
      <c r="AH57" s="1049"/>
      <c r="AI57" s="925"/>
      <c r="AJ57" s="1102" t="s">
        <v>4036</v>
      </c>
      <c r="AK57" s="1536" t="s">
        <v>4037</v>
      </c>
      <c r="AL57" s="1536" t="s">
        <v>4038</v>
      </c>
      <c r="AM57" s="1536" t="s">
        <v>4039</v>
      </c>
      <c r="AN57" s="1103"/>
      <c r="AO57" s="1103"/>
      <c r="AP57" s="1103"/>
      <c r="AQ57" s="127" t="s">
        <v>4040</v>
      </c>
      <c r="AR57" s="1187"/>
    </row>
    <row r="58" s="974" customFormat="1" ht="14.1" customHeight="1" spans="2:44">
      <c r="B58" s="1551" t="s">
        <v>642</v>
      </c>
      <c r="C58" s="164" t="s">
        <v>4041</v>
      </c>
      <c r="D58" s="1162" t="s">
        <v>4042</v>
      </c>
      <c r="E58" s="1043" t="s">
        <v>4043</v>
      </c>
      <c r="F58" s="1043" t="s">
        <v>43</v>
      </c>
      <c r="G58" s="1043" t="s">
        <v>254</v>
      </c>
      <c r="H58" s="1049" t="s">
        <v>3997</v>
      </c>
      <c r="I58" s="914" t="s">
        <v>3514</v>
      </c>
      <c r="J58" s="1049" t="s">
        <v>3828</v>
      </c>
      <c r="K58" s="1212">
        <v>43234</v>
      </c>
      <c r="L58" s="1212">
        <v>43294</v>
      </c>
      <c r="M58" s="926"/>
      <c r="N58" s="1169"/>
      <c r="O58" s="1169"/>
      <c r="P58" s="1050"/>
      <c r="Q58" s="1169"/>
      <c r="R58" s="1210"/>
      <c r="S58" s="640">
        <f ca="1" t="shared" si="8"/>
        <v>21.61546296296</v>
      </c>
      <c r="T58" s="121" t="str">
        <f ca="1" t="shared" si="9"/>
        <v>WARNING</v>
      </c>
      <c r="U58" s="946"/>
      <c r="V58" s="1083">
        <v>5200000</v>
      </c>
      <c r="W58" s="1083">
        <v>250000</v>
      </c>
      <c r="X58" s="1366"/>
      <c r="Y58" s="1228" t="s">
        <v>583</v>
      </c>
      <c r="Z58" s="1366"/>
      <c r="AA58" s="1083">
        <v>250000</v>
      </c>
      <c r="AB58" s="1083" t="s">
        <v>583</v>
      </c>
      <c r="AC58" s="1366" t="s">
        <v>583</v>
      </c>
      <c r="AD58" s="1076" t="s">
        <v>583</v>
      </c>
      <c r="AE58" s="946" t="s">
        <v>0</v>
      </c>
      <c r="AF58" s="956" t="s">
        <v>48</v>
      </c>
      <c r="AG58" s="956" t="s">
        <v>760</v>
      </c>
      <c r="AH58" s="1049"/>
      <c r="AI58" s="925"/>
      <c r="AJ58" s="1102" t="s">
        <v>4044</v>
      </c>
      <c r="AK58" s="1103"/>
      <c r="AL58" s="1103" t="s">
        <v>4045</v>
      </c>
      <c r="AM58" s="1536" t="s">
        <v>4046</v>
      </c>
      <c r="AN58" s="1536" t="s">
        <v>4047</v>
      </c>
      <c r="AO58" s="1103"/>
      <c r="AP58" s="1103"/>
      <c r="AQ58" s="127"/>
      <c r="AR58" s="1187"/>
    </row>
    <row r="59" s="974" customFormat="1" ht="14.1" customHeight="1" spans="3:36">
      <c r="C59" s="1360"/>
      <c r="D59" s="1360"/>
      <c r="E59" s="1360"/>
      <c r="F59" s="1360"/>
      <c r="G59" s="1360"/>
      <c r="H59" s="1360"/>
      <c r="I59" s="1360"/>
      <c r="J59" s="1360"/>
      <c r="K59" s="1360"/>
      <c r="L59" s="1360"/>
      <c r="M59" s="1360"/>
      <c r="N59" s="1360"/>
      <c r="O59" s="1360"/>
      <c r="P59" s="1360"/>
      <c r="Q59" s="1362"/>
      <c r="R59" s="1360"/>
      <c r="S59" s="1360"/>
      <c r="V59" s="1360"/>
      <c r="W59" s="1360"/>
      <c r="Y59" s="1360"/>
      <c r="AA59" s="1362"/>
      <c r="AB59" s="1360"/>
      <c r="AC59" s="1360"/>
      <c r="AD59" s="1360"/>
      <c r="AJ59" s="1360"/>
    </row>
    <row r="60" s="974" customFormat="1" ht="14.1" customHeight="1" spans="3:36">
      <c r="C60" s="1360"/>
      <c r="D60" s="1360"/>
      <c r="E60" s="1360"/>
      <c r="F60" s="1360"/>
      <c r="G60" s="1360"/>
      <c r="H60" s="1360"/>
      <c r="I60" s="1360"/>
      <c r="J60" s="1360"/>
      <c r="K60" s="1360"/>
      <c r="L60" s="1360"/>
      <c r="M60" s="1360"/>
      <c r="N60" s="1360"/>
      <c r="O60" s="1360"/>
      <c r="P60" s="1360"/>
      <c r="Q60" s="1362"/>
      <c r="R60" s="1360"/>
      <c r="S60" s="1360"/>
      <c r="V60" s="1360"/>
      <c r="W60" s="1360"/>
      <c r="Y60" s="1360"/>
      <c r="AA60" s="1362"/>
      <c r="AB60" s="1360"/>
      <c r="AC60" s="1360"/>
      <c r="AD60" s="1360"/>
      <c r="AJ60" s="1360"/>
    </row>
    <row r="61" s="974" customFormat="1" ht="14.1" customHeight="1" spans="3:36">
      <c r="C61" s="1360"/>
      <c r="D61" s="1360"/>
      <c r="E61" s="1360"/>
      <c r="F61" s="1360"/>
      <c r="G61" s="1360"/>
      <c r="H61" s="1360"/>
      <c r="I61" s="1360"/>
      <c r="J61" s="1360"/>
      <c r="K61" s="1360"/>
      <c r="L61" s="1360"/>
      <c r="M61" s="1360"/>
      <c r="N61" s="1360"/>
      <c r="O61" s="1360"/>
      <c r="P61" s="1360"/>
      <c r="Q61" s="1362"/>
      <c r="R61" s="1360"/>
      <c r="S61" s="1360"/>
      <c r="V61" s="1360"/>
      <c r="W61" s="1360"/>
      <c r="Y61" s="1360"/>
      <c r="AA61" s="1362"/>
      <c r="AB61" s="1360"/>
      <c r="AC61" s="1360"/>
      <c r="AD61" s="1360"/>
      <c r="AJ61" s="1360"/>
    </row>
    <row r="62" s="974" customFormat="1" ht="14.1" customHeight="1" spans="3:36">
      <c r="C62" s="1360"/>
      <c r="D62" s="1360"/>
      <c r="E62" s="1360"/>
      <c r="F62" s="1360"/>
      <c r="G62" s="1360"/>
      <c r="H62" s="1360"/>
      <c r="I62" s="1360"/>
      <c r="J62" s="1360"/>
      <c r="K62" s="1360"/>
      <c r="L62" s="1360"/>
      <c r="M62" s="1360"/>
      <c r="N62" s="1360"/>
      <c r="O62" s="1360"/>
      <c r="P62" s="1360"/>
      <c r="Q62" s="1362"/>
      <c r="R62" s="1360"/>
      <c r="S62" s="1360"/>
      <c r="V62" s="1360"/>
      <c r="W62" s="1360"/>
      <c r="Y62" s="1360"/>
      <c r="AA62" s="1362"/>
      <c r="AB62" s="1360"/>
      <c r="AC62" s="1360"/>
      <c r="AD62" s="1360"/>
      <c r="AJ62" s="1360"/>
    </row>
    <row r="63" s="974" customFormat="1" ht="14.1" customHeight="1" spans="3:36">
      <c r="C63" s="1360"/>
      <c r="D63" s="1360"/>
      <c r="E63" s="1360"/>
      <c r="F63" s="1360"/>
      <c r="G63" s="1360"/>
      <c r="H63" s="1360"/>
      <c r="I63" s="1360"/>
      <c r="J63" s="1360"/>
      <c r="K63" s="1360"/>
      <c r="L63" s="1360"/>
      <c r="M63" s="1360"/>
      <c r="N63" s="1360"/>
      <c r="O63" s="1360"/>
      <c r="P63" s="1360"/>
      <c r="Q63" s="1362"/>
      <c r="R63" s="1360"/>
      <c r="S63" s="1360"/>
      <c r="V63" s="1360"/>
      <c r="W63" s="1360"/>
      <c r="Y63" s="1360"/>
      <c r="AA63" s="1362"/>
      <c r="AB63" s="1360"/>
      <c r="AC63" s="1360"/>
      <c r="AD63" s="1360"/>
      <c r="AJ63" s="1360"/>
    </row>
    <row r="64" s="974" customFormat="1" ht="14.1" customHeight="1" spans="3:36">
      <c r="C64" s="1360"/>
      <c r="D64" s="1360"/>
      <c r="E64" s="1360"/>
      <c r="F64" s="1360"/>
      <c r="G64" s="1360"/>
      <c r="H64" s="1360"/>
      <c r="I64" s="1360"/>
      <c r="J64" s="1360"/>
      <c r="K64" s="1360"/>
      <c r="L64" s="1360"/>
      <c r="M64" s="1360"/>
      <c r="N64" s="1360"/>
      <c r="O64" s="1360"/>
      <c r="P64" s="1360"/>
      <c r="Q64" s="1362"/>
      <c r="R64" s="1360"/>
      <c r="S64" s="1360"/>
      <c r="V64" s="1360"/>
      <c r="W64" s="1360"/>
      <c r="Y64" s="1360"/>
      <c r="AA64" s="1362"/>
      <c r="AB64" s="1360"/>
      <c r="AC64" s="1360"/>
      <c r="AD64" s="1360"/>
      <c r="AJ64" s="1360"/>
    </row>
    <row r="65" s="974" customFormat="1" ht="14.1" customHeight="1" spans="3:36">
      <c r="C65" s="1360"/>
      <c r="D65" s="1360"/>
      <c r="E65" s="1360"/>
      <c r="F65" s="1360"/>
      <c r="G65" s="1360"/>
      <c r="H65" s="1360"/>
      <c r="I65" s="1360"/>
      <c r="J65" s="1360"/>
      <c r="K65" s="1360"/>
      <c r="L65" s="1360"/>
      <c r="M65" s="1360"/>
      <c r="N65" s="1360"/>
      <c r="O65" s="1360"/>
      <c r="P65" s="1360"/>
      <c r="Q65" s="1362"/>
      <c r="R65" s="1360"/>
      <c r="S65" s="1360"/>
      <c r="V65" s="1360"/>
      <c r="W65" s="1360"/>
      <c r="Y65" s="1360"/>
      <c r="AA65" s="1362"/>
      <c r="AB65" s="1360"/>
      <c r="AC65" s="1360"/>
      <c r="AD65" s="1360"/>
      <c r="AJ65" s="1360"/>
    </row>
    <row r="66" s="974" customFormat="1" ht="14.1" customHeight="1" spans="2:3">
      <c r="B66" s="844" t="s">
        <v>2552</v>
      </c>
      <c r="C66" s="845"/>
    </row>
    <row r="67" s="974" customFormat="1" ht="14.1" customHeight="1" spans="2:45">
      <c r="B67" s="1554" t="s">
        <v>68</v>
      </c>
      <c r="C67" s="1384" t="s">
        <v>4048</v>
      </c>
      <c r="D67" s="1385" t="s">
        <v>4049</v>
      </c>
      <c r="E67" s="1386" t="s">
        <v>4050</v>
      </c>
      <c r="F67" s="1386" t="s">
        <v>43</v>
      </c>
      <c r="G67" s="1386" t="s">
        <v>404</v>
      </c>
      <c r="H67" s="1387" t="s">
        <v>920</v>
      </c>
      <c r="I67" s="1387" t="s">
        <v>3514</v>
      </c>
      <c r="J67" s="1385" t="s">
        <v>4051</v>
      </c>
      <c r="K67" s="1388">
        <v>42719</v>
      </c>
      <c r="L67" s="1388">
        <v>42900</v>
      </c>
      <c r="M67" s="1388">
        <v>43100</v>
      </c>
      <c r="N67" s="1388"/>
      <c r="O67" s="1388"/>
      <c r="P67" s="1388"/>
      <c r="Q67" s="1388"/>
      <c r="R67" s="1388"/>
      <c r="S67" s="1336">
        <f ca="1">SUM(M67-NOW())</f>
        <v>-172.38453703704</v>
      </c>
      <c r="T67" s="1339" t="str">
        <f ca="1">IF(S67&lt;=40,"WARNING","ACTIVE")</f>
        <v>WARNING</v>
      </c>
      <c r="U67" s="1389"/>
      <c r="V67" s="1389">
        <v>19000000</v>
      </c>
      <c r="W67" s="1389">
        <v>1000000</v>
      </c>
      <c r="X67" s="1389">
        <v>1250000</v>
      </c>
      <c r="Y67" s="1389"/>
      <c r="Z67" s="1389"/>
      <c r="AA67" s="1389">
        <v>250000</v>
      </c>
      <c r="AB67" s="1389">
        <v>500000</v>
      </c>
      <c r="AC67" s="1389">
        <v>2000000</v>
      </c>
      <c r="AD67" s="1389"/>
      <c r="AE67" s="1389" t="s">
        <v>0</v>
      </c>
      <c r="AF67" s="1390" t="s">
        <v>48</v>
      </c>
      <c r="AG67" s="1390" t="s">
        <v>48</v>
      </c>
      <c r="AH67" s="1387"/>
      <c r="AI67" s="1387"/>
      <c r="AJ67" s="1391" t="s">
        <v>4052</v>
      </c>
      <c r="AK67" s="1555" t="s">
        <v>4053</v>
      </c>
      <c r="AL67" s="1391" t="s">
        <v>4054</v>
      </c>
      <c r="AM67" s="1555" t="s">
        <v>4055</v>
      </c>
      <c r="AN67" s="1555" t="s">
        <v>4056</v>
      </c>
      <c r="AO67" s="1391">
        <v>11023336982</v>
      </c>
      <c r="AP67" s="1391"/>
      <c r="AQ67" s="1392" t="s">
        <v>4057</v>
      </c>
      <c r="AR67" s="1385" t="s">
        <v>4058</v>
      </c>
      <c r="AS67" s="1395" t="s">
        <v>4059</v>
      </c>
    </row>
    <row r="68" s="974" customFormat="1" ht="14.1" customHeight="1" spans="2:45">
      <c r="B68" s="1553" t="s">
        <v>56</v>
      </c>
      <c r="C68" s="1031" t="s">
        <v>4060</v>
      </c>
      <c r="D68" s="919" t="s">
        <v>4061</v>
      </c>
      <c r="E68" s="923" t="s">
        <v>4062</v>
      </c>
      <c r="F68" s="923" t="s">
        <v>43</v>
      </c>
      <c r="G68" s="923" t="s">
        <v>404</v>
      </c>
      <c r="H68" s="927" t="s">
        <v>920</v>
      </c>
      <c r="I68" s="927" t="s">
        <v>3514</v>
      </c>
      <c r="J68" s="919" t="s">
        <v>3603</v>
      </c>
      <c r="K68" s="928">
        <v>42745</v>
      </c>
      <c r="L68" s="928">
        <v>42916</v>
      </c>
      <c r="M68" s="928">
        <v>43100</v>
      </c>
      <c r="N68" s="928"/>
      <c r="O68" s="928"/>
      <c r="P68" s="928"/>
      <c r="Q68" s="928"/>
      <c r="R68" s="928"/>
      <c r="S68" s="641">
        <v>99.4264556712951</v>
      </c>
      <c r="T68" s="187" t="s">
        <v>745</v>
      </c>
      <c r="U68" s="1070"/>
      <c r="V68" s="1070">
        <v>5500000</v>
      </c>
      <c r="W68" s="1070">
        <v>150000</v>
      </c>
      <c r="X68" s="1070"/>
      <c r="Y68" s="1070"/>
      <c r="Z68" s="1070"/>
      <c r="AA68" s="1070">
        <v>200000</v>
      </c>
      <c r="AB68" s="1070">
        <v>500000</v>
      </c>
      <c r="AC68" s="1070">
        <v>650000</v>
      </c>
      <c r="AD68" s="1070"/>
      <c r="AE68" s="1070" t="s">
        <v>112</v>
      </c>
      <c r="AF68" s="960" t="s">
        <v>113</v>
      </c>
      <c r="AG68" s="960" t="s">
        <v>760</v>
      </c>
      <c r="AH68" s="927"/>
      <c r="AI68" s="927"/>
      <c r="AJ68" s="290" t="s">
        <v>4063</v>
      </c>
      <c r="AK68" s="1556" t="s">
        <v>4064</v>
      </c>
      <c r="AL68" s="290" t="s">
        <v>4065</v>
      </c>
      <c r="AM68" s="1556" t="s">
        <v>4066</v>
      </c>
      <c r="AN68" s="1556" t="s">
        <v>4067</v>
      </c>
      <c r="AO68" s="290"/>
      <c r="AP68" s="290"/>
      <c r="AQ68" s="968" t="s">
        <v>4068</v>
      </c>
      <c r="AR68" s="919" t="s">
        <v>4069</v>
      </c>
      <c r="AS68" s="168" t="s">
        <v>4059</v>
      </c>
    </row>
    <row r="69" s="974" customFormat="1" ht="14.1" customHeight="1" spans="2:45">
      <c r="B69" s="1553" t="s">
        <v>78</v>
      </c>
      <c r="C69" s="1031" t="s">
        <v>4070</v>
      </c>
      <c r="D69" s="919" t="s">
        <v>4071</v>
      </c>
      <c r="E69" s="923" t="s">
        <v>4072</v>
      </c>
      <c r="F69" s="923" t="s">
        <v>125</v>
      </c>
      <c r="G69" s="923" t="s">
        <v>44</v>
      </c>
      <c r="H69" s="927" t="s">
        <v>920</v>
      </c>
      <c r="I69" s="927" t="s">
        <v>3514</v>
      </c>
      <c r="J69" s="919" t="s">
        <v>4073</v>
      </c>
      <c r="K69" s="928">
        <v>42807</v>
      </c>
      <c r="L69" s="928">
        <v>42990</v>
      </c>
      <c r="M69" s="928"/>
      <c r="N69" s="928"/>
      <c r="O69" s="928"/>
      <c r="P69" s="928"/>
      <c r="Q69" s="928"/>
      <c r="R69" s="928"/>
      <c r="S69" s="641">
        <v>-10.5735443287049</v>
      </c>
      <c r="T69" s="187" t="s">
        <v>2569</v>
      </c>
      <c r="U69" s="1070"/>
      <c r="V69" s="1070">
        <v>4800000</v>
      </c>
      <c r="W69" s="1070">
        <v>500000</v>
      </c>
      <c r="X69" s="1070" t="s">
        <v>583</v>
      </c>
      <c r="Y69" s="1070"/>
      <c r="Z69" s="1070"/>
      <c r="AA69" s="1070">
        <v>200000</v>
      </c>
      <c r="AB69" s="1070">
        <v>500000</v>
      </c>
      <c r="AC69" s="1070"/>
      <c r="AD69" s="1070"/>
      <c r="AE69" s="1070" t="s">
        <v>0</v>
      </c>
      <c r="AF69" s="960" t="s">
        <v>48</v>
      </c>
      <c r="AG69" s="960" t="s">
        <v>48</v>
      </c>
      <c r="AH69" s="927"/>
      <c r="AI69" s="927"/>
      <c r="AJ69" s="290" t="s">
        <v>4074</v>
      </c>
      <c r="AK69" s="290">
        <v>82225103629</v>
      </c>
      <c r="AL69" s="290" t="s">
        <v>4075</v>
      </c>
      <c r="AM69" s="1556" t="s">
        <v>4076</v>
      </c>
      <c r="AN69" s="290">
        <v>0</v>
      </c>
      <c r="AO69" s="290"/>
      <c r="AP69" s="290"/>
      <c r="AQ69" s="968" t="s">
        <v>4077</v>
      </c>
      <c r="AR69" s="919" t="s">
        <v>4078</v>
      </c>
      <c r="AS69" s="168">
        <v>0</v>
      </c>
    </row>
    <row r="70" s="974" customFormat="1" ht="14.1" customHeight="1" spans="2:45">
      <c r="B70" s="1553" t="s">
        <v>92</v>
      </c>
      <c r="C70" s="1031" t="s">
        <v>4079</v>
      </c>
      <c r="D70" s="919" t="s">
        <v>4080</v>
      </c>
      <c r="E70" s="923" t="s">
        <v>4081</v>
      </c>
      <c r="F70" s="923" t="s">
        <v>43</v>
      </c>
      <c r="G70" s="923" t="s">
        <v>60</v>
      </c>
      <c r="H70" s="927" t="s">
        <v>3528</v>
      </c>
      <c r="I70" s="927" t="s">
        <v>3514</v>
      </c>
      <c r="J70" s="919" t="s">
        <v>3785</v>
      </c>
      <c r="K70" s="928">
        <v>42807</v>
      </c>
      <c r="L70" s="928">
        <v>42960</v>
      </c>
      <c r="M70" s="928"/>
      <c r="N70" s="928"/>
      <c r="O70" s="928"/>
      <c r="P70" s="928"/>
      <c r="Q70" s="928"/>
      <c r="R70" s="928"/>
      <c r="S70" s="641">
        <v>-40.5735443287049</v>
      </c>
      <c r="T70" s="187" t="s">
        <v>2569</v>
      </c>
      <c r="U70" s="1070"/>
      <c r="V70" s="1070">
        <v>3200000</v>
      </c>
      <c r="W70" s="1070">
        <v>200000</v>
      </c>
      <c r="X70" s="1070" t="s">
        <v>583</v>
      </c>
      <c r="Y70" s="1070">
        <v>400000</v>
      </c>
      <c r="Z70" s="1070" t="s">
        <v>583</v>
      </c>
      <c r="AA70" s="1070" t="s">
        <v>583</v>
      </c>
      <c r="AB70" s="1070"/>
      <c r="AC70" s="1070" t="s">
        <v>583</v>
      </c>
      <c r="AD70" s="1070"/>
      <c r="AE70" s="1070" t="s">
        <v>0</v>
      </c>
      <c r="AF70" s="960" t="s">
        <v>48</v>
      </c>
      <c r="AG70" s="960" t="s">
        <v>48</v>
      </c>
      <c r="AH70" s="927"/>
      <c r="AI70" s="927"/>
      <c r="AJ70" s="290" t="s">
        <v>4082</v>
      </c>
      <c r="AK70" s="1556" t="s">
        <v>4083</v>
      </c>
      <c r="AL70" s="290" t="s">
        <v>4084</v>
      </c>
      <c r="AM70" s="1556" t="s">
        <v>4085</v>
      </c>
      <c r="AN70" s="290"/>
      <c r="AO70" s="290"/>
      <c r="AP70" s="290"/>
      <c r="AQ70" s="1375" t="s">
        <v>4086</v>
      </c>
      <c r="AR70" s="919" t="s">
        <v>4087</v>
      </c>
      <c r="AS70" s="168">
        <v>0</v>
      </c>
    </row>
    <row r="71" s="974" customFormat="1" ht="14.1" customHeight="1" spans="2:45">
      <c r="B71" s="1553" t="s">
        <v>215</v>
      </c>
      <c r="C71" s="1031" t="s">
        <v>4088</v>
      </c>
      <c r="D71" s="919" t="s">
        <v>4089</v>
      </c>
      <c r="E71" s="923" t="s">
        <v>4090</v>
      </c>
      <c r="F71" s="923" t="s">
        <v>43</v>
      </c>
      <c r="G71" s="923" t="s">
        <v>44</v>
      </c>
      <c r="H71" s="927" t="s">
        <v>2910</v>
      </c>
      <c r="I71" s="927" t="s">
        <v>3514</v>
      </c>
      <c r="J71" s="919" t="s">
        <v>4091</v>
      </c>
      <c r="K71" s="928">
        <v>42961</v>
      </c>
      <c r="L71" s="928">
        <v>43144</v>
      </c>
      <c r="M71" s="928"/>
      <c r="N71" s="928"/>
      <c r="O71" s="928"/>
      <c r="P71" s="928"/>
      <c r="Q71" s="928"/>
      <c r="R71" s="928"/>
      <c r="S71" s="641">
        <v>143.426455671295</v>
      </c>
      <c r="T71" s="187" t="s">
        <v>745</v>
      </c>
      <c r="U71" s="1070"/>
      <c r="V71" s="1074">
        <v>12000000</v>
      </c>
      <c r="W71" s="1074">
        <v>200000</v>
      </c>
      <c r="X71" s="1074"/>
      <c r="Y71" s="1074"/>
      <c r="Z71" s="1074"/>
      <c r="AA71" s="1070">
        <v>200000</v>
      </c>
      <c r="AB71" s="1070">
        <v>500000</v>
      </c>
      <c r="AC71" s="1074"/>
      <c r="AD71" s="1074"/>
      <c r="AE71" s="1070" t="s">
        <v>0</v>
      </c>
      <c r="AF71" s="960" t="s">
        <v>48</v>
      </c>
      <c r="AG71" s="960" t="s">
        <v>48</v>
      </c>
      <c r="AH71" s="927"/>
      <c r="AI71" s="927"/>
      <c r="AJ71" s="290" t="s">
        <v>4092</v>
      </c>
      <c r="AK71" s="290">
        <v>85297329233</v>
      </c>
      <c r="AL71" s="1541" t="s">
        <v>4093</v>
      </c>
      <c r="AM71" s="1541" t="s">
        <v>4094</v>
      </c>
      <c r="AN71" s="962"/>
      <c r="AO71" s="962" t="s">
        <v>4095</v>
      </c>
      <c r="AP71" s="962"/>
      <c r="AQ71" s="1375" t="s">
        <v>4096</v>
      </c>
      <c r="AR71" s="919" t="s">
        <v>4097</v>
      </c>
      <c r="AS71" s="168"/>
    </row>
    <row r="72" s="974" customFormat="1" ht="14.1" customHeight="1" spans="2:45">
      <c r="B72" s="1553" t="s">
        <v>68</v>
      </c>
      <c r="C72" s="1031" t="s">
        <v>4098</v>
      </c>
      <c r="D72" s="919" t="s">
        <v>4099</v>
      </c>
      <c r="E72" s="923" t="s">
        <v>4100</v>
      </c>
      <c r="F72" s="923" t="s">
        <v>43</v>
      </c>
      <c r="G72" s="923" t="s">
        <v>44</v>
      </c>
      <c r="H72" s="927" t="s">
        <v>3528</v>
      </c>
      <c r="I72" s="927" t="s">
        <v>3514</v>
      </c>
      <c r="J72" s="919" t="s">
        <v>4101</v>
      </c>
      <c r="K72" s="928">
        <v>42831</v>
      </c>
      <c r="L72" s="928">
        <v>42894</v>
      </c>
      <c r="M72" s="928">
        <v>42924</v>
      </c>
      <c r="N72" s="928">
        <v>42955</v>
      </c>
      <c r="O72" s="928">
        <v>42986</v>
      </c>
      <c r="P72" s="928">
        <v>43008</v>
      </c>
      <c r="Q72" s="928"/>
      <c r="R72" s="928"/>
      <c r="S72" s="641">
        <v>-26.6899083333337</v>
      </c>
      <c r="T72" s="187" t="s">
        <v>2569</v>
      </c>
      <c r="U72" s="1070"/>
      <c r="V72" s="1070">
        <v>2800000</v>
      </c>
      <c r="W72" s="1070" t="s">
        <v>583</v>
      </c>
      <c r="X72" s="1070">
        <v>25000</v>
      </c>
      <c r="Y72" s="1070"/>
      <c r="Z72" s="1070" t="s">
        <v>583</v>
      </c>
      <c r="AA72" s="1070" t="s">
        <v>583</v>
      </c>
      <c r="AB72" s="1070" t="s">
        <v>583</v>
      </c>
      <c r="AC72" s="1070"/>
      <c r="AD72" s="1070"/>
      <c r="AE72" s="1070">
        <v>15000</v>
      </c>
      <c r="AF72" s="960" t="s">
        <v>48</v>
      </c>
      <c r="AG72" s="960" t="s">
        <v>760</v>
      </c>
      <c r="AH72" s="927"/>
      <c r="AI72" s="927"/>
      <c r="AJ72" s="290" t="s">
        <v>4102</v>
      </c>
      <c r="AK72" s="290">
        <v>8170050010</v>
      </c>
      <c r="AL72" s="290" t="s">
        <v>4103</v>
      </c>
      <c r="AM72" s="1556" t="s">
        <v>4104</v>
      </c>
      <c r="AN72" s="290"/>
      <c r="AO72" s="290"/>
      <c r="AP72" s="290"/>
      <c r="AQ72" s="1375" t="s">
        <v>4105</v>
      </c>
      <c r="AR72" s="919" t="s">
        <v>4106</v>
      </c>
      <c r="AS72" s="168" t="s">
        <v>4107</v>
      </c>
    </row>
    <row r="73" s="974" customFormat="1" ht="14.1" customHeight="1" spans="2:45">
      <c r="B73" s="1551" t="s">
        <v>92</v>
      </c>
      <c r="C73" s="1031" t="s">
        <v>4108</v>
      </c>
      <c r="D73" s="919" t="s">
        <v>4109</v>
      </c>
      <c r="E73" s="923" t="s">
        <v>4110</v>
      </c>
      <c r="F73" s="923" t="s">
        <v>43</v>
      </c>
      <c r="G73" s="923" t="s">
        <v>254</v>
      </c>
      <c r="H73" s="927" t="s">
        <v>2910</v>
      </c>
      <c r="I73" s="927" t="s">
        <v>3514</v>
      </c>
      <c r="J73" s="919" t="s">
        <v>3603</v>
      </c>
      <c r="K73" s="928">
        <v>42952</v>
      </c>
      <c r="L73" s="928">
        <v>43135</v>
      </c>
      <c r="M73" s="928"/>
      <c r="N73" s="928"/>
      <c r="O73" s="928"/>
      <c r="P73" s="928"/>
      <c r="Q73" s="928"/>
      <c r="R73" s="928"/>
      <c r="S73" s="641">
        <v>100.310091666666</v>
      </c>
      <c r="T73" s="187" t="s">
        <v>745</v>
      </c>
      <c r="U73" s="1070"/>
      <c r="V73" s="1074">
        <v>5500000</v>
      </c>
      <c r="W73" s="1074">
        <v>150000</v>
      </c>
      <c r="X73" s="1074" t="s">
        <v>583</v>
      </c>
      <c r="Y73" s="1074"/>
      <c r="Z73" s="1074" t="s">
        <v>583</v>
      </c>
      <c r="AA73" s="1070">
        <v>200000</v>
      </c>
      <c r="AB73" s="1070">
        <v>500000</v>
      </c>
      <c r="AC73" s="1074" t="s">
        <v>583</v>
      </c>
      <c r="AD73" s="1074"/>
      <c r="AE73" s="1070" t="s">
        <v>0</v>
      </c>
      <c r="AF73" s="960" t="s">
        <v>48</v>
      </c>
      <c r="AG73" s="960" t="s">
        <v>48</v>
      </c>
      <c r="AH73" s="927"/>
      <c r="AI73" s="927"/>
      <c r="AJ73" s="290" t="s">
        <v>4111</v>
      </c>
      <c r="AK73" s="290">
        <v>81321542353</v>
      </c>
      <c r="AL73" s="962" t="s">
        <v>4112</v>
      </c>
      <c r="AM73" s="1541" t="s">
        <v>4113</v>
      </c>
      <c r="AN73" s="1541" t="s">
        <v>4114</v>
      </c>
      <c r="AO73" s="962" t="s">
        <v>4115</v>
      </c>
      <c r="AP73" s="962"/>
      <c r="AQ73" s="1375" t="s">
        <v>4116</v>
      </c>
      <c r="AR73" s="168" t="s">
        <v>4117</v>
      </c>
      <c r="AS73" s="168"/>
    </row>
    <row r="74" s="974" customFormat="1" ht="14.1" customHeight="1" spans="2:45">
      <c r="B74" s="1551" t="s">
        <v>107</v>
      </c>
      <c r="C74" s="1031" t="s">
        <v>4118</v>
      </c>
      <c r="D74" s="919" t="s">
        <v>4119</v>
      </c>
      <c r="E74" s="923" t="s">
        <v>4120</v>
      </c>
      <c r="F74" s="923" t="s">
        <v>43</v>
      </c>
      <c r="G74" s="923" t="s">
        <v>404</v>
      </c>
      <c r="H74" s="927" t="s">
        <v>2910</v>
      </c>
      <c r="I74" s="927" t="s">
        <v>3514</v>
      </c>
      <c r="J74" s="919" t="s">
        <v>3603</v>
      </c>
      <c r="K74" s="928">
        <v>42950</v>
      </c>
      <c r="L74" s="928">
        <v>43041</v>
      </c>
      <c r="M74" s="928"/>
      <c r="N74" s="928"/>
      <c r="O74" s="928"/>
      <c r="P74" s="928"/>
      <c r="Q74" s="928"/>
      <c r="R74" s="928"/>
      <c r="S74" s="641">
        <v>6.31009166666627</v>
      </c>
      <c r="T74" s="187" t="s">
        <v>2569</v>
      </c>
      <c r="U74" s="1070"/>
      <c r="V74" s="1074">
        <v>4500000</v>
      </c>
      <c r="W74" s="1074">
        <v>150000</v>
      </c>
      <c r="X74" s="1074" t="s">
        <v>583</v>
      </c>
      <c r="Y74" s="1074"/>
      <c r="Z74" s="1074" t="s">
        <v>583</v>
      </c>
      <c r="AA74" s="1070">
        <v>200000</v>
      </c>
      <c r="AB74" s="1074" t="s">
        <v>583</v>
      </c>
      <c r="AC74" s="1074" t="s">
        <v>583</v>
      </c>
      <c r="AD74" s="1074"/>
      <c r="AE74" s="1070" t="s">
        <v>0</v>
      </c>
      <c r="AF74" s="960" t="s">
        <v>48</v>
      </c>
      <c r="AG74" s="960" t="s">
        <v>48</v>
      </c>
      <c r="AH74" s="927"/>
      <c r="AI74" s="927"/>
      <c r="AJ74" s="290" t="s">
        <v>4121</v>
      </c>
      <c r="AK74" s="1556" t="s">
        <v>4122</v>
      </c>
      <c r="AL74" s="962" t="s">
        <v>4123</v>
      </c>
      <c r="AM74" s="1541" t="s">
        <v>4124</v>
      </c>
      <c r="AN74" s="1541" t="s">
        <v>4125</v>
      </c>
      <c r="AO74" s="962">
        <v>0</v>
      </c>
      <c r="AP74" s="1541" t="s">
        <v>4126</v>
      </c>
      <c r="AQ74" s="1375" t="s">
        <v>4127</v>
      </c>
      <c r="AR74" s="168" t="s">
        <v>4128</v>
      </c>
      <c r="AS74" s="168"/>
    </row>
    <row r="75" s="974" customFormat="1" ht="14.1" customHeight="1" spans="2:45">
      <c r="B75" s="1551" t="s">
        <v>168</v>
      </c>
      <c r="C75" s="1031" t="s">
        <v>4129</v>
      </c>
      <c r="D75" s="919" t="s">
        <v>4130</v>
      </c>
      <c r="E75" s="923" t="s">
        <v>4131</v>
      </c>
      <c r="F75" s="923" t="s">
        <v>43</v>
      </c>
      <c r="G75" s="923" t="s">
        <v>44</v>
      </c>
      <c r="H75" s="927" t="s">
        <v>2910</v>
      </c>
      <c r="I75" s="927" t="s">
        <v>3514</v>
      </c>
      <c r="J75" s="919" t="s">
        <v>3603</v>
      </c>
      <c r="K75" s="928">
        <v>42956</v>
      </c>
      <c r="L75" s="928">
        <v>43139</v>
      </c>
      <c r="M75" s="928"/>
      <c r="N75" s="928"/>
      <c r="O75" s="928"/>
      <c r="P75" s="928"/>
      <c r="Q75" s="928"/>
      <c r="R75" s="928"/>
      <c r="S75" s="641">
        <v>104.310091666666</v>
      </c>
      <c r="T75" s="187" t="s">
        <v>745</v>
      </c>
      <c r="U75" s="1070"/>
      <c r="V75" s="1074">
        <v>6000000</v>
      </c>
      <c r="W75" s="1074">
        <v>150000</v>
      </c>
      <c r="X75" s="1074"/>
      <c r="Y75" s="1074"/>
      <c r="Z75" s="1074"/>
      <c r="AA75" s="1070">
        <v>200000</v>
      </c>
      <c r="AB75" s="1070">
        <v>500000</v>
      </c>
      <c r="AC75" s="1074"/>
      <c r="AD75" s="1074"/>
      <c r="AE75" s="1070" t="s">
        <v>0</v>
      </c>
      <c r="AF75" s="960" t="s">
        <v>48</v>
      </c>
      <c r="AG75" s="960" t="s">
        <v>48</v>
      </c>
      <c r="AH75" s="927"/>
      <c r="AI75" s="927"/>
      <c r="AJ75" s="290" t="s">
        <v>4132</v>
      </c>
      <c r="AK75" s="1556" t="s">
        <v>4133</v>
      </c>
      <c r="AL75" s="962" t="s">
        <v>4134</v>
      </c>
      <c r="AM75" s="1541" t="s">
        <v>4135</v>
      </c>
      <c r="AN75" s="1541" t="s">
        <v>4136</v>
      </c>
      <c r="AO75" s="962" t="s">
        <v>4137</v>
      </c>
      <c r="AP75" s="1541" t="s">
        <v>4138</v>
      </c>
      <c r="AQ75" s="1375" t="s">
        <v>4139</v>
      </c>
      <c r="AR75" s="168" t="s">
        <v>4117</v>
      </c>
      <c r="AS75" s="168"/>
    </row>
    <row r="76" s="974" customFormat="1" ht="14.1" customHeight="1" spans="2:45">
      <c r="B76" s="1551" t="s">
        <v>181</v>
      </c>
      <c r="C76" s="1031" t="s">
        <v>4140</v>
      </c>
      <c r="D76" s="919" t="s">
        <v>4141</v>
      </c>
      <c r="E76" s="923" t="s">
        <v>4142</v>
      </c>
      <c r="F76" s="923" t="s">
        <v>43</v>
      </c>
      <c r="G76" s="923" t="s">
        <v>44</v>
      </c>
      <c r="H76" s="927" t="s">
        <v>2910</v>
      </c>
      <c r="I76" s="927" t="s">
        <v>3514</v>
      </c>
      <c r="J76" s="919" t="s">
        <v>3603</v>
      </c>
      <c r="K76" s="928">
        <v>42951</v>
      </c>
      <c r="L76" s="928">
        <v>43042</v>
      </c>
      <c r="M76" s="928"/>
      <c r="N76" s="928"/>
      <c r="O76" s="928"/>
      <c r="P76" s="928"/>
      <c r="Q76" s="928"/>
      <c r="R76" s="928"/>
      <c r="S76" s="641">
        <v>7.31009166666627</v>
      </c>
      <c r="T76" s="187" t="s">
        <v>2569</v>
      </c>
      <c r="U76" s="1070"/>
      <c r="V76" s="1074">
        <v>3700000</v>
      </c>
      <c r="W76" s="1074">
        <v>150000</v>
      </c>
      <c r="X76" s="1074" t="s">
        <v>583</v>
      </c>
      <c r="Y76" s="1074"/>
      <c r="Z76" s="1074" t="s">
        <v>583</v>
      </c>
      <c r="AA76" s="1070">
        <v>200000</v>
      </c>
      <c r="AB76" s="1074" t="s">
        <v>583</v>
      </c>
      <c r="AC76" s="1074" t="s">
        <v>583</v>
      </c>
      <c r="AD76" s="1074"/>
      <c r="AE76" s="1070" t="s">
        <v>0</v>
      </c>
      <c r="AF76" s="960" t="s">
        <v>48</v>
      </c>
      <c r="AG76" s="960" t="s">
        <v>48</v>
      </c>
      <c r="AH76" s="927"/>
      <c r="AI76" s="927"/>
      <c r="AJ76" s="290" t="s">
        <v>4143</v>
      </c>
      <c r="AK76" s="290">
        <v>81395212935</v>
      </c>
      <c r="AL76" s="962" t="s">
        <v>4144</v>
      </c>
      <c r="AM76" s="1541" t="s">
        <v>4145</v>
      </c>
      <c r="AN76" s="962"/>
      <c r="AO76" s="962"/>
      <c r="AP76" s="962"/>
      <c r="AQ76" s="1375" t="s">
        <v>4146</v>
      </c>
      <c r="AR76" s="168" t="s">
        <v>4117</v>
      </c>
      <c r="AS76" s="168"/>
    </row>
    <row r="77" s="974" customFormat="1" ht="14.1" customHeight="1" spans="2:45">
      <c r="B77" s="1551" t="s">
        <v>194</v>
      </c>
      <c r="C77" s="1031" t="s">
        <v>4147</v>
      </c>
      <c r="D77" s="919" t="s">
        <v>4148</v>
      </c>
      <c r="E77" s="923" t="s">
        <v>4149</v>
      </c>
      <c r="F77" s="923" t="s">
        <v>43</v>
      </c>
      <c r="G77" s="923" t="s">
        <v>44</v>
      </c>
      <c r="H77" s="927" t="s">
        <v>2910</v>
      </c>
      <c r="I77" s="927" t="s">
        <v>3514</v>
      </c>
      <c r="J77" s="919" t="s">
        <v>3603</v>
      </c>
      <c r="K77" s="928">
        <v>42952</v>
      </c>
      <c r="L77" s="928">
        <v>43043</v>
      </c>
      <c r="M77" s="928"/>
      <c r="N77" s="928"/>
      <c r="O77" s="928"/>
      <c r="P77" s="928"/>
      <c r="Q77" s="928"/>
      <c r="R77" s="928"/>
      <c r="S77" s="641">
        <v>8.31009166666627</v>
      </c>
      <c r="T77" s="187" t="s">
        <v>2569</v>
      </c>
      <c r="U77" s="1070"/>
      <c r="V77" s="1074">
        <v>4000000</v>
      </c>
      <c r="W77" s="1074">
        <v>150000</v>
      </c>
      <c r="X77" s="1074" t="s">
        <v>583</v>
      </c>
      <c r="Y77" s="1074"/>
      <c r="Z77" s="1074" t="s">
        <v>583</v>
      </c>
      <c r="AA77" s="1070">
        <v>200000</v>
      </c>
      <c r="AB77" s="1074" t="s">
        <v>583</v>
      </c>
      <c r="AC77" s="1074" t="s">
        <v>583</v>
      </c>
      <c r="AD77" s="1074"/>
      <c r="AE77" s="1070" t="s">
        <v>0</v>
      </c>
      <c r="AF77" s="960" t="s">
        <v>48</v>
      </c>
      <c r="AG77" s="960" t="s">
        <v>48</v>
      </c>
      <c r="AH77" s="927"/>
      <c r="AI77" s="927"/>
      <c r="AJ77" s="290" t="s">
        <v>4150</v>
      </c>
      <c r="AK77" s="290"/>
      <c r="AL77" s="962" t="s">
        <v>4151</v>
      </c>
      <c r="AM77" s="1541" t="s">
        <v>4152</v>
      </c>
      <c r="AN77" s="1541" t="s">
        <v>4153</v>
      </c>
      <c r="AO77" s="962"/>
      <c r="AP77" s="962"/>
      <c r="AQ77" s="1375" t="s">
        <v>4154</v>
      </c>
      <c r="AR77" s="168" t="s">
        <v>4117</v>
      </c>
      <c r="AS77" s="168"/>
    </row>
    <row r="78" s="974" customFormat="1" ht="14.1" customHeight="1" spans="2:45">
      <c r="B78" s="918"/>
      <c r="C78" s="914"/>
      <c r="D78" s="919" t="s">
        <v>4155</v>
      </c>
      <c r="E78" s="923" t="s">
        <v>4156</v>
      </c>
      <c r="F78" s="923"/>
      <c r="G78" s="923"/>
      <c r="H78" s="927" t="s">
        <v>920</v>
      </c>
      <c r="I78" s="927" t="s">
        <v>3684</v>
      </c>
      <c r="J78" s="919" t="s">
        <v>3603</v>
      </c>
      <c r="K78" s="928">
        <v>43054</v>
      </c>
      <c r="L78" s="934">
        <v>43114</v>
      </c>
      <c r="M78" s="928"/>
      <c r="N78" s="928"/>
      <c r="O78" s="928"/>
      <c r="P78" s="928"/>
      <c r="Q78" s="928"/>
      <c r="R78" s="928"/>
      <c r="S78" s="641"/>
      <c r="T78" s="187"/>
      <c r="U78" s="1070"/>
      <c r="V78" s="1006">
        <v>5000000</v>
      </c>
      <c r="W78" s="1074">
        <v>150000</v>
      </c>
      <c r="X78" s="1006"/>
      <c r="Y78" s="1006"/>
      <c r="Z78" s="1074"/>
      <c r="AA78" s="1074">
        <v>200000</v>
      </c>
      <c r="AB78" s="1074">
        <v>500000</v>
      </c>
      <c r="AC78" s="1006"/>
      <c r="AD78" s="1074"/>
      <c r="AE78" s="946" t="s">
        <v>0</v>
      </c>
      <c r="AF78" s="956" t="s">
        <v>48</v>
      </c>
      <c r="AG78" s="956" t="s">
        <v>760</v>
      </c>
      <c r="AH78" s="927"/>
      <c r="AI78" s="927"/>
      <c r="AJ78" s="290" t="s">
        <v>4157</v>
      </c>
      <c r="AK78" s="290"/>
      <c r="AL78" s="962"/>
      <c r="AM78" s="962"/>
      <c r="AN78" s="962"/>
      <c r="AO78" s="962"/>
      <c r="AP78" s="962"/>
      <c r="AQ78" s="1375"/>
      <c r="AR78" s="919" t="s">
        <v>4158</v>
      </c>
      <c r="AS78" s="168"/>
    </row>
    <row r="79" s="974" customFormat="1" ht="14.1" customHeight="1" spans="2:45">
      <c r="B79" s="1551" t="s">
        <v>39</v>
      </c>
      <c r="C79" s="1031" t="s">
        <v>4159</v>
      </c>
      <c r="D79" s="919" t="s">
        <v>4160</v>
      </c>
      <c r="E79" s="923" t="s">
        <v>4161</v>
      </c>
      <c r="F79" s="923" t="s">
        <v>43</v>
      </c>
      <c r="G79" s="923" t="s">
        <v>44</v>
      </c>
      <c r="H79" s="927" t="s">
        <v>920</v>
      </c>
      <c r="I79" s="927" t="s">
        <v>3514</v>
      </c>
      <c r="J79" s="919" t="s">
        <v>4162</v>
      </c>
      <c r="K79" s="928">
        <v>42723</v>
      </c>
      <c r="L79" s="928">
        <v>42904</v>
      </c>
      <c r="M79" s="928">
        <v>43100</v>
      </c>
      <c r="N79" s="928"/>
      <c r="O79" s="928"/>
      <c r="P79" s="928"/>
      <c r="Q79" s="928"/>
      <c r="R79" s="928"/>
      <c r="S79" s="641">
        <v>33.3992240740772</v>
      </c>
      <c r="T79" s="187" t="s">
        <v>2569</v>
      </c>
      <c r="U79" s="1070"/>
      <c r="V79" s="1070">
        <v>8000000</v>
      </c>
      <c r="W79" s="1070">
        <v>150000</v>
      </c>
      <c r="X79" s="1070"/>
      <c r="Y79" s="1070"/>
      <c r="Z79" s="1070"/>
      <c r="AA79" s="1070">
        <v>200000</v>
      </c>
      <c r="AB79" s="1070"/>
      <c r="AC79" s="1070">
        <v>650000</v>
      </c>
      <c r="AD79" s="1070"/>
      <c r="AE79" s="1070" t="s">
        <v>0</v>
      </c>
      <c r="AF79" s="960" t="s">
        <v>48</v>
      </c>
      <c r="AG79" s="960" t="s">
        <v>48</v>
      </c>
      <c r="AH79" s="927"/>
      <c r="AI79" s="927"/>
      <c r="AJ79" s="290" t="s">
        <v>4163</v>
      </c>
      <c r="AK79" s="1556" t="s">
        <v>4164</v>
      </c>
      <c r="AL79" s="290" t="s">
        <v>4165</v>
      </c>
      <c r="AM79" s="1556" t="s">
        <v>4166</v>
      </c>
      <c r="AN79" s="1556" t="s">
        <v>4167</v>
      </c>
      <c r="AO79" s="290" t="s">
        <v>4168</v>
      </c>
      <c r="AP79" s="290"/>
      <c r="AQ79" s="968" t="s">
        <v>4169</v>
      </c>
      <c r="AR79" s="919" t="s">
        <v>4170</v>
      </c>
      <c r="AS79" s="168" t="s">
        <v>4059</v>
      </c>
    </row>
    <row r="80" s="974" customFormat="1" ht="14.1" customHeight="1" spans="2:45">
      <c r="B80" s="1551" t="s">
        <v>121</v>
      </c>
      <c r="C80" s="1031" t="s">
        <v>4171</v>
      </c>
      <c r="D80" s="919" t="s">
        <v>4172</v>
      </c>
      <c r="E80" s="923" t="s">
        <v>4173</v>
      </c>
      <c r="F80" s="923" t="s">
        <v>43</v>
      </c>
      <c r="G80" s="923" t="s">
        <v>44</v>
      </c>
      <c r="H80" s="927" t="s">
        <v>2910</v>
      </c>
      <c r="I80" s="927" t="s">
        <v>3514</v>
      </c>
      <c r="J80" s="919" t="s">
        <v>3603</v>
      </c>
      <c r="K80" s="928">
        <v>42952</v>
      </c>
      <c r="L80" s="928">
        <v>43135</v>
      </c>
      <c r="M80" s="928"/>
      <c r="N80" s="928"/>
      <c r="O80" s="928"/>
      <c r="P80" s="928"/>
      <c r="Q80" s="928"/>
      <c r="R80" s="928"/>
      <c r="S80" s="641">
        <v>68.3992240740772</v>
      </c>
      <c r="T80" s="187" t="s">
        <v>745</v>
      </c>
      <c r="U80" s="1070"/>
      <c r="V80" s="1074">
        <v>6000000</v>
      </c>
      <c r="W80" s="1074">
        <v>150000</v>
      </c>
      <c r="X80" s="1074"/>
      <c r="Y80" s="1074"/>
      <c r="Z80" s="1074"/>
      <c r="AA80" s="1070">
        <v>200000</v>
      </c>
      <c r="AB80" s="1070">
        <v>500000</v>
      </c>
      <c r="AC80" s="1074"/>
      <c r="AD80" s="1074"/>
      <c r="AE80" s="1070" t="s">
        <v>0</v>
      </c>
      <c r="AF80" s="960" t="s">
        <v>48</v>
      </c>
      <c r="AG80" s="960" t="s">
        <v>48</v>
      </c>
      <c r="AH80" s="927"/>
      <c r="AI80" s="927"/>
      <c r="AJ80" s="290" t="s">
        <v>4174</v>
      </c>
      <c r="AK80" s="290">
        <v>81321587667</v>
      </c>
      <c r="AL80" s="962" t="s">
        <v>4175</v>
      </c>
      <c r="AM80" s="1541" t="s">
        <v>4176</v>
      </c>
      <c r="AN80" s="962"/>
      <c r="AO80" s="962"/>
      <c r="AP80" s="962"/>
      <c r="AQ80" s="1375" t="s">
        <v>4177</v>
      </c>
      <c r="AR80" s="919" t="s">
        <v>4178</v>
      </c>
      <c r="AS80" s="168"/>
    </row>
    <row r="81" s="974" customFormat="1" ht="14.1" customHeight="1" spans="2:45">
      <c r="B81" s="1551" t="s">
        <v>194</v>
      </c>
      <c r="C81" s="1031"/>
      <c r="D81" s="919" t="s">
        <v>4179</v>
      </c>
      <c r="E81" s="923" t="s">
        <v>4180</v>
      </c>
      <c r="F81" s="923"/>
      <c r="G81" s="923"/>
      <c r="H81" s="927" t="s">
        <v>920</v>
      </c>
      <c r="I81" s="925" t="s">
        <v>3514</v>
      </c>
      <c r="J81" s="919" t="s">
        <v>3563</v>
      </c>
      <c r="K81" s="928">
        <v>43031</v>
      </c>
      <c r="L81" s="981">
        <v>43100</v>
      </c>
      <c r="M81" s="928"/>
      <c r="N81" s="928"/>
      <c r="O81" s="928"/>
      <c r="P81" s="928"/>
      <c r="Q81" s="928"/>
      <c r="R81" s="928"/>
      <c r="S81" s="640">
        <v>33.3992240740772</v>
      </c>
      <c r="T81" s="121" t="s">
        <v>2569</v>
      </c>
      <c r="U81" s="1070"/>
      <c r="V81" s="1074">
        <v>8000000</v>
      </c>
      <c r="W81" s="1076">
        <v>1000000</v>
      </c>
      <c r="X81" s="1074"/>
      <c r="Y81" s="1074"/>
      <c r="Z81" s="1076">
        <v>4000000</v>
      </c>
      <c r="AA81" s="1076">
        <v>1000000</v>
      </c>
      <c r="AB81" s="1076">
        <v>1500000</v>
      </c>
      <c r="AC81" s="1074"/>
      <c r="AD81" s="1076"/>
      <c r="AE81" s="946" t="s">
        <v>0</v>
      </c>
      <c r="AF81" s="956" t="s">
        <v>48</v>
      </c>
      <c r="AG81" s="956" t="s">
        <v>760</v>
      </c>
      <c r="AH81" s="927"/>
      <c r="AI81" s="927"/>
      <c r="AJ81" s="290" t="s">
        <v>4181</v>
      </c>
      <c r="AK81" s="290"/>
      <c r="AL81" s="962"/>
      <c r="AM81" s="962"/>
      <c r="AN81" s="962"/>
      <c r="AO81" s="962"/>
      <c r="AP81" s="962"/>
      <c r="AQ81" s="1375"/>
      <c r="AR81" s="919" t="s">
        <v>2253</v>
      </c>
      <c r="AS81" s="168"/>
    </row>
    <row r="82" s="974" customFormat="1" ht="14.1" customHeight="1" spans="2:45">
      <c r="B82" s="1551" t="s">
        <v>320</v>
      </c>
      <c r="C82" s="914" t="s">
        <v>4182</v>
      </c>
      <c r="D82" s="919" t="s">
        <v>4183</v>
      </c>
      <c r="E82" s="923" t="s">
        <v>4184</v>
      </c>
      <c r="F82" s="923" t="s">
        <v>43</v>
      </c>
      <c r="G82" s="923" t="s">
        <v>44</v>
      </c>
      <c r="H82" s="927" t="s">
        <v>2910</v>
      </c>
      <c r="I82" s="925" t="s">
        <v>3514</v>
      </c>
      <c r="J82" s="919" t="s">
        <v>3638</v>
      </c>
      <c r="K82" s="928">
        <v>43010</v>
      </c>
      <c r="L82" s="934">
        <v>43100</v>
      </c>
      <c r="M82" s="928"/>
      <c r="N82" s="928"/>
      <c r="O82" s="928"/>
      <c r="P82" s="928"/>
      <c r="Q82" s="928"/>
      <c r="R82" s="928"/>
      <c r="S82" s="641">
        <v>33.3992240740772</v>
      </c>
      <c r="T82" s="187" t="s">
        <v>2569</v>
      </c>
      <c r="U82" s="1070"/>
      <c r="V82" s="1074">
        <v>5000000</v>
      </c>
      <c r="W82" s="1074">
        <v>1000000</v>
      </c>
      <c r="X82" s="1074"/>
      <c r="Y82" s="1074"/>
      <c r="Z82" s="1074">
        <v>1000000</v>
      </c>
      <c r="AA82" s="1074"/>
      <c r="AB82" s="1074">
        <v>1000000</v>
      </c>
      <c r="AC82" s="1074"/>
      <c r="AD82" s="1074"/>
      <c r="AE82" s="1070" t="s">
        <v>0</v>
      </c>
      <c r="AF82" s="960" t="s">
        <v>48</v>
      </c>
      <c r="AG82" s="960" t="s">
        <v>760</v>
      </c>
      <c r="AH82" s="927"/>
      <c r="AI82" s="927"/>
      <c r="AJ82" s="290" t="s">
        <v>4185</v>
      </c>
      <c r="AK82" s="290">
        <v>8115017389</v>
      </c>
      <c r="AL82" s="962" t="s">
        <v>4186</v>
      </c>
      <c r="AM82" s="1541" t="s">
        <v>4187</v>
      </c>
      <c r="AN82" s="1541" t="s">
        <v>4188</v>
      </c>
      <c r="AO82" s="962" t="s">
        <v>4189</v>
      </c>
      <c r="AP82" s="1541" t="s">
        <v>4190</v>
      </c>
      <c r="AQ82" s="1375" t="s">
        <v>4191</v>
      </c>
      <c r="AR82" s="1393" t="s">
        <v>4192</v>
      </c>
      <c r="AS82" s="168"/>
    </row>
    <row r="83" s="974" customFormat="1" ht="14.1" customHeight="1" spans="2:45">
      <c r="B83" s="1553" t="s">
        <v>483</v>
      </c>
      <c r="C83" s="1031" t="s">
        <v>4193</v>
      </c>
      <c r="D83" s="919" t="s">
        <v>4194</v>
      </c>
      <c r="E83" s="923" t="s">
        <v>4195</v>
      </c>
      <c r="F83" s="923" t="s">
        <v>43</v>
      </c>
      <c r="G83" s="923" t="s">
        <v>254</v>
      </c>
      <c r="H83" s="927" t="s">
        <v>757</v>
      </c>
      <c r="I83" s="927" t="s">
        <v>3514</v>
      </c>
      <c r="J83" s="919" t="s">
        <v>4196</v>
      </c>
      <c r="K83" s="928">
        <v>43027</v>
      </c>
      <c r="L83" s="934">
        <v>43131</v>
      </c>
      <c r="M83" s="928"/>
      <c r="N83" s="928"/>
      <c r="O83" s="928"/>
      <c r="P83" s="928"/>
      <c r="Q83" s="928"/>
      <c r="R83" s="928"/>
      <c r="S83" s="641">
        <v>64.3992240740772</v>
      </c>
      <c r="T83" s="187" t="s">
        <v>745</v>
      </c>
      <c r="U83" s="1070"/>
      <c r="V83" s="1006">
        <v>7000000</v>
      </c>
      <c r="W83" s="1074">
        <v>1000000</v>
      </c>
      <c r="X83" s="1006">
        <v>3000000</v>
      </c>
      <c r="Y83" s="1006"/>
      <c r="Z83" s="1006">
        <v>3000000</v>
      </c>
      <c r="AA83" s="1074">
        <v>1000000</v>
      </c>
      <c r="AB83" s="1074">
        <v>1000000</v>
      </c>
      <c r="AC83" s="1006"/>
      <c r="AD83" s="1074"/>
      <c r="AE83" s="1070" t="s">
        <v>0</v>
      </c>
      <c r="AF83" s="960" t="s">
        <v>48</v>
      </c>
      <c r="AG83" s="960" t="s">
        <v>760</v>
      </c>
      <c r="AH83" s="927"/>
      <c r="AI83" s="927"/>
      <c r="AJ83" s="290" t="s">
        <v>4197</v>
      </c>
      <c r="AK83" s="290">
        <v>8157656794</v>
      </c>
      <c r="AL83" s="962" t="s">
        <v>4198</v>
      </c>
      <c r="AM83" s="1541" t="s">
        <v>4199</v>
      </c>
      <c r="AN83" s="1541" t="s">
        <v>4200</v>
      </c>
      <c r="AO83" s="962" t="s">
        <v>4201</v>
      </c>
      <c r="AP83" s="1541" t="s">
        <v>4202</v>
      </c>
      <c r="AQ83" s="1375" t="s">
        <v>4203</v>
      </c>
      <c r="AR83" s="919" t="s">
        <v>4204</v>
      </c>
      <c r="AS83" s="168"/>
    </row>
    <row r="84" s="974" customFormat="1" ht="14.1" customHeight="1" spans="2:45">
      <c r="B84" s="1553" t="s">
        <v>92</v>
      </c>
      <c r="C84" s="1031" t="s">
        <v>4205</v>
      </c>
      <c r="D84" s="919" t="s">
        <v>4206</v>
      </c>
      <c r="E84" s="923" t="s">
        <v>4207</v>
      </c>
      <c r="F84" s="923" t="s">
        <v>43</v>
      </c>
      <c r="G84" s="923" t="s">
        <v>96</v>
      </c>
      <c r="H84" s="927" t="s">
        <v>2910</v>
      </c>
      <c r="I84" s="927" t="s">
        <v>3514</v>
      </c>
      <c r="J84" s="919" t="s">
        <v>3603</v>
      </c>
      <c r="K84" s="928">
        <v>42952</v>
      </c>
      <c r="L84" s="928">
        <v>43135</v>
      </c>
      <c r="M84" s="928"/>
      <c r="N84" s="928"/>
      <c r="O84" s="928"/>
      <c r="P84" s="928"/>
      <c r="Q84" s="928"/>
      <c r="R84" s="928"/>
      <c r="S84" s="641">
        <v>17.5788388888905</v>
      </c>
      <c r="T84" s="187" t="s">
        <v>2569</v>
      </c>
      <c r="U84" s="1070"/>
      <c r="V84" s="1074">
        <v>5500000</v>
      </c>
      <c r="W84" s="1074">
        <v>150000</v>
      </c>
      <c r="X84" s="1074" t="s">
        <v>583</v>
      </c>
      <c r="Y84" s="1074"/>
      <c r="Z84" s="1074" t="s">
        <v>583</v>
      </c>
      <c r="AA84" s="1070">
        <v>200000</v>
      </c>
      <c r="AB84" s="1074" t="s">
        <v>583</v>
      </c>
      <c r="AC84" s="1074" t="s">
        <v>583</v>
      </c>
      <c r="AD84" s="1074"/>
      <c r="AE84" s="1070" t="s">
        <v>0</v>
      </c>
      <c r="AF84" s="960" t="s">
        <v>48</v>
      </c>
      <c r="AG84" s="960" t="s">
        <v>48</v>
      </c>
      <c r="AH84" s="927"/>
      <c r="AI84" s="927"/>
      <c r="AJ84" s="290" t="s">
        <v>4208</v>
      </c>
      <c r="AK84" s="290">
        <v>85213461868</v>
      </c>
      <c r="AL84" s="962" t="s">
        <v>4209</v>
      </c>
      <c r="AM84" s="1541" t="s">
        <v>4210</v>
      </c>
      <c r="AN84" s="1541" t="s">
        <v>4211</v>
      </c>
      <c r="AO84" s="962"/>
      <c r="AP84" s="1541" t="s">
        <v>4212</v>
      </c>
      <c r="AQ84" s="1375" t="s">
        <v>4213</v>
      </c>
      <c r="AR84" s="919" t="s">
        <v>3157</v>
      </c>
      <c r="AS84" s="168" t="s">
        <v>4214</v>
      </c>
    </row>
    <row r="85" s="974" customFormat="1" ht="14.1" customHeight="1" spans="2:45">
      <c r="B85" s="1553" t="s">
        <v>121</v>
      </c>
      <c r="C85" s="1031" t="s">
        <v>4215</v>
      </c>
      <c r="D85" s="919" t="s">
        <v>4216</v>
      </c>
      <c r="E85" s="923" t="s">
        <v>4217</v>
      </c>
      <c r="F85" s="923" t="s">
        <v>43</v>
      </c>
      <c r="G85" s="923" t="s">
        <v>96</v>
      </c>
      <c r="H85" s="927" t="s">
        <v>920</v>
      </c>
      <c r="I85" s="927" t="s">
        <v>3514</v>
      </c>
      <c r="J85" s="919" t="s">
        <v>4218</v>
      </c>
      <c r="K85" s="928">
        <v>42997</v>
      </c>
      <c r="L85" s="934">
        <v>43100</v>
      </c>
      <c r="M85" s="928"/>
      <c r="N85" s="928"/>
      <c r="O85" s="928"/>
      <c r="P85" s="928"/>
      <c r="Q85" s="928"/>
      <c r="R85" s="928"/>
      <c r="S85" s="641">
        <v>-17.4211611111095</v>
      </c>
      <c r="T85" s="187" t="s">
        <v>2569</v>
      </c>
      <c r="U85" s="1070"/>
      <c r="V85" s="1074">
        <v>8000000</v>
      </c>
      <c r="W85" s="1074">
        <v>1000000</v>
      </c>
      <c r="X85" s="1074">
        <v>3000000</v>
      </c>
      <c r="Y85" s="1074"/>
      <c r="Z85" s="1074">
        <v>3000000</v>
      </c>
      <c r="AA85" s="1074">
        <v>1000000</v>
      </c>
      <c r="AB85" s="1074">
        <v>1000000</v>
      </c>
      <c r="AC85" s="1074"/>
      <c r="AD85" s="1074"/>
      <c r="AE85" s="1070" t="s">
        <v>0</v>
      </c>
      <c r="AF85" s="960" t="s">
        <v>48</v>
      </c>
      <c r="AG85" s="960" t="s">
        <v>760</v>
      </c>
      <c r="AH85" s="927"/>
      <c r="AI85" s="927"/>
      <c r="AJ85" s="290" t="s">
        <v>4219</v>
      </c>
      <c r="AK85" s="290"/>
      <c r="AL85" s="962" t="s">
        <v>4220</v>
      </c>
      <c r="AM85" s="1541" t="s">
        <v>4221</v>
      </c>
      <c r="AN85" s="1541" t="s">
        <v>4222</v>
      </c>
      <c r="AO85" s="962"/>
      <c r="AP85" s="1541" t="s">
        <v>4223</v>
      </c>
      <c r="AQ85" s="1375" t="s">
        <v>4224</v>
      </c>
      <c r="AR85" s="1205" t="s">
        <v>2986</v>
      </c>
      <c r="AS85" s="1381" t="s">
        <v>4225</v>
      </c>
    </row>
    <row r="86" s="974" customFormat="1" ht="14.1" customHeight="1" spans="2:45">
      <c r="B86" s="1553" t="s">
        <v>157</v>
      </c>
      <c r="C86" s="1031" t="s">
        <v>4226</v>
      </c>
      <c r="D86" s="919" t="s">
        <v>4227</v>
      </c>
      <c r="E86" s="923" t="s">
        <v>4228</v>
      </c>
      <c r="F86" s="923" t="s">
        <v>43</v>
      </c>
      <c r="G86" s="923" t="s">
        <v>44</v>
      </c>
      <c r="H86" s="927" t="s">
        <v>920</v>
      </c>
      <c r="I86" s="927" t="s">
        <v>3514</v>
      </c>
      <c r="J86" s="919" t="s">
        <v>3563</v>
      </c>
      <c r="K86" s="928">
        <v>43003</v>
      </c>
      <c r="L86" s="934">
        <v>43100</v>
      </c>
      <c r="M86" s="928"/>
      <c r="N86" s="928"/>
      <c r="O86" s="928"/>
      <c r="P86" s="928"/>
      <c r="Q86" s="928"/>
      <c r="R86" s="928"/>
      <c r="S86" s="641">
        <v>-17.4211611111095</v>
      </c>
      <c r="T86" s="187" t="s">
        <v>2569</v>
      </c>
      <c r="U86" s="1070"/>
      <c r="V86" s="1074">
        <v>13000000</v>
      </c>
      <c r="W86" s="1074">
        <v>1000000</v>
      </c>
      <c r="X86" s="1074"/>
      <c r="Y86" s="1074"/>
      <c r="Z86" s="1074">
        <v>4000000</v>
      </c>
      <c r="AA86" s="1074">
        <v>1000000</v>
      </c>
      <c r="AB86" s="1074">
        <v>1500000</v>
      </c>
      <c r="AC86" s="1074"/>
      <c r="AD86" s="1074"/>
      <c r="AE86" s="1070" t="s">
        <v>0</v>
      </c>
      <c r="AF86" s="1070" t="s">
        <v>0</v>
      </c>
      <c r="AG86" s="960" t="s">
        <v>760</v>
      </c>
      <c r="AH86" s="927"/>
      <c r="AI86" s="927"/>
      <c r="AJ86" s="290" t="s">
        <v>4229</v>
      </c>
      <c r="AK86" s="290">
        <v>8111261171</v>
      </c>
      <c r="AL86" s="962" t="s">
        <v>4230</v>
      </c>
      <c r="AM86" s="1541" t="s">
        <v>4231</v>
      </c>
      <c r="AN86" s="1541" t="s">
        <v>4232</v>
      </c>
      <c r="AO86" s="962"/>
      <c r="AP86" s="962"/>
      <c r="AQ86" s="1375" t="s">
        <v>4233</v>
      </c>
      <c r="AR86" s="1205" t="s">
        <v>2986</v>
      </c>
      <c r="AS86" s="1381" t="s">
        <v>4225</v>
      </c>
    </row>
    <row r="87" s="974" customFormat="1" ht="14.1" customHeight="1" spans="2:45">
      <c r="B87" s="1553" t="s">
        <v>181</v>
      </c>
      <c r="C87" s="1031" t="s">
        <v>4234</v>
      </c>
      <c r="D87" s="919" t="s">
        <v>4235</v>
      </c>
      <c r="E87" s="923" t="s">
        <v>4236</v>
      </c>
      <c r="F87" s="923" t="s">
        <v>43</v>
      </c>
      <c r="G87" s="923" t="s">
        <v>60</v>
      </c>
      <c r="H87" s="927" t="s">
        <v>920</v>
      </c>
      <c r="I87" s="927" t="s">
        <v>3514</v>
      </c>
      <c r="J87" s="919" t="s">
        <v>3563</v>
      </c>
      <c r="K87" s="928">
        <v>43003</v>
      </c>
      <c r="L87" s="934">
        <v>43100</v>
      </c>
      <c r="M87" s="928"/>
      <c r="N87" s="928"/>
      <c r="O87" s="928"/>
      <c r="P87" s="928"/>
      <c r="Q87" s="928"/>
      <c r="R87" s="928"/>
      <c r="S87" s="641">
        <v>-17.4211611111095</v>
      </c>
      <c r="T87" s="187" t="s">
        <v>2569</v>
      </c>
      <c r="U87" s="1070"/>
      <c r="V87" s="1074">
        <v>13000000</v>
      </c>
      <c r="W87" s="1074">
        <v>1000000</v>
      </c>
      <c r="X87" s="1074"/>
      <c r="Y87" s="1074"/>
      <c r="Z87" s="1074">
        <v>4000000</v>
      </c>
      <c r="AA87" s="1074">
        <v>1000000</v>
      </c>
      <c r="AB87" s="1074">
        <v>1500000</v>
      </c>
      <c r="AC87" s="1074"/>
      <c r="AD87" s="1074"/>
      <c r="AE87" s="1070" t="s">
        <v>0</v>
      </c>
      <c r="AF87" s="1070" t="s">
        <v>0</v>
      </c>
      <c r="AG87" s="960" t="s">
        <v>760</v>
      </c>
      <c r="AH87" s="927"/>
      <c r="AI87" s="927"/>
      <c r="AJ87" s="290" t="s">
        <v>4237</v>
      </c>
      <c r="AK87" s="290"/>
      <c r="AL87" s="962" t="s">
        <v>4238</v>
      </c>
      <c r="AM87" s="1541" t="s">
        <v>4239</v>
      </c>
      <c r="AN87" s="1541" t="s">
        <v>4240</v>
      </c>
      <c r="AO87" s="962" t="s">
        <v>4241</v>
      </c>
      <c r="AP87" s="962"/>
      <c r="AQ87" s="1375" t="s">
        <v>4242</v>
      </c>
      <c r="AR87" s="1205" t="s">
        <v>2986</v>
      </c>
      <c r="AS87" s="1381" t="s">
        <v>4225</v>
      </c>
    </row>
    <row r="88" s="974" customFormat="1" ht="14.1" customHeight="1" spans="2:45">
      <c r="B88" s="1553" t="s">
        <v>204</v>
      </c>
      <c r="C88" s="1031" t="s">
        <v>4243</v>
      </c>
      <c r="D88" s="919" t="s">
        <v>4244</v>
      </c>
      <c r="E88" s="923" t="s">
        <v>4245</v>
      </c>
      <c r="F88" s="923" t="s">
        <v>43</v>
      </c>
      <c r="G88" s="923" t="s">
        <v>60</v>
      </c>
      <c r="H88" s="927" t="s">
        <v>920</v>
      </c>
      <c r="I88" s="927" t="s">
        <v>3514</v>
      </c>
      <c r="J88" s="919" t="s">
        <v>3563</v>
      </c>
      <c r="K88" s="928">
        <v>43013</v>
      </c>
      <c r="L88" s="934">
        <v>43100</v>
      </c>
      <c r="M88" s="928"/>
      <c r="N88" s="928"/>
      <c r="O88" s="928"/>
      <c r="P88" s="928"/>
      <c r="Q88" s="928"/>
      <c r="R88" s="928"/>
      <c r="S88" s="641">
        <v>-17.4211611111095</v>
      </c>
      <c r="T88" s="187" t="s">
        <v>2569</v>
      </c>
      <c r="U88" s="1070"/>
      <c r="V88" s="1074">
        <v>13500000</v>
      </c>
      <c r="W88" s="1074">
        <v>1000000</v>
      </c>
      <c r="X88" s="1074"/>
      <c r="Y88" s="1074"/>
      <c r="Z88" s="1074">
        <v>4000000</v>
      </c>
      <c r="AA88" s="1074">
        <v>1000000</v>
      </c>
      <c r="AB88" s="1074">
        <v>1500000</v>
      </c>
      <c r="AC88" s="1074"/>
      <c r="AD88" s="1074"/>
      <c r="AE88" s="1070" t="s">
        <v>0</v>
      </c>
      <c r="AF88" s="1070" t="s">
        <v>0</v>
      </c>
      <c r="AG88" s="960" t="s">
        <v>760</v>
      </c>
      <c r="AH88" s="927"/>
      <c r="AI88" s="927"/>
      <c r="AJ88" s="290" t="s">
        <v>4246</v>
      </c>
      <c r="AK88" s="1556" t="s">
        <v>4247</v>
      </c>
      <c r="AL88" s="962" t="s">
        <v>4248</v>
      </c>
      <c r="AM88" s="1541" t="s">
        <v>4249</v>
      </c>
      <c r="AN88" s="1541" t="s">
        <v>4250</v>
      </c>
      <c r="AO88" s="962"/>
      <c r="AP88" s="1541" t="s">
        <v>4251</v>
      </c>
      <c r="AQ88" s="1375" t="s">
        <v>4252</v>
      </c>
      <c r="AR88" s="1205" t="s">
        <v>2986</v>
      </c>
      <c r="AS88" s="1381" t="s">
        <v>4225</v>
      </c>
    </row>
    <row r="89" s="974" customFormat="1" ht="14.1" customHeight="1" spans="2:45">
      <c r="B89" s="1553" t="s">
        <v>229</v>
      </c>
      <c r="C89" s="1031" t="s">
        <v>4253</v>
      </c>
      <c r="D89" s="919" t="s">
        <v>4254</v>
      </c>
      <c r="E89" s="923" t="s">
        <v>4255</v>
      </c>
      <c r="F89" s="923" t="s">
        <v>43</v>
      </c>
      <c r="G89" s="923" t="s">
        <v>404</v>
      </c>
      <c r="H89" s="927" t="s">
        <v>920</v>
      </c>
      <c r="I89" s="927" t="s">
        <v>3514</v>
      </c>
      <c r="J89" s="919" t="s">
        <v>3573</v>
      </c>
      <c r="K89" s="928">
        <v>43010</v>
      </c>
      <c r="L89" s="934">
        <v>43100</v>
      </c>
      <c r="M89" s="928"/>
      <c r="N89" s="928"/>
      <c r="O89" s="928"/>
      <c r="P89" s="928"/>
      <c r="Q89" s="928"/>
      <c r="R89" s="928"/>
      <c r="S89" s="641">
        <v>-17.4211611111095</v>
      </c>
      <c r="T89" s="187" t="s">
        <v>2569</v>
      </c>
      <c r="U89" s="1070"/>
      <c r="V89" s="1074">
        <v>21000000</v>
      </c>
      <c r="W89" s="1074">
        <v>1500000</v>
      </c>
      <c r="X89" s="1074"/>
      <c r="Y89" s="1074"/>
      <c r="Z89" s="1074">
        <v>8000000</v>
      </c>
      <c r="AA89" s="1074">
        <v>1500000</v>
      </c>
      <c r="AB89" s="1074">
        <v>1500000</v>
      </c>
      <c r="AC89" s="1074"/>
      <c r="AD89" s="1074"/>
      <c r="AE89" s="1070" t="s">
        <v>0</v>
      </c>
      <c r="AF89" s="1070" t="s">
        <v>0</v>
      </c>
      <c r="AG89" s="960" t="s">
        <v>760</v>
      </c>
      <c r="AH89" s="927"/>
      <c r="AI89" s="927"/>
      <c r="AJ89" s="290" t="s">
        <v>4256</v>
      </c>
      <c r="AK89" s="1556" t="s">
        <v>4257</v>
      </c>
      <c r="AL89" s="962" t="s">
        <v>4258</v>
      </c>
      <c r="AM89" s="1541" t="s">
        <v>4259</v>
      </c>
      <c r="AN89" s="1541" t="s">
        <v>4260</v>
      </c>
      <c r="AO89" s="962"/>
      <c r="AP89" s="1541" t="s">
        <v>4261</v>
      </c>
      <c r="AQ89" s="1375" t="s">
        <v>4262</v>
      </c>
      <c r="AR89" s="1205" t="s">
        <v>2986</v>
      </c>
      <c r="AS89" s="1381" t="s">
        <v>4225</v>
      </c>
    </row>
    <row r="90" s="974" customFormat="1" ht="14.1" customHeight="1" spans="2:45">
      <c r="B90" s="1553" t="s">
        <v>286</v>
      </c>
      <c r="C90" s="1031" t="s">
        <v>4263</v>
      </c>
      <c r="D90" s="919" t="s">
        <v>4264</v>
      </c>
      <c r="E90" s="923" t="s">
        <v>4265</v>
      </c>
      <c r="F90" s="923" t="s">
        <v>43</v>
      </c>
      <c r="G90" s="923" t="s">
        <v>44</v>
      </c>
      <c r="H90" s="927" t="s">
        <v>920</v>
      </c>
      <c r="I90" s="927" t="s">
        <v>3514</v>
      </c>
      <c r="J90" s="919" t="s">
        <v>3603</v>
      </c>
      <c r="K90" s="928">
        <v>43018</v>
      </c>
      <c r="L90" s="934">
        <v>43100</v>
      </c>
      <c r="M90" s="928"/>
      <c r="N90" s="928"/>
      <c r="O90" s="928"/>
      <c r="P90" s="928"/>
      <c r="Q90" s="928"/>
      <c r="R90" s="928"/>
      <c r="S90" s="641">
        <v>-17.4211611111095</v>
      </c>
      <c r="T90" s="187" t="s">
        <v>2569</v>
      </c>
      <c r="U90" s="1070"/>
      <c r="V90" s="1074">
        <v>3800000</v>
      </c>
      <c r="W90" s="1074">
        <v>150000</v>
      </c>
      <c r="X90" s="1074"/>
      <c r="Y90" s="1074"/>
      <c r="Z90" s="1074"/>
      <c r="AA90" s="1006">
        <v>200000</v>
      </c>
      <c r="AB90" s="1074">
        <v>500000</v>
      </c>
      <c r="AC90" s="1074"/>
      <c r="AD90" s="1074"/>
      <c r="AE90" s="1070" t="s">
        <v>0</v>
      </c>
      <c r="AF90" s="960" t="s">
        <v>48</v>
      </c>
      <c r="AG90" s="960" t="s">
        <v>760</v>
      </c>
      <c r="AH90" s="927"/>
      <c r="AI90" s="927"/>
      <c r="AJ90" s="290" t="s">
        <v>4266</v>
      </c>
      <c r="AK90" s="290">
        <v>81224126468</v>
      </c>
      <c r="AL90" s="962" t="s">
        <v>4267</v>
      </c>
      <c r="AM90" s="1541" t="s">
        <v>4268</v>
      </c>
      <c r="AN90" s="1541" t="s">
        <v>4269</v>
      </c>
      <c r="AO90" s="962"/>
      <c r="AP90" s="962"/>
      <c r="AQ90" s="1375" t="s">
        <v>4270</v>
      </c>
      <c r="AR90" s="1205" t="s">
        <v>2986</v>
      </c>
      <c r="AS90" s="168" t="s">
        <v>4271</v>
      </c>
    </row>
    <row r="91" s="974" customFormat="1" ht="14.1" customHeight="1" spans="2:45">
      <c r="B91" s="1553" t="s">
        <v>308</v>
      </c>
      <c r="C91" s="1031" t="s">
        <v>4272</v>
      </c>
      <c r="D91" s="919" t="s">
        <v>1490</v>
      </c>
      <c r="E91" s="923" t="s">
        <v>1491</v>
      </c>
      <c r="F91" s="923" t="s">
        <v>43</v>
      </c>
      <c r="G91" s="923" t="s">
        <v>404</v>
      </c>
      <c r="H91" s="927" t="s">
        <v>920</v>
      </c>
      <c r="I91" s="927" t="s">
        <v>3514</v>
      </c>
      <c r="J91" s="919" t="s">
        <v>3603</v>
      </c>
      <c r="K91" s="928">
        <v>43019</v>
      </c>
      <c r="L91" s="934">
        <v>43100</v>
      </c>
      <c r="M91" s="928"/>
      <c r="N91" s="928"/>
      <c r="O91" s="928"/>
      <c r="P91" s="928"/>
      <c r="Q91" s="928"/>
      <c r="R91" s="928"/>
      <c r="S91" s="641">
        <v>-17.4211611111095</v>
      </c>
      <c r="T91" s="187" t="s">
        <v>2569</v>
      </c>
      <c r="U91" s="1070"/>
      <c r="V91" s="1074">
        <v>4300000</v>
      </c>
      <c r="W91" s="1074">
        <v>150000</v>
      </c>
      <c r="X91" s="1074"/>
      <c r="Y91" s="1074"/>
      <c r="Z91" s="1074"/>
      <c r="AA91" s="1006">
        <v>200000</v>
      </c>
      <c r="AB91" s="1074"/>
      <c r="AC91" s="1074"/>
      <c r="AD91" s="1074"/>
      <c r="AE91" s="1070" t="s">
        <v>0</v>
      </c>
      <c r="AF91" s="960" t="s">
        <v>48</v>
      </c>
      <c r="AG91" s="960" t="s">
        <v>760</v>
      </c>
      <c r="AH91" s="927"/>
      <c r="AI91" s="927"/>
      <c r="AJ91" s="290" t="s">
        <v>1492</v>
      </c>
      <c r="AK91" s="290">
        <v>82110614676</v>
      </c>
      <c r="AL91" s="962" t="s">
        <v>4273</v>
      </c>
      <c r="AM91" s="1541" t="s">
        <v>1495</v>
      </c>
      <c r="AN91" s="1541" t="s">
        <v>4274</v>
      </c>
      <c r="AO91" s="962"/>
      <c r="AP91" s="1541" t="s">
        <v>1497</v>
      </c>
      <c r="AQ91" s="1375" t="s">
        <v>1498</v>
      </c>
      <c r="AR91" s="1205" t="s">
        <v>2986</v>
      </c>
      <c r="AS91" s="1396" t="s">
        <v>3000</v>
      </c>
    </row>
    <row r="92" s="974" customFormat="1" ht="14.1" customHeight="1" spans="2:45">
      <c r="B92" s="1553" t="s">
        <v>320</v>
      </c>
      <c r="C92" s="1031" t="s">
        <v>4275</v>
      </c>
      <c r="D92" s="919" t="s">
        <v>4276</v>
      </c>
      <c r="E92" s="923" t="s">
        <v>4277</v>
      </c>
      <c r="F92" s="923" t="s">
        <v>43</v>
      </c>
      <c r="G92" s="923" t="s">
        <v>44</v>
      </c>
      <c r="H92" s="927" t="s">
        <v>920</v>
      </c>
      <c r="I92" s="927" t="s">
        <v>3514</v>
      </c>
      <c r="J92" s="919" t="s">
        <v>3603</v>
      </c>
      <c r="K92" s="928">
        <v>43019</v>
      </c>
      <c r="L92" s="934">
        <v>43100</v>
      </c>
      <c r="M92" s="928"/>
      <c r="N92" s="928"/>
      <c r="O92" s="928"/>
      <c r="P92" s="928"/>
      <c r="Q92" s="928"/>
      <c r="R92" s="928"/>
      <c r="S92" s="641">
        <v>-17.4211611111095</v>
      </c>
      <c r="T92" s="187" t="s">
        <v>2569</v>
      </c>
      <c r="U92" s="1070"/>
      <c r="V92" s="1074">
        <v>5000000</v>
      </c>
      <c r="W92" s="1074">
        <v>150000</v>
      </c>
      <c r="X92" s="1074"/>
      <c r="Y92" s="1074"/>
      <c r="Z92" s="1074"/>
      <c r="AA92" s="1006">
        <v>200000</v>
      </c>
      <c r="AB92" s="1074"/>
      <c r="AC92" s="1074"/>
      <c r="AD92" s="1074"/>
      <c r="AE92" s="1070" t="s">
        <v>0</v>
      </c>
      <c r="AF92" s="960" t="s">
        <v>48</v>
      </c>
      <c r="AG92" s="960" t="s">
        <v>760</v>
      </c>
      <c r="AH92" s="927"/>
      <c r="AI92" s="927"/>
      <c r="AJ92" s="290" t="s">
        <v>4278</v>
      </c>
      <c r="AK92" s="1556" t="s">
        <v>4279</v>
      </c>
      <c r="AL92" s="962" t="s">
        <v>4280</v>
      </c>
      <c r="AM92" s="1541" t="s">
        <v>4281</v>
      </c>
      <c r="AN92" s="1541" t="s">
        <v>4282</v>
      </c>
      <c r="AO92" s="962" t="s">
        <v>4283</v>
      </c>
      <c r="AP92" s="1541" t="s">
        <v>4284</v>
      </c>
      <c r="AQ92" s="1375" t="s">
        <v>4285</v>
      </c>
      <c r="AR92" s="1205" t="s">
        <v>2986</v>
      </c>
      <c r="AS92" s="1396" t="s">
        <v>3000</v>
      </c>
    </row>
    <row r="93" s="974" customFormat="1" ht="14.1" customHeight="1" spans="2:45">
      <c r="B93" s="1553" t="s">
        <v>333</v>
      </c>
      <c r="C93" s="1031" t="s">
        <v>4286</v>
      </c>
      <c r="D93" s="919" t="s">
        <v>4287</v>
      </c>
      <c r="E93" s="923" t="s">
        <v>4288</v>
      </c>
      <c r="F93" s="923" t="s">
        <v>43</v>
      </c>
      <c r="G93" s="923" t="s">
        <v>44</v>
      </c>
      <c r="H93" s="927" t="s">
        <v>920</v>
      </c>
      <c r="I93" s="927" t="s">
        <v>3514</v>
      </c>
      <c r="J93" s="919" t="s">
        <v>3603</v>
      </c>
      <c r="K93" s="928">
        <v>43018</v>
      </c>
      <c r="L93" s="934">
        <v>43100</v>
      </c>
      <c r="M93" s="928"/>
      <c r="N93" s="928"/>
      <c r="O93" s="928"/>
      <c r="P93" s="928"/>
      <c r="Q93" s="928"/>
      <c r="R93" s="928"/>
      <c r="S93" s="641">
        <v>-17.4211611111095</v>
      </c>
      <c r="T93" s="187" t="s">
        <v>2569</v>
      </c>
      <c r="U93" s="1070"/>
      <c r="V93" s="1074">
        <v>3600000</v>
      </c>
      <c r="W93" s="1074">
        <v>150000</v>
      </c>
      <c r="X93" s="1074"/>
      <c r="Y93" s="1074"/>
      <c r="Z93" s="1074"/>
      <c r="AA93" s="1006">
        <v>200000</v>
      </c>
      <c r="AB93" s="1074">
        <v>500000</v>
      </c>
      <c r="AC93" s="1074"/>
      <c r="AD93" s="1074"/>
      <c r="AE93" s="1070" t="s">
        <v>0</v>
      </c>
      <c r="AF93" s="960" t="s">
        <v>48</v>
      </c>
      <c r="AG93" s="960" t="s">
        <v>760</v>
      </c>
      <c r="AH93" s="927"/>
      <c r="AI93" s="927"/>
      <c r="AJ93" s="290" t="s">
        <v>4266</v>
      </c>
      <c r="AK93" s="290">
        <v>89656642673</v>
      </c>
      <c r="AL93" s="962" t="s">
        <v>4289</v>
      </c>
      <c r="AM93" s="1541" t="s">
        <v>4290</v>
      </c>
      <c r="AN93" s="962"/>
      <c r="AO93" s="962"/>
      <c r="AP93" s="962"/>
      <c r="AQ93" s="1375" t="s">
        <v>4291</v>
      </c>
      <c r="AR93" s="1205" t="s">
        <v>2986</v>
      </c>
      <c r="AS93" s="168" t="s">
        <v>4271</v>
      </c>
    </row>
    <row r="94" s="974" customFormat="1" ht="14.1" customHeight="1" spans="2:45">
      <c r="B94" s="1553" t="s">
        <v>369</v>
      </c>
      <c r="C94" s="1031" t="s">
        <v>4292</v>
      </c>
      <c r="D94" s="919" t="s">
        <v>4293</v>
      </c>
      <c r="E94" s="923" t="s">
        <v>4294</v>
      </c>
      <c r="F94" s="923" t="s">
        <v>43</v>
      </c>
      <c r="G94" s="923" t="s">
        <v>254</v>
      </c>
      <c r="H94" s="927" t="s">
        <v>920</v>
      </c>
      <c r="I94" s="927" t="s">
        <v>3514</v>
      </c>
      <c r="J94" s="919" t="s">
        <v>3603</v>
      </c>
      <c r="K94" s="928">
        <v>43018</v>
      </c>
      <c r="L94" s="934">
        <v>43100</v>
      </c>
      <c r="M94" s="928"/>
      <c r="N94" s="928"/>
      <c r="O94" s="928"/>
      <c r="P94" s="928"/>
      <c r="Q94" s="928"/>
      <c r="R94" s="928"/>
      <c r="S94" s="641">
        <v>-17.4211611111095</v>
      </c>
      <c r="T94" s="187" t="s">
        <v>2569</v>
      </c>
      <c r="U94" s="1070"/>
      <c r="V94" s="1006">
        <v>5500000</v>
      </c>
      <c r="W94" s="1006">
        <v>150000</v>
      </c>
      <c r="X94" s="1006"/>
      <c r="Y94" s="1006"/>
      <c r="Z94" s="1006"/>
      <c r="AA94" s="1006">
        <v>200000</v>
      </c>
      <c r="AB94" s="1074">
        <v>500000</v>
      </c>
      <c r="AC94" s="1006"/>
      <c r="AD94" s="1074"/>
      <c r="AE94" s="1070" t="s">
        <v>0</v>
      </c>
      <c r="AF94" s="960" t="s">
        <v>48</v>
      </c>
      <c r="AG94" s="960" t="s">
        <v>760</v>
      </c>
      <c r="AH94" s="927"/>
      <c r="AI94" s="927"/>
      <c r="AJ94" s="290" t="s">
        <v>4295</v>
      </c>
      <c r="AK94" s="290">
        <v>81212455912</v>
      </c>
      <c r="AL94" s="962" t="s">
        <v>4296</v>
      </c>
      <c r="AM94" s="1541" t="s">
        <v>4297</v>
      </c>
      <c r="AN94" s="962"/>
      <c r="AO94" s="962"/>
      <c r="AP94" s="962"/>
      <c r="AQ94" s="1375" t="s">
        <v>4298</v>
      </c>
      <c r="AR94" s="1205" t="s">
        <v>2986</v>
      </c>
      <c r="AS94" s="1396" t="s">
        <v>3000</v>
      </c>
    </row>
    <row r="95" s="974" customFormat="1" ht="14.1" customHeight="1" spans="2:45">
      <c r="B95" s="1553" t="s">
        <v>424</v>
      </c>
      <c r="C95" s="1031" t="s">
        <v>4299</v>
      </c>
      <c r="D95" s="919" t="s">
        <v>4300</v>
      </c>
      <c r="E95" s="923" t="s">
        <v>4301</v>
      </c>
      <c r="F95" s="923" t="s">
        <v>43</v>
      </c>
      <c r="G95" s="923" t="s">
        <v>404</v>
      </c>
      <c r="H95" s="927" t="s">
        <v>920</v>
      </c>
      <c r="I95" s="927" t="s">
        <v>3514</v>
      </c>
      <c r="J95" s="919" t="s">
        <v>4302</v>
      </c>
      <c r="K95" s="928">
        <v>43032</v>
      </c>
      <c r="L95" s="934">
        <v>43100</v>
      </c>
      <c r="M95" s="928"/>
      <c r="N95" s="928"/>
      <c r="O95" s="928"/>
      <c r="P95" s="928"/>
      <c r="Q95" s="928"/>
      <c r="R95" s="928"/>
      <c r="S95" s="641">
        <v>-17.4211611111095</v>
      </c>
      <c r="T95" s="187" t="s">
        <v>2569</v>
      </c>
      <c r="U95" s="1070"/>
      <c r="V95" s="1006">
        <v>4000000</v>
      </c>
      <c r="W95" s="1074">
        <v>1000000</v>
      </c>
      <c r="X95" s="1006"/>
      <c r="Y95" s="1006"/>
      <c r="Z95" s="1006">
        <v>2000000</v>
      </c>
      <c r="AA95" s="1074">
        <v>1000000</v>
      </c>
      <c r="AB95" s="1074">
        <v>1000000</v>
      </c>
      <c r="AC95" s="1006"/>
      <c r="AD95" s="1074"/>
      <c r="AE95" s="1070" t="s">
        <v>0</v>
      </c>
      <c r="AF95" s="960" t="s">
        <v>48</v>
      </c>
      <c r="AG95" s="960" t="s">
        <v>760</v>
      </c>
      <c r="AH95" s="927"/>
      <c r="AI95" s="927"/>
      <c r="AJ95" s="290" t="s">
        <v>4303</v>
      </c>
      <c r="AK95" s="1556" t="s">
        <v>4304</v>
      </c>
      <c r="AL95" s="962" t="s">
        <v>4305</v>
      </c>
      <c r="AM95" s="1541" t="s">
        <v>4306</v>
      </c>
      <c r="AN95" s="1541" t="s">
        <v>4307</v>
      </c>
      <c r="AO95" s="962"/>
      <c r="AP95" s="1541" t="s">
        <v>4308</v>
      </c>
      <c r="AQ95" s="1375" t="s">
        <v>4309</v>
      </c>
      <c r="AR95" s="1205" t="s">
        <v>2986</v>
      </c>
      <c r="AS95" s="1396" t="s">
        <v>3000</v>
      </c>
    </row>
    <row r="96" s="974" customFormat="1" ht="14.1" customHeight="1" spans="2:45">
      <c r="B96" s="1553" t="s">
        <v>450</v>
      </c>
      <c r="C96" s="1031" t="s">
        <v>4310</v>
      </c>
      <c r="D96" s="919" t="s">
        <v>4311</v>
      </c>
      <c r="E96" s="923" t="s">
        <v>4312</v>
      </c>
      <c r="F96" s="923" t="s">
        <v>125</v>
      </c>
      <c r="G96" s="923" t="s">
        <v>44</v>
      </c>
      <c r="H96" s="927" t="s">
        <v>3671</v>
      </c>
      <c r="I96" s="927" t="s">
        <v>3514</v>
      </c>
      <c r="J96" s="919" t="s">
        <v>4313</v>
      </c>
      <c r="K96" s="928">
        <v>42998</v>
      </c>
      <c r="L96" s="934">
        <v>43100</v>
      </c>
      <c r="M96" s="928"/>
      <c r="N96" s="928"/>
      <c r="O96" s="928"/>
      <c r="P96" s="928"/>
      <c r="Q96" s="928"/>
      <c r="R96" s="928"/>
      <c r="S96" s="641">
        <v>-17.4211611111095</v>
      </c>
      <c r="T96" s="187" t="s">
        <v>2569</v>
      </c>
      <c r="U96" s="1070"/>
      <c r="V96" s="1006">
        <v>8000000</v>
      </c>
      <c r="W96" s="1074">
        <v>1000000</v>
      </c>
      <c r="X96" s="1006">
        <v>3000000</v>
      </c>
      <c r="Y96" s="1006"/>
      <c r="Z96" s="1006">
        <v>3000000</v>
      </c>
      <c r="AA96" s="1006">
        <v>1000000</v>
      </c>
      <c r="AB96" s="1074">
        <v>1000000</v>
      </c>
      <c r="AC96" s="1006"/>
      <c r="AD96" s="1074"/>
      <c r="AE96" s="1070" t="s">
        <v>0</v>
      </c>
      <c r="AF96" s="960" t="s">
        <v>48</v>
      </c>
      <c r="AG96" s="960" t="s">
        <v>760</v>
      </c>
      <c r="AH96" s="927"/>
      <c r="AI96" s="927"/>
      <c r="AJ96" s="290" t="s">
        <v>4314</v>
      </c>
      <c r="AK96" s="1556" t="s">
        <v>4315</v>
      </c>
      <c r="AL96" s="962" t="s">
        <v>4316</v>
      </c>
      <c r="AM96" s="1541" t="s">
        <v>4317</v>
      </c>
      <c r="AN96" s="1541" t="s">
        <v>4318</v>
      </c>
      <c r="AO96" s="962"/>
      <c r="AP96" s="1541" t="s">
        <v>4319</v>
      </c>
      <c r="AQ96" s="1375" t="s">
        <v>4320</v>
      </c>
      <c r="AR96" s="1205" t="s">
        <v>2986</v>
      </c>
      <c r="AS96" s="1396" t="s">
        <v>3000</v>
      </c>
    </row>
    <row r="97" s="974" customFormat="1" ht="14.1" customHeight="1" spans="2:45">
      <c r="B97" s="1553" t="s">
        <v>483</v>
      </c>
      <c r="C97" s="1031" t="s">
        <v>4321</v>
      </c>
      <c r="D97" s="919" t="s">
        <v>4322</v>
      </c>
      <c r="E97" s="923" t="s">
        <v>4323</v>
      </c>
      <c r="F97" s="923" t="s">
        <v>43</v>
      </c>
      <c r="G97" s="923" t="s">
        <v>404</v>
      </c>
      <c r="H97" s="927" t="s">
        <v>3671</v>
      </c>
      <c r="I97" s="927" t="s">
        <v>3514</v>
      </c>
      <c r="J97" s="919" t="s">
        <v>4324</v>
      </c>
      <c r="K97" s="928">
        <v>43010</v>
      </c>
      <c r="L97" s="934">
        <v>43100</v>
      </c>
      <c r="M97" s="928"/>
      <c r="N97" s="928"/>
      <c r="O97" s="928"/>
      <c r="P97" s="928"/>
      <c r="Q97" s="928"/>
      <c r="R97" s="928"/>
      <c r="S97" s="641">
        <v>-17.4211611111095</v>
      </c>
      <c r="T97" s="187" t="s">
        <v>2569</v>
      </c>
      <c r="U97" s="1070"/>
      <c r="V97" s="1006">
        <v>4500000</v>
      </c>
      <c r="W97" s="1074">
        <v>150000</v>
      </c>
      <c r="X97" s="1006"/>
      <c r="Y97" s="1006"/>
      <c r="Z97" s="1006"/>
      <c r="AA97" s="1006">
        <v>200000</v>
      </c>
      <c r="AB97" s="1074">
        <v>500000</v>
      </c>
      <c r="AC97" s="1006"/>
      <c r="AD97" s="1074"/>
      <c r="AE97" s="1070" t="s">
        <v>0</v>
      </c>
      <c r="AF97" s="960" t="s">
        <v>48</v>
      </c>
      <c r="AG97" s="960" t="s">
        <v>760</v>
      </c>
      <c r="AH97" s="927"/>
      <c r="AI97" s="927"/>
      <c r="AJ97" s="290" t="s">
        <v>4325</v>
      </c>
      <c r="AK97" s="290">
        <v>81317707767</v>
      </c>
      <c r="AL97" s="962" t="s">
        <v>4326</v>
      </c>
      <c r="AM97" s="1541" t="s">
        <v>4327</v>
      </c>
      <c r="AN97" s="962"/>
      <c r="AO97" s="962"/>
      <c r="AP97" s="962"/>
      <c r="AQ97" s="1375" t="s">
        <v>4328</v>
      </c>
      <c r="AR97" s="1205" t="s">
        <v>2986</v>
      </c>
      <c r="AS97" s="1396" t="s">
        <v>3000</v>
      </c>
    </row>
    <row r="98" s="974" customFormat="1" ht="14.1" customHeight="1" spans="2:45">
      <c r="B98" s="1553" t="s">
        <v>525</v>
      </c>
      <c r="C98" s="1031" t="s">
        <v>4329</v>
      </c>
      <c r="D98" s="919" t="s">
        <v>4330</v>
      </c>
      <c r="E98" s="923" t="s">
        <v>4331</v>
      </c>
      <c r="F98" s="923" t="s">
        <v>43</v>
      </c>
      <c r="G98" s="923" t="s">
        <v>44</v>
      </c>
      <c r="H98" s="927" t="s">
        <v>1549</v>
      </c>
      <c r="I98" s="927" t="s">
        <v>3684</v>
      </c>
      <c r="J98" s="919" t="s">
        <v>3603</v>
      </c>
      <c r="K98" s="928">
        <v>43033</v>
      </c>
      <c r="L98" s="934">
        <v>43100</v>
      </c>
      <c r="M98" s="928"/>
      <c r="N98" s="928"/>
      <c r="O98" s="928"/>
      <c r="P98" s="928"/>
      <c r="Q98" s="928"/>
      <c r="R98" s="928"/>
      <c r="S98" s="641">
        <v>-17.4211611111095</v>
      </c>
      <c r="T98" s="187" t="s">
        <v>2569</v>
      </c>
      <c r="U98" s="1070"/>
      <c r="V98" s="1006">
        <v>5500000</v>
      </c>
      <c r="W98" s="1074">
        <v>150000</v>
      </c>
      <c r="X98" s="1006"/>
      <c r="Y98" s="1006"/>
      <c r="Z98" s="1074"/>
      <c r="AA98" s="1074">
        <v>200000</v>
      </c>
      <c r="AB98" s="1074">
        <v>500000</v>
      </c>
      <c r="AC98" s="1006"/>
      <c r="AD98" s="1074"/>
      <c r="AE98" s="1070" t="s">
        <v>0</v>
      </c>
      <c r="AF98" s="960" t="s">
        <v>48</v>
      </c>
      <c r="AG98" s="960" t="s">
        <v>760</v>
      </c>
      <c r="AH98" s="927"/>
      <c r="AI98" s="927"/>
      <c r="AJ98" s="290" t="s">
        <v>4332</v>
      </c>
      <c r="AK98" s="290">
        <v>82285447528</v>
      </c>
      <c r="AL98" s="962" t="s">
        <v>4333</v>
      </c>
      <c r="AM98" s="1541" t="s">
        <v>4334</v>
      </c>
      <c r="AN98" s="1541" t="s">
        <v>4335</v>
      </c>
      <c r="AO98" s="962"/>
      <c r="AP98" s="962"/>
      <c r="AQ98" s="1375" t="s">
        <v>4336</v>
      </c>
      <c r="AR98" s="919" t="s">
        <v>3157</v>
      </c>
      <c r="AS98" s="1396" t="s">
        <v>4214</v>
      </c>
    </row>
    <row r="99" s="974" customFormat="1" ht="14.1" customHeight="1" spans="2:45">
      <c r="B99" s="1553" t="s">
        <v>533</v>
      </c>
      <c r="C99" s="1031" t="s">
        <v>4337</v>
      </c>
      <c r="D99" s="919" t="s">
        <v>4338</v>
      </c>
      <c r="E99" s="923" t="s">
        <v>4339</v>
      </c>
      <c r="F99" s="923" t="s">
        <v>43</v>
      </c>
      <c r="G99" s="923" t="s">
        <v>60</v>
      </c>
      <c r="H99" s="927" t="s">
        <v>2910</v>
      </c>
      <c r="I99" s="927" t="s">
        <v>3684</v>
      </c>
      <c r="J99" s="919" t="s">
        <v>3603</v>
      </c>
      <c r="K99" s="928">
        <v>43038</v>
      </c>
      <c r="L99" s="934">
        <v>43100</v>
      </c>
      <c r="M99" s="928"/>
      <c r="N99" s="928"/>
      <c r="O99" s="928"/>
      <c r="P99" s="928"/>
      <c r="Q99" s="928"/>
      <c r="R99" s="928"/>
      <c r="S99" s="641">
        <v>-17.4211611111095</v>
      </c>
      <c r="T99" s="187" t="s">
        <v>2569</v>
      </c>
      <c r="U99" s="1070"/>
      <c r="V99" s="1006">
        <v>3800000</v>
      </c>
      <c r="W99" s="1074">
        <v>150000</v>
      </c>
      <c r="X99" s="1006"/>
      <c r="Y99" s="1006"/>
      <c r="Z99" s="1074"/>
      <c r="AA99" s="1074">
        <v>200000</v>
      </c>
      <c r="AB99" s="1074"/>
      <c r="AC99" s="1006"/>
      <c r="AD99" s="1074"/>
      <c r="AE99" s="1070" t="s">
        <v>0</v>
      </c>
      <c r="AF99" s="960" t="s">
        <v>48</v>
      </c>
      <c r="AG99" s="960" t="s">
        <v>760</v>
      </c>
      <c r="AH99" s="927"/>
      <c r="AI99" s="927"/>
      <c r="AJ99" s="290" t="s">
        <v>4340</v>
      </c>
      <c r="AK99" s="290">
        <v>81249693746</v>
      </c>
      <c r="AL99" s="962" t="s">
        <v>4341</v>
      </c>
      <c r="AM99" s="1541" t="s">
        <v>4342</v>
      </c>
      <c r="AN99" s="1541" t="s">
        <v>4343</v>
      </c>
      <c r="AO99" s="962"/>
      <c r="AP99" s="962"/>
      <c r="AQ99" s="1375" t="s">
        <v>4344</v>
      </c>
      <c r="AR99" s="1394" t="s">
        <v>4345</v>
      </c>
      <c r="AS99" s="1396" t="s">
        <v>4346</v>
      </c>
    </row>
    <row r="100" s="974" customFormat="1" ht="14.1" customHeight="1" spans="2:45">
      <c r="B100" s="1553" t="s">
        <v>68</v>
      </c>
      <c r="C100" s="1031" t="s">
        <v>4347</v>
      </c>
      <c r="D100" s="919" t="s">
        <v>4348</v>
      </c>
      <c r="E100" s="923" t="s">
        <v>4349</v>
      </c>
      <c r="F100" s="923" t="s">
        <v>43</v>
      </c>
      <c r="G100" s="923" t="s">
        <v>60</v>
      </c>
      <c r="H100" s="927" t="s">
        <v>2910</v>
      </c>
      <c r="I100" s="927" t="s">
        <v>3514</v>
      </c>
      <c r="J100" s="919" t="s">
        <v>3603</v>
      </c>
      <c r="K100" s="928">
        <v>42952</v>
      </c>
      <c r="L100" s="928">
        <v>43135</v>
      </c>
      <c r="M100" s="928"/>
      <c r="N100" s="928"/>
      <c r="O100" s="928"/>
      <c r="P100" s="928"/>
      <c r="Q100" s="928"/>
      <c r="R100" s="928"/>
      <c r="S100" s="641">
        <v>-4.63526539351733</v>
      </c>
      <c r="T100" s="187" t="s">
        <v>2569</v>
      </c>
      <c r="U100" s="1070"/>
      <c r="V100" s="1074">
        <v>5500000</v>
      </c>
      <c r="W100" s="1074">
        <v>150000</v>
      </c>
      <c r="X100" s="1074" t="s">
        <v>583</v>
      </c>
      <c r="Y100" s="1074"/>
      <c r="Z100" s="1074" t="s">
        <v>583</v>
      </c>
      <c r="AA100" s="1070">
        <v>200000</v>
      </c>
      <c r="AB100" s="1070">
        <v>500000</v>
      </c>
      <c r="AC100" s="1074" t="s">
        <v>583</v>
      </c>
      <c r="AD100" s="1074"/>
      <c r="AE100" s="1070" t="s">
        <v>0</v>
      </c>
      <c r="AF100" s="960" t="s">
        <v>48</v>
      </c>
      <c r="AG100" s="960" t="s">
        <v>48</v>
      </c>
      <c r="AH100" s="927"/>
      <c r="AI100" s="927"/>
      <c r="AJ100" s="290" t="s">
        <v>4350</v>
      </c>
      <c r="AK100" s="290">
        <v>81802166006</v>
      </c>
      <c r="AL100" s="962" t="s">
        <v>4351</v>
      </c>
      <c r="AM100" s="1541" t="s">
        <v>4352</v>
      </c>
      <c r="AN100" s="1541" t="s">
        <v>4353</v>
      </c>
      <c r="AO100" s="962"/>
      <c r="AP100" s="1541" t="s">
        <v>4354</v>
      </c>
      <c r="AQ100" s="1375" t="s">
        <v>4355</v>
      </c>
      <c r="AR100" s="919" t="s">
        <v>4356</v>
      </c>
      <c r="AS100" s="1381" t="s">
        <v>3484</v>
      </c>
    </row>
    <row r="101" s="974" customFormat="1" ht="14.1" customHeight="1" spans="2:45">
      <c r="B101" s="1553" t="s">
        <v>146</v>
      </c>
      <c r="C101" s="1031" t="s">
        <v>4357</v>
      </c>
      <c r="D101" s="919" t="s">
        <v>4358</v>
      </c>
      <c r="E101" s="923" t="s">
        <v>4359</v>
      </c>
      <c r="F101" s="923" t="s">
        <v>43</v>
      </c>
      <c r="G101" s="923" t="s">
        <v>44</v>
      </c>
      <c r="H101" s="927" t="s">
        <v>920</v>
      </c>
      <c r="I101" s="927" t="s">
        <v>3514</v>
      </c>
      <c r="J101" s="919" t="s">
        <v>3563</v>
      </c>
      <c r="K101" s="928">
        <v>43003</v>
      </c>
      <c r="L101" s="934">
        <v>43100</v>
      </c>
      <c r="M101" s="928">
        <v>43131</v>
      </c>
      <c r="N101" s="928"/>
      <c r="O101" s="928"/>
      <c r="P101" s="928"/>
      <c r="Q101" s="928"/>
      <c r="R101" s="928"/>
      <c r="S101" s="641">
        <v>-8.63526539351733</v>
      </c>
      <c r="T101" s="187" t="s">
        <v>2569</v>
      </c>
      <c r="U101" s="1070"/>
      <c r="V101" s="1074">
        <v>7000000</v>
      </c>
      <c r="W101" s="1074">
        <v>1000000</v>
      </c>
      <c r="X101" s="1074"/>
      <c r="Y101" s="1074"/>
      <c r="Z101" s="1074">
        <v>4000000</v>
      </c>
      <c r="AA101" s="1074">
        <v>1000000</v>
      </c>
      <c r="AB101" s="1074">
        <v>1500000</v>
      </c>
      <c r="AC101" s="1074"/>
      <c r="AD101" s="1074"/>
      <c r="AE101" s="1070" t="s">
        <v>0</v>
      </c>
      <c r="AF101" s="960" t="s">
        <v>48</v>
      </c>
      <c r="AG101" s="960" t="s">
        <v>760</v>
      </c>
      <c r="AH101" s="927"/>
      <c r="AI101" s="927"/>
      <c r="AJ101" s="290" t="s">
        <v>4360</v>
      </c>
      <c r="AK101" s="290"/>
      <c r="AL101" s="962" t="s">
        <v>4361</v>
      </c>
      <c r="AM101" s="1541" t="s">
        <v>4362</v>
      </c>
      <c r="AN101" s="1541" t="s">
        <v>4363</v>
      </c>
      <c r="AO101" s="962" t="s">
        <v>4364</v>
      </c>
      <c r="AP101" s="962"/>
      <c r="AQ101" s="1375" t="s">
        <v>4365</v>
      </c>
      <c r="AR101" s="919" t="s">
        <v>3251</v>
      </c>
      <c r="AS101" s="1381" t="s">
        <v>4366</v>
      </c>
    </row>
    <row r="102" ht="14.1" customHeight="1" spans="2:45">
      <c r="B102" s="1553" t="s">
        <v>157</v>
      </c>
      <c r="C102" s="1031" t="s">
        <v>4367</v>
      </c>
      <c r="D102" s="919" t="s">
        <v>4368</v>
      </c>
      <c r="E102" s="923" t="s">
        <v>4369</v>
      </c>
      <c r="F102" s="923" t="s">
        <v>43</v>
      </c>
      <c r="G102" s="923" t="s">
        <v>404</v>
      </c>
      <c r="H102" s="927" t="s">
        <v>920</v>
      </c>
      <c r="I102" s="927" t="s">
        <v>3514</v>
      </c>
      <c r="J102" s="919" t="s">
        <v>3603</v>
      </c>
      <c r="K102" s="928">
        <v>43005</v>
      </c>
      <c r="L102" s="934">
        <v>43100</v>
      </c>
      <c r="M102" s="928">
        <v>43131</v>
      </c>
      <c r="N102" s="928"/>
      <c r="O102" s="928"/>
      <c r="P102" s="928"/>
      <c r="Q102" s="928"/>
      <c r="R102" s="928"/>
      <c r="S102" s="641">
        <v>-8.63526539351733</v>
      </c>
      <c r="T102" s="187" t="s">
        <v>2569</v>
      </c>
      <c r="U102" s="1070"/>
      <c r="V102" s="1074">
        <v>5500000</v>
      </c>
      <c r="W102" s="1074">
        <v>150000</v>
      </c>
      <c r="X102" s="1074"/>
      <c r="Y102" s="1074"/>
      <c r="Z102" s="1074"/>
      <c r="AA102" s="1006">
        <v>200000</v>
      </c>
      <c r="AB102" s="1074">
        <v>500000</v>
      </c>
      <c r="AC102" s="1074"/>
      <c r="AD102" s="1074"/>
      <c r="AE102" s="1070" t="s">
        <v>0</v>
      </c>
      <c r="AF102" s="960" t="s">
        <v>48</v>
      </c>
      <c r="AG102" s="960" t="s">
        <v>760</v>
      </c>
      <c r="AH102" s="927"/>
      <c r="AI102" s="927"/>
      <c r="AJ102" s="290" t="s">
        <v>4370</v>
      </c>
      <c r="AK102" s="290">
        <v>81290169014</v>
      </c>
      <c r="AL102" s="962" t="s">
        <v>4371</v>
      </c>
      <c r="AM102" s="1541" t="s">
        <v>4372</v>
      </c>
      <c r="AN102" s="1541" t="s">
        <v>4373</v>
      </c>
      <c r="AO102" s="962"/>
      <c r="AP102" s="962"/>
      <c r="AQ102" s="1375" t="s">
        <v>4374</v>
      </c>
      <c r="AR102" s="919" t="s">
        <v>3251</v>
      </c>
      <c r="AS102" s="1381" t="s">
        <v>4366</v>
      </c>
    </row>
    <row r="103" ht="14.1" customHeight="1" spans="2:45">
      <c r="B103" s="1553" t="s">
        <v>215</v>
      </c>
      <c r="C103" s="1031" t="s">
        <v>3873</v>
      </c>
      <c r="D103" s="919" t="s">
        <v>3874</v>
      </c>
      <c r="E103" s="923" t="s">
        <v>3875</v>
      </c>
      <c r="F103" s="923" t="s">
        <v>43</v>
      </c>
      <c r="G103" s="923" t="s">
        <v>404</v>
      </c>
      <c r="H103" s="927" t="s">
        <v>920</v>
      </c>
      <c r="I103" s="927" t="s">
        <v>3514</v>
      </c>
      <c r="J103" s="919" t="s">
        <v>4302</v>
      </c>
      <c r="K103" s="928">
        <v>43018</v>
      </c>
      <c r="L103" s="934">
        <v>43100</v>
      </c>
      <c r="M103" s="928">
        <v>43131</v>
      </c>
      <c r="N103" s="928"/>
      <c r="O103" s="928"/>
      <c r="P103" s="928"/>
      <c r="Q103" s="928"/>
      <c r="R103" s="928"/>
      <c r="S103" s="641">
        <v>-8.63526539351733</v>
      </c>
      <c r="T103" s="187" t="s">
        <v>2569</v>
      </c>
      <c r="U103" s="1070"/>
      <c r="V103" s="1074">
        <v>5000000</v>
      </c>
      <c r="W103" s="1074">
        <v>1000000</v>
      </c>
      <c r="X103" s="1074"/>
      <c r="Y103" s="1074"/>
      <c r="Z103" s="1074">
        <v>2000000</v>
      </c>
      <c r="AA103" s="1074">
        <v>1000000</v>
      </c>
      <c r="AB103" s="1074">
        <v>1000000</v>
      </c>
      <c r="AC103" s="1074"/>
      <c r="AD103" s="1074"/>
      <c r="AE103" s="1070" t="s">
        <v>0</v>
      </c>
      <c r="AF103" s="960" t="s">
        <v>48</v>
      </c>
      <c r="AG103" s="960" t="s">
        <v>760</v>
      </c>
      <c r="AH103" s="927"/>
      <c r="AI103" s="927"/>
      <c r="AJ103" s="290" t="s">
        <v>4375</v>
      </c>
      <c r="AK103" s="290">
        <v>85224940814</v>
      </c>
      <c r="AL103" s="962" t="s">
        <v>4376</v>
      </c>
      <c r="AM103" s="1541" t="s">
        <v>3879</v>
      </c>
      <c r="AN103" s="1541" t="s">
        <v>3880</v>
      </c>
      <c r="AO103" s="962"/>
      <c r="AP103" s="1541" t="s">
        <v>3881</v>
      </c>
      <c r="AQ103" s="1375" t="s">
        <v>3882</v>
      </c>
      <c r="AR103" s="919" t="s">
        <v>3251</v>
      </c>
      <c r="AS103" s="1396" t="s">
        <v>4366</v>
      </c>
    </row>
    <row r="104" ht="14.1" customHeight="1" spans="2:45">
      <c r="B104" s="1551" t="s">
        <v>250</v>
      </c>
      <c r="C104" s="1031" t="s">
        <v>4377</v>
      </c>
      <c r="D104" s="919" t="s">
        <v>4378</v>
      </c>
      <c r="E104" s="923" t="s">
        <v>4379</v>
      </c>
      <c r="F104" s="923" t="s">
        <v>43</v>
      </c>
      <c r="G104" s="923" t="s">
        <v>44</v>
      </c>
      <c r="H104" s="927" t="s">
        <v>1549</v>
      </c>
      <c r="I104" s="927" t="s">
        <v>3514</v>
      </c>
      <c r="J104" s="919" t="s">
        <v>3603</v>
      </c>
      <c r="K104" s="928">
        <v>43028</v>
      </c>
      <c r="L104" s="934">
        <v>43131</v>
      </c>
      <c r="M104" s="928">
        <v>43281</v>
      </c>
      <c r="N104" s="928"/>
      <c r="O104" s="928"/>
      <c r="P104" s="928"/>
      <c r="Q104" s="928"/>
      <c r="R104" s="928"/>
      <c r="S104" s="641">
        <v>141.364734606483</v>
      </c>
      <c r="T104" s="187" t="s">
        <v>745</v>
      </c>
      <c r="U104" s="1070"/>
      <c r="V104" s="1006">
        <v>5500000</v>
      </c>
      <c r="W104" s="1006">
        <v>150000</v>
      </c>
      <c r="X104" s="1006"/>
      <c r="Y104" s="1006"/>
      <c r="Z104" s="1006"/>
      <c r="AA104" s="1006">
        <v>200000</v>
      </c>
      <c r="AB104" s="1074">
        <v>500000</v>
      </c>
      <c r="AC104" s="1006"/>
      <c r="AD104" s="1074"/>
      <c r="AE104" s="1070" t="s">
        <v>0</v>
      </c>
      <c r="AF104" s="960" t="s">
        <v>48</v>
      </c>
      <c r="AG104" s="960" t="s">
        <v>760</v>
      </c>
      <c r="AH104" s="927"/>
      <c r="AI104" s="927"/>
      <c r="AJ104" s="290" t="s">
        <v>4380</v>
      </c>
      <c r="AK104" s="290">
        <v>81271516944</v>
      </c>
      <c r="AL104" s="962" t="s">
        <v>4381</v>
      </c>
      <c r="AM104" s="1541" t="s">
        <v>4382</v>
      </c>
      <c r="AN104" s="962"/>
      <c r="AO104" s="962"/>
      <c r="AP104" s="962"/>
      <c r="AQ104" s="1375" t="s">
        <v>4383</v>
      </c>
      <c r="AR104" s="919" t="s">
        <v>4384</v>
      </c>
      <c r="AS104" s="1396" t="s">
        <v>4346</v>
      </c>
    </row>
    <row r="105" ht="14.1" customHeight="1" spans="2:45">
      <c r="B105" s="1553" t="s">
        <v>261</v>
      </c>
      <c r="C105" s="1031" t="s">
        <v>4385</v>
      </c>
      <c r="D105" s="919" t="s">
        <v>4386</v>
      </c>
      <c r="E105" s="923" t="s">
        <v>4387</v>
      </c>
      <c r="F105" s="923" t="s">
        <v>43</v>
      </c>
      <c r="G105" s="923" t="s">
        <v>96</v>
      </c>
      <c r="H105" s="927" t="s">
        <v>920</v>
      </c>
      <c r="I105" s="927" t="s">
        <v>3514</v>
      </c>
      <c r="J105" s="919" t="s">
        <v>3563</v>
      </c>
      <c r="K105" s="928">
        <v>43032</v>
      </c>
      <c r="L105" s="934">
        <v>43100</v>
      </c>
      <c r="M105" s="928">
        <v>43131</v>
      </c>
      <c r="N105" s="928"/>
      <c r="O105" s="928"/>
      <c r="P105" s="928"/>
      <c r="Q105" s="928"/>
      <c r="R105" s="928"/>
      <c r="S105" s="641">
        <v>-8.63526539351733</v>
      </c>
      <c r="T105" s="187" t="s">
        <v>2569</v>
      </c>
      <c r="U105" s="1070"/>
      <c r="V105" s="1006">
        <v>7500000</v>
      </c>
      <c r="W105" s="1074">
        <v>1000000</v>
      </c>
      <c r="X105" s="1006"/>
      <c r="Y105" s="1006"/>
      <c r="Z105" s="1006">
        <v>4000000</v>
      </c>
      <c r="AA105" s="1074">
        <v>1000000</v>
      </c>
      <c r="AB105" s="1006">
        <v>1500000</v>
      </c>
      <c r="AC105" s="1006"/>
      <c r="AD105" s="1074"/>
      <c r="AE105" s="1070" t="s">
        <v>0</v>
      </c>
      <c r="AF105" s="960" t="s">
        <v>48</v>
      </c>
      <c r="AG105" s="960" t="s">
        <v>760</v>
      </c>
      <c r="AH105" s="927"/>
      <c r="AI105" s="927"/>
      <c r="AJ105" s="290" t="s">
        <v>4388</v>
      </c>
      <c r="AK105" s="290">
        <v>81901888550</v>
      </c>
      <c r="AL105" s="962" t="s">
        <v>4389</v>
      </c>
      <c r="AM105" s="1541" t="s">
        <v>4390</v>
      </c>
      <c r="AN105" s="1541" t="s">
        <v>4391</v>
      </c>
      <c r="AO105" s="962" t="s">
        <v>4392</v>
      </c>
      <c r="AP105" s="1541" t="s">
        <v>4393</v>
      </c>
      <c r="AQ105" s="1375" t="s">
        <v>4394</v>
      </c>
      <c r="AR105" s="919" t="s">
        <v>3251</v>
      </c>
      <c r="AS105" s="1396" t="s">
        <v>4366</v>
      </c>
    </row>
    <row r="106" ht="14.1" customHeight="1" spans="2:45">
      <c r="B106" s="1553" t="s">
        <v>320</v>
      </c>
      <c r="C106" s="1031" t="s">
        <v>4395</v>
      </c>
      <c r="D106" s="919" t="s">
        <v>4396</v>
      </c>
      <c r="E106" s="923" t="s">
        <v>4397</v>
      </c>
      <c r="F106" s="923" t="s">
        <v>43</v>
      </c>
      <c r="G106" s="923" t="s">
        <v>44</v>
      </c>
      <c r="H106" s="927" t="s">
        <v>3671</v>
      </c>
      <c r="I106" s="927" t="s">
        <v>3514</v>
      </c>
      <c r="J106" s="919" t="s">
        <v>4324</v>
      </c>
      <c r="K106" s="928">
        <v>43010</v>
      </c>
      <c r="L106" s="934">
        <v>43100</v>
      </c>
      <c r="M106" s="928">
        <v>43131</v>
      </c>
      <c r="N106" s="928"/>
      <c r="O106" s="928"/>
      <c r="P106" s="928"/>
      <c r="Q106" s="928"/>
      <c r="R106" s="928"/>
      <c r="S106" s="641">
        <v>-8.63526539351733</v>
      </c>
      <c r="T106" s="187" t="s">
        <v>2569</v>
      </c>
      <c r="U106" s="1070"/>
      <c r="V106" s="1006">
        <v>5500000</v>
      </c>
      <c r="W106" s="1074">
        <v>150000</v>
      </c>
      <c r="X106" s="1006"/>
      <c r="Y106" s="1006"/>
      <c r="Z106" s="1006"/>
      <c r="AA106" s="1006">
        <v>200000</v>
      </c>
      <c r="AB106" s="1074">
        <v>500000</v>
      </c>
      <c r="AC106" s="1006"/>
      <c r="AD106" s="1074"/>
      <c r="AE106" s="1070" t="s">
        <v>0</v>
      </c>
      <c r="AF106" s="960" t="s">
        <v>48</v>
      </c>
      <c r="AG106" s="960" t="s">
        <v>760</v>
      </c>
      <c r="AH106" s="927"/>
      <c r="AI106" s="927"/>
      <c r="AJ106" s="290" t="s">
        <v>4398</v>
      </c>
      <c r="AK106" s="1556" t="s">
        <v>4399</v>
      </c>
      <c r="AL106" s="962" t="s">
        <v>4400</v>
      </c>
      <c r="AM106" s="962"/>
      <c r="AN106" s="962"/>
      <c r="AO106" s="962">
        <v>13020064237</v>
      </c>
      <c r="AP106" s="962"/>
      <c r="AQ106" s="1375" t="s">
        <v>4401</v>
      </c>
      <c r="AR106" s="919" t="s">
        <v>3251</v>
      </c>
      <c r="AS106" s="1396" t="s">
        <v>4366</v>
      </c>
    </row>
    <row r="107" ht="14.1" customHeight="1" spans="2:45">
      <c r="B107" s="1553" t="s">
        <v>333</v>
      </c>
      <c r="C107" s="1031" t="s">
        <v>4402</v>
      </c>
      <c r="D107" s="919" t="s">
        <v>4403</v>
      </c>
      <c r="E107" s="923" t="s">
        <v>4404</v>
      </c>
      <c r="F107" s="923" t="s">
        <v>43</v>
      </c>
      <c r="G107" s="923" t="s">
        <v>96</v>
      </c>
      <c r="H107" s="927" t="s">
        <v>757</v>
      </c>
      <c r="I107" s="927" t="s">
        <v>3684</v>
      </c>
      <c r="J107" s="919" t="s">
        <v>3709</v>
      </c>
      <c r="K107" s="928">
        <v>43038</v>
      </c>
      <c r="L107" s="934">
        <v>43100</v>
      </c>
      <c r="M107" s="928">
        <v>43131</v>
      </c>
      <c r="N107" s="928"/>
      <c r="O107" s="928"/>
      <c r="P107" s="928"/>
      <c r="Q107" s="928"/>
      <c r="R107" s="928"/>
      <c r="S107" s="641">
        <v>-8.63526539351733</v>
      </c>
      <c r="T107" s="187" t="s">
        <v>2569</v>
      </c>
      <c r="U107" s="1070"/>
      <c r="V107" s="1006">
        <v>8000000</v>
      </c>
      <c r="W107" s="1074">
        <v>1000000</v>
      </c>
      <c r="X107" s="1006">
        <v>3000000</v>
      </c>
      <c r="Y107" s="1006"/>
      <c r="Z107" s="1006">
        <v>3000000</v>
      </c>
      <c r="AA107" s="1074">
        <v>1000000</v>
      </c>
      <c r="AB107" s="1074">
        <v>1000000</v>
      </c>
      <c r="AC107" s="1006"/>
      <c r="AD107" s="1074"/>
      <c r="AE107" s="1070" t="s">
        <v>0</v>
      </c>
      <c r="AF107" s="960" t="s">
        <v>48</v>
      </c>
      <c r="AG107" s="960" t="s">
        <v>760</v>
      </c>
      <c r="AH107" s="927"/>
      <c r="AI107" s="927"/>
      <c r="AJ107" s="290" t="s">
        <v>4405</v>
      </c>
      <c r="AK107" s="1556" t="s">
        <v>4406</v>
      </c>
      <c r="AL107" s="962" t="s">
        <v>4407</v>
      </c>
      <c r="AM107" s="1541" t="s">
        <v>4408</v>
      </c>
      <c r="AN107" s="1541" t="s">
        <v>4409</v>
      </c>
      <c r="AO107" s="962" t="s">
        <v>4410</v>
      </c>
      <c r="AP107" s="1541" t="s">
        <v>4411</v>
      </c>
      <c r="AQ107" s="1375" t="s">
        <v>4412</v>
      </c>
      <c r="AR107" s="919" t="s">
        <v>3251</v>
      </c>
      <c r="AS107" s="1396" t="s">
        <v>4366</v>
      </c>
    </row>
    <row r="108" ht="14.1" customHeight="1" spans="2:45">
      <c r="B108" s="1553" t="s">
        <v>369</v>
      </c>
      <c r="C108" s="1031" t="s">
        <v>4413</v>
      </c>
      <c r="D108" s="1199" t="s">
        <v>4414</v>
      </c>
      <c r="E108" s="1044" t="s">
        <v>4415</v>
      </c>
      <c r="F108" s="1044" t="s">
        <v>43</v>
      </c>
      <c r="G108" s="1044" t="s">
        <v>44</v>
      </c>
      <c r="H108" s="1051" t="s">
        <v>4416</v>
      </c>
      <c r="I108" s="927" t="s">
        <v>3684</v>
      </c>
      <c r="J108" s="1051" t="s">
        <v>3603</v>
      </c>
      <c r="K108" s="1202">
        <v>43038</v>
      </c>
      <c r="L108" s="1202">
        <v>43100</v>
      </c>
      <c r="M108" s="928">
        <v>43131</v>
      </c>
      <c r="N108" s="1202"/>
      <c r="O108" s="1202"/>
      <c r="P108" s="1052"/>
      <c r="Q108" s="1202"/>
      <c r="R108" s="1211"/>
      <c r="S108" s="641">
        <v>-8.63526539351733</v>
      </c>
      <c r="T108" s="187" t="s">
        <v>2569</v>
      </c>
      <c r="U108" s="1070"/>
      <c r="V108" s="1080">
        <v>3600000</v>
      </c>
      <c r="W108" s="1080">
        <v>150000</v>
      </c>
      <c r="X108" s="1088"/>
      <c r="Y108" s="1081"/>
      <c r="Z108" s="1082"/>
      <c r="AA108" s="1081">
        <v>200000</v>
      </c>
      <c r="AB108" s="1081">
        <v>500000</v>
      </c>
      <c r="AC108" s="1006"/>
      <c r="AD108" s="1074"/>
      <c r="AE108" s="1070" t="s">
        <v>0</v>
      </c>
      <c r="AF108" s="960" t="s">
        <v>48</v>
      </c>
      <c r="AG108" s="960" t="s">
        <v>760</v>
      </c>
      <c r="AH108" s="1051"/>
      <c r="AI108" s="927"/>
      <c r="AJ108" s="1104" t="s">
        <v>4417</v>
      </c>
      <c r="AK108" s="1095" t="s">
        <v>4418</v>
      </c>
      <c r="AL108" s="1095" t="s">
        <v>4419</v>
      </c>
      <c r="AM108" s="1545" t="s">
        <v>4420</v>
      </c>
      <c r="AN108" s="1095"/>
      <c r="AO108" s="1095"/>
      <c r="AP108" s="1095"/>
      <c r="AQ108" s="229" t="s">
        <v>4421</v>
      </c>
      <c r="AR108" s="919" t="s">
        <v>3251</v>
      </c>
      <c r="AS108" s="1396" t="s">
        <v>4366</v>
      </c>
    </row>
    <row r="109" ht="14.1" customHeight="1" spans="2:45">
      <c r="B109" s="1551" t="s">
        <v>381</v>
      </c>
      <c r="C109" s="1031" t="s">
        <v>4422</v>
      </c>
      <c r="D109" s="1199" t="s">
        <v>4423</v>
      </c>
      <c r="E109" s="1044" t="s">
        <v>4424</v>
      </c>
      <c r="F109" s="1044" t="s">
        <v>43</v>
      </c>
      <c r="G109" s="1044" t="s">
        <v>254</v>
      </c>
      <c r="H109" s="1051" t="s">
        <v>920</v>
      </c>
      <c r="I109" s="1031" t="s">
        <v>3684</v>
      </c>
      <c r="J109" s="1051" t="s">
        <v>3603</v>
      </c>
      <c r="K109" s="1202">
        <v>43053</v>
      </c>
      <c r="L109" s="1202">
        <v>43113</v>
      </c>
      <c r="M109" s="928"/>
      <c r="N109" s="1202"/>
      <c r="O109" s="1202"/>
      <c r="P109" s="1052"/>
      <c r="Q109" s="1202"/>
      <c r="R109" s="1211"/>
      <c r="S109" s="641">
        <v>-26.6352653935173</v>
      </c>
      <c r="T109" s="187" t="s">
        <v>2569</v>
      </c>
      <c r="U109" s="1070"/>
      <c r="V109" s="1080">
        <v>5000000</v>
      </c>
      <c r="W109" s="1080">
        <v>150000</v>
      </c>
      <c r="X109" s="1088"/>
      <c r="Y109" s="1081"/>
      <c r="Z109" s="1082"/>
      <c r="AA109" s="1081">
        <v>200000</v>
      </c>
      <c r="AB109" s="1081"/>
      <c r="AC109" s="1006"/>
      <c r="AD109" s="1074"/>
      <c r="AE109" s="1070" t="s">
        <v>0</v>
      </c>
      <c r="AF109" s="960" t="s">
        <v>48</v>
      </c>
      <c r="AG109" s="960" t="s">
        <v>760</v>
      </c>
      <c r="AH109" s="1051"/>
      <c r="AI109" s="927"/>
      <c r="AJ109" s="1104" t="s">
        <v>4425</v>
      </c>
      <c r="AK109" s="1095"/>
      <c r="AL109" s="1095" t="s">
        <v>4426</v>
      </c>
      <c r="AM109" s="1545" t="s">
        <v>4427</v>
      </c>
      <c r="AN109" s="1095" t="s">
        <v>4428</v>
      </c>
      <c r="AO109" s="1095"/>
      <c r="AP109" s="1095"/>
      <c r="AQ109" s="229" t="s">
        <v>4429</v>
      </c>
      <c r="AR109" s="1205" t="s">
        <v>4430</v>
      </c>
      <c r="AS109" s="1396" t="s">
        <v>3000</v>
      </c>
    </row>
    <row r="110" ht="14.1" customHeight="1" spans="2:45">
      <c r="B110" s="1551" t="s">
        <v>390</v>
      </c>
      <c r="C110" s="1031" t="s">
        <v>4431</v>
      </c>
      <c r="D110" s="1199" t="s">
        <v>4432</v>
      </c>
      <c r="E110" s="1044" t="s">
        <v>4433</v>
      </c>
      <c r="F110" s="1044" t="s">
        <v>43</v>
      </c>
      <c r="G110" s="1044" t="s">
        <v>44</v>
      </c>
      <c r="H110" s="1051" t="s">
        <v>920</v>
      </c>
      <c r="I110" s="1031" t="s">
        <v>3684</v>
      </c>
      <c r="J110" s="1051" t="s">
        <v>3603</v>
      </c>
      <c r="K110" s="1202">
        <v>43053</v>
      </c>
      <c r="L110" s="1202">
        <v>43113</v>
      </c>
      <c r="M110" s="928"/>
      <c r="N110" s="1202"/>
      <c r="O110" s="1202"/>
      <c r="P110" s="1052"/>
      <c r="Q110" s="1202"/>
      <c r="R110" s="1211"/>
      <c r="S110" s="641">
        <v>-26.6352653935173</v>
      </c>
      <c r="T110" s="187" t="s">
        <v>2569</v>
      </c>
      <c r="U110" s="1070"/>
      <c r="V110" s="1080">
        <v>4000000</v>
      </c>
      <c r="W110" s="1080">
        <v>150000</v>
      </c>
      <c r="X110" s="1088"/>
      <c r="Y110" s="1081"/>
      <c r="Z110" s="1082"/>
      <c r="AA110" s="1081">
        <v>200000</v>
      </c>
      <c r="AB110" s="1081"/>
      <c r="AC110" s="1006"/>
      <c r="AD110" s="1074"/>
      <c r="AE110" s="1070" t="s">
        <v>0</v>
      </c>
      <c r="AF110" s="960" t="s">
        <v>48</v>
      </c>
      <c r="AG110" s="960" t="s">
        <v>760</v>
      </c>
      <c r="AH110" s="1051"/>
      <c r="AI110" s="927"/>
      <c r="AJ110" s="1104" t="s">
        <v>4434</v>
      </c>
      <c r="AK110" s="1095" t="s">
        <v>4435</v>
      </c>
      <c r="AL110" s="1095" t="s">
        <v>4436</v>
      </c>
      <c r="AM110" s="1545" t="s">
        <v>4437</v>
      </c>
      <c r="AN110" s="1095"/>
      <c r="AO110" s="1095"/>
      <c r="AP110" s="1095"/>
      <c r="AQ110" s="229" t="s">
        <v>4438</v>
      </c>
      <c r="AR110" s="1205" t="s">
        <v>4430</v>
      </c>
      <c r="AS110" s="1396" t="s">
        <v>3000</v>
      </c>
    </row>
    <row r="111" ht="14.1" customHeight="1" spans="2:45">
      <c r="B111" s="1551" t="s">
        <v>400</v>
      </c>
      <c r="C111" s="1031" t="s">
        <v>4439</v>
      </c>
      <c r="D111" s="1199" t="s">
        <v>4440</v>
      </c>
      <c r="E111" s="1044" t="s">
        <v>4441</v>
      </c>
      <c r="F111" s="1044" t="s">
        <v>43</v>
      </c>
      <c r="G111" s="1044" t="s">
        <v>44</v>
      </c>
      <c r="H111" s="1051" t="s">
        <v>920</v>
      </c>
      <c r="I111" s="1031" t="s">
        <v>3684</v>
      </c>
      <c r="J111" s="1051" t="s">
        <v>4302</v>
      </c>
      <c r="K111" s="1202">
        <v>43054</v>
      </c>
      <c r="L111" s="1202">
        <v>43114</v>
      </c>
      <c r="M111" s="928"/>
      <c r="N111" s="1202"/>
      <c r="O111" s="1202"/>
      <c r="P111" s="1052"/>
      <c r="Q111" s="1202"/>
      <c r="R111" s="1211"/>
      <c r="S111" s="641">
        <v>-25.6352653935173</v>
      </c>
      <c r="T111" s="187" t="s">
        <v>2569</v>
      </c>
      <c r="U111" s="1070"/>
      <c r="V111" s="1080">
        <v>4000000</v>
      </c>
      <c r="W111" s="1080">
        <v>500000</v>
      </c>
      <c r="X111" s="1088"/>
      <c r="Y111" s="1081"/>
      <c r="Z111" s="1082">
        <v>2000000</v>
      </c>
      <c r="AA111" s="1081">
        <v>1000000</v>
      </c>
      <c r="AB111" s="1081">
        <v>1000000</v>
      </c>
      <c r="AC111" s="1006"/>
      <c r="AD111" s="1074"/>
      <c r="AE111" s="1070" t="s">
        <v>0</v>
      </c>
      <c r="AF111" s="960" t="s">
        <v>48</v>
      </c>
      <c r="AG111" s="960" t="s">
        <v>760</v>
      </c>
      <c r="AH111" s="1051"/>
      <c r="AI111" s="927"/>
      <c r="AJ111" s="1104" t="s">
        <v>4442</v>
      </c>
      <c r="AK111" s="1095" t="s">
        <v>4443</v>
      </c>
      <c r="AL111" s="1095" t="s">
        <v>4444</v>
      </c>
      <c r="AM111" s="1545" t="s">
        <v>4445</v>
      </c>
      <c r="AN111" s="1095" t="s">
        <v>4446</v>
      </c>
      <c r="AO111" s="1095" t="s">
        <v>4447</v>
      </c>
      <c r="AP111" s="1095"/>
      <c r="AQ111" s="229" t="s">
        <v>4448</v>
      </c>
      <c r="AR111" s="1205" t="s">
        <v>4449</v>
      </c>
      <c r="AS111" s="1396" t="s">
        <v>3000</v>
      </c>
    </row>
    <row r="112" ht="14.1" customHeight="1" spans="2:45">
      <c r="B112" s="1551" t="s">
        <v>438</v>
      </c>
      <c r="C112" s="1031" t="s">
        <v>4450</v>
      </c>
      <c r="D112" s="1199" t="s">
        <v>4451</v>
      </c>
      <c r="E112" s="1044" t="s">
        <v>4452</v>
      </c>
      <c r="F112" s="1044" t="s">
        <v>43</v>
      </c>
      <c r="G112" s="1044" t="s">
        <v>44</v>
      </c>
      <c r="H112" s="1051" t="s">
        <v>920</v>
      </c>
      <c r="I112" s="1031" t="s">
        <v>3684</v>
      </c>
      <c r="J112" s="1051" t="s">
        <v>4302</v>
      </c>
      <c r="K112" s="1202">
        <v>43052</v>
      </c>
      <c r="L112" s="1202">
        <v>43112</v>
      </c>
      <c r="M112" s="928"/>
      <c r="N112" s="1202"/>
      <c r="O112" s="1202"/>
      <c r="P112" s="1052"/>
      <c r="Q112" s="1202"/>
      <c r="R112" s="1211"/>
      <c r="S112" s="641">
        <v>-27.6352653935173</v>
      </c>
      <c r="T112" s="187" t="s">
        <v>2569</v>
      </c>
      <c r="U112" s="1070"/>
      <c r="V112" s="1080">
        <v>5000000</v>
      </c>
      <c r="W112" s="1080">
        <v>500000</v>
      </c>
      <c r="X112" s="1088"/>
      <c r="Y112" s="1081"/>
      <c r="Z112" s="1082">
        <v>2000000</v>
      </c>
      <c r="AA112" s="1081">
        <v>1000000</v>
      </c>
      <c r="AB112" s="1081">
        <v>1000000</v>
      </c>
      <c r="AC112" s="1006"/>
      <c r="AD112" s="1074"/>
      <c r="AE112" s="1070" t="s">
        <v>0</v>
      </c>
      <c r="AF112" s="960" t="s">
        <v>48</v>
      </c>
      <c r="AG112" s="960" t="s">
        <v>760</v>
      </c>
      <c r="AH112" s="1051"/>
      <c r="AI112" s="927"/>
      <c r="AJ112" s="1104" t="s">
        <v>4453</v>
      </c>
      <c r="AK112" s="1095" t="s">
        <v>4454</v>
      </c>
      <c r="AL112" s="1095" t="s">
        <v>4455</v>
      </c>
      <c r="AM112" s="1545" t="s">
        <v>4456</v>
      </c>
      <c r="AN112" s="1095" t="s">
        <v>4457</v>
      </c>
      <c r="AO112" s="1095" t="s">
        <v>4458</v>
      </c>
      <c r="AP112" s="1095" t="s">
        <v>4459</v>
      </c>
      <c r="AQ112" s="229" t="s">
        <v>4460</v>
      </c>
      <c r="AR112" s="1205" t="s">
        <v>4461</v>
      </c>
      <c r="AS112" s="1396" t="s">
        <v>3000</v>
      </c>
    </row>
    <row r="113" ht="14.1" customHeight="1" spans="2:45">
      <c r="B113" s="1551" t="s">
        <v>450</v>
      </c>
      <c r="C113" s="1031" t="s">
        <v>3853</v>
      </c>
      <c r="D113" s="1199" t="s">
        <v>4462</v>
      </c>
      <c r="E113" s="1044" t="s">
        <v>3855</v>
      </c>
      <c r="F113" s="1044" t="s">
        <v>43</v>
      </c>
      <c r="G113" s="1044" t="s">
        <v>44</v>
      </c>
      <c r="H113" s="1051" t="s">
        <v>920</v>
      </c>
      <c r="I113" s="1031" t="s">
        <v>3684</v>
      </c>
      <c r="J113" s="1051" t="s">
        <v>3603</v>
      </c>
      <c r="K113" s="1202">
        <v>43054</v>
      </c>
      <c r="L113" s="1202">
        <v>43114</v>
      </c>
      <c r="M113" s="928"/>
      <c r="N113" s="1202"/>
      <c r="O113" s="1202"/>
      <c r="P113" s="1052"/>
      <c r="Q113" s="1202"/>
      <c r="R113" s="1211"/>
      <c r="S113" s="641">
        <v>-25.6352653935173</v>
      </c>
      <c r="T113" s="187" t="s">
        <v>2569</v>
      </c>
      <c r="U113" s="1070"/>
      <c r="V113" s="1080">
        <v>4500000</v>
      </c>
      <c r="W113" s="1080">
        <v>150000</v>
      </c>
      <c r="X113" s="1088"/>
      <c r="Y113" s="1081"/>
      <c r="Z113" s="1082"/>
      <c r="AA113" s="1081">
        <v>200000</v>
      </c>
      <c r="AB113" s="1081">
        <v>500000</v>
      </c>
      <c r="AC113" s="1006"/>
      <c r="AD113" s="1074"/>
      <c r="AE113" s="1070" t="s">
        <v>0</v>
      </c>
      <c r="AF113" s="960" t="s">
        <v>48</v>
      </c>
      <c r="AG113" s="960" t="s">
        <v>760</v>
      </c>
      <c r="AH113" s="1051"/>
      <c r="AI113" s="927"/>
      <c r="AJ113" s="1104" t="s">
        <v>4463</v>
      </c>
      <c r="AK113" s="1095" t="s">
        <v>4464</v>
      </c>
      <c r="AL113" s="1095" t="s">
        <v>4465</v>
      </c>
      <c r="AM113" s="1545" t="s">
        <v>3860</v>
      </c>
      <c r="AN113" s="1095" t="s">
        <v>3861</v>
      </c>
      <c r="AO113" s="1095"/>
      <c r="AP113" s="1095" t="s">
        <v>3863</v>
      </c>
      <c r="AQ113" s="229" t="s">
        <v>3864</v>
      </c>
      <c r="AR113" s="1205" t="s">
        <v>4449</v>
      </c>
      <c r="AS113" s="1396" t="s">
        <v>3000</v>
      </c>
    </row>
    <row r="114" ht="14.1" customHeight="1" spans="2:45">
      <c r="B114" s="1551" t="s">
        <v>463</v>
      </c>
      <c r="C114" s="32" t="s">
        <v>4466</v>
      </c>
      <c r="D114" s="1199" t="s">
        <v>4467</v>
      </c>
      <c r="E114" s="1044" t="s">
        <v>4468</v>
      </c>
      <c r="F114" s="1044" t="s">
        <v>125</v>
      </c>
      <c r="G114" s="1044" t="s">
        <v>44</v>
      </c>
      <c r="H114" s="1051" t="s">
        <v>920</v>
      </c>
      <c r="I114" s="1031" t="s">
        <v>3684</v>
      </c>
      <c r="J114" s="1051" t="s">
        <v>4302</v>
      </c>
      <c r="K114" s="1202">
        <v>43052</v>
      </c>
      <c r="L114" s="1202">
        <v>43112</v>
      </c>
      <c r="M114" s="928"/>
      <c r="N114" s="1202"/>
      <c r="O114" s="1202"/>
      <c r="P114" s="1052"/>
      <c r="Q114" s="1202"/>
      <c r="R114" s="1211"/>
      <c r="S114" s="641">
        <v>-27.6352653935173</v>
      </c>
      <c r="T114" s="187" t="s">
        <v>2569</v>
      </c>
      <c r="U114" s="1070"/>
      <c r="V114" s="1080">
        <v>4000000</v>
      </c>
      <c r="W114" s="1080">
        <v>500000</v>
      </c>
      <c r="X114" s="1088"/>
      <c r="Y114" s="1081"/>
      <c r="Z114" s="1082">
        <v>1000000</v>
      </c>
      <c r="AA114" s="1082">
        <v>1000000</v>
      </c>
      <c r="AB114" s="1081">
        <v>1000000</v>
      </c>
      <c r="AC114" s="1006"/>
      <c r="AD114" s="1074"/>
      <c r="AE114" s="1070" t="s">
        <v>0</v>
      </c>
      <c r="AF114" s="960" t="s">
        <v>48</v>
      </c>
      <c r="AG114" s="960" t="s">
        <v>760</v>
      </c>
      <c r="AH114" s="1051"/>
      <c r="AI114" s="927"/>
      <c r="AJ114" s="1104" t="s">
        <v>4469</v>
      </c>
      <c r="AK114" s="1095" t="s">
        <v>4470</v>
      </c>
      <c r="AL114" s="1095" t="s">
        <v>4471</v>
      </c>
      <c r="AM114" s="1545" t="s">
        <v>4472</v>
      </c>
      <c r="AN114" s="1095"/>
      <c r="AO114" s="1095"/>
      <c r="AP114" s="1095"/>
      <c r="AQ114" s="229" t="s">
        <v>4473</v>
      </c>
      <c r="AR114" s="1205" t="s">
        <v>4461</v>
      </c>
      <c r="AS114" s="1396" t="s">
        <v>3000</v>
      </c>
    </row>
    <row r="115" ht="14.1" customHeight="1" spans="2:45">
      <c r="B115" s="1551" t="s">
        <v>473</v>
      </c>
      <c r="C115" s="1031" t="s">
        <v>4474</v>
      </c>
      <c r="D115" s="1199" t="s">
        <v>4475</v>
      </c>
      <c r="E115" s="1044" t="s">
        <v>4476</v>
      </c>
      <c r="F115" s="1044" t="s">
        <v>43</v>
      </c>
      <c r="G115" s="1044" t="s">
        <v>44</v>
      </c>
      <c r="H115" s="1051" t="s">
        <v>3528</v>
      </c>
      <c r="I115" s="1031" t="s">
        <v>3684</v>
      </c>
      <c r="J115" s="1051" t="s">
        <v>3603</v>
      </c>
      <c r="K115" s="1202">
        <v>43039</v>
      </c>
      <c r="L115" s="1202">
        <v>43100</v>
      </c>
      <c r="M115" s="928">
        <v>43131</v>
      </c>
      <c r="N115" s="1202"/>
      <c r="O115" s="1202"/>
      <c r="P115" s="1052"/>
      <c r="Q115" s="1202"/>
      <c r="R115" s="1211"/>
      <c r="S115" s="640">
        <v>-8.63526539351733</v>
      </c>
      <c r="T115" s="187" t="s">
        <v>2569</v>
      </c>
      <c r="U115" s="1070"/>
      <c r="V115" s="1080">
        <v>4000000</v>
      </c>
      <c r="W115" s="1080">
        <v>150000</v>
      </c>
      <c r="X115" s="1088"/>
      <c r="Y115" s="1081"/>
      <c r="Z115" s="1082"/>
      <c r="AA115" s="1081">
        <v>200000</v>
      </c>
      <c r="AB115" s="1081">
        <v>500000</v>
      </c>
      <c r="AC115" s="1006"/>
      <c r="AD115" s="1074"/>
      <c r="AE115" s="1070" t="s">
        <v>0</v>
      </c>
      <c r="AF115" s="960" t="s">
        <v>48</v>
      </c>
      <c r="AG115" s="960" t="s">
        <v>760</v>
      </c>
      <c r="AH115" s="1051"/>
      <c r="AI115" s="927"/>
      <c r="AJ115" s="1104" t="s">
        <v>4477</v>
      </c>
      <c r="AK115" s="1095" t="s">
        <v>4478</v>
      </c>
      <c r="AL115" s="1095" t="s">
        <v>4479</v>
      </c>
      <c r="AM115" s="1545" t="s">
        <v>4480</v>
      </c>
      <c r="AN115" s="1095"/>
      <c r="AO115" s="1095"/>
      <c r="AP115" s="1095"/>
      <c r="AQ115" s="229" t="s">
        <v>4481</v>
      </c>
      <c r="AR115" s="1205" t="s">
        <v>3251</v>
      </c>
      <c r="AS115" s="1396" t="s">
        <v>3000</v>
      </c>
    </row>
    <row r="116" ht="14.1" customHeight="1" spans="2:45">
      <c r="B116" s="1551" t="s">
        <v>483</v>
      </c>
      <c r="C116" s="32" t="s">
        <v>4482</v>
      </c>
      <c r="D116" s="1199" t="s">
        <v>4483</v>
      </c>
      <c r="E116" s="1044" t="s">
        <v>4484</v>
      </c>
      <c r="F116" s="1044" t="s">
        <v>125</v>
      </c>
      <c r="G116" s="1044" t="s">
        <v>44</v>
      </c>
      <c r="H116" s="1051" t="s">
        <v>920</v>
      </c>
      <c r="I116" s="1031" t="s">
        <v>3684</v>
      </c>
      <c r="J116" s="1051" t="s">
        <v>4302</v>
      </c>
      <c r="K116" s="1202">
        <v>43052</v>
      </c>
      <c r="L116" s="1202">
        <v>43112</v>
      </c>
      <c r="M116" s="928"/>
      <c r="N116" s="1202"/>
      <c r="O116" s="1202"/>
      <c r="P116" s="1052"/>
      <c r="Q116" s="1202"/>
      <c r="R116" s="1211"/>
      <c r="S116" s="641">
        <v>-27.6352653935173</v>
      </c>
      <c r="T116" s="187" t="s">
        <v>2569</v>
      </c>
      <c r="U116" s="1070"/>
      <c r="V116" s="1080">
        <v>4000000</v>
      </c>
      <c r="W116" s="1080">
        <v>500000</v>
      </c>
      <c r="X116" s="1088"/>
      <c r="Y116" s="1081"/>
      <c r="Z116" s="1082">
        <v>1000000</v>
      </c>
      <c r="AA116" s="1082">
        <v>1000000</v>
      </c>
      <c r="AB116" s="1081"/>
      <c r="AC116" s="1006"/>
      <c r="AD116" s="1074"/>
      <c r="AE116" s="1070" t="s">
        <v>0</v>
      </c>
      <c r="AF116" s="960" t="s">
        <v>48</v>
      </c>
      <c r="AG116" s="960" t="s">
        <v>760</v>
      </c>
      <c r="AH116" s="1051"/>
      <c r="AI116" s="927"/>
      <c r="AJ116" s="1104" t="s">
        <v>4485</v>
      </c>
      <c r="AK116" s="1095" t="s">
        <v>4486</v>
      </c>
      <c r="AL116" s="1095" t="s">
        <v>4487</v>
      </c>
      <c r="AM116" s="1545" t="s">
        <v>4488</v>
      </c>
      <c r="AN116" s="1095"/>
      <c r="AO116" s="1095"/>
      <c r="AP116" s="1095"/>
      <c r="AQ116" s="229" t="s">
        <v>4489</v>
      </c>
      <c r="AR116" s="1205" t="s">
        <v>4461</v>
      </c>
      <c r="AS116" s="1396" t="s">
        <v>3000</v>
      </c>
    </row>
    <row r="117" ht="14.1" customHeight="1" spans="2:45">
      <c r="B117" s="1551" t="s">
        <v>494</v>
      </c>
      <c r="C117" s="32" t="s">
        <v>4490</v>
      </c>
      <c r="D117" s="1199" t="s">
        <v>4491</v>
      </c>
      <c r="E117" s="1044" t="s">
        <v>4492</v>
      </c>
      <c r="F117" s="1044" t="s">
        <v>43</v>
      </c>
      <c r="G117" s="1044" t="s">
        <v>254</v>
      </c>
      <c r="H117" s="1051" t="s">
        <v>920</v>
      </c>
      <c r="I117" s="1031" t="s">
        <v>3684</v>
      </c>
      <c r="J117" s="1051" t="s">
        <v>3603</v>
      </c>
      <c r="K117" s="1202">
        <v>43052</v>
      </c>
      <c r="L117" s="1202">
        <v>43112</v>
      </c>
      <c r="M117" s="928"/>
      <c r="N117" s="1202"/>
      <c r="O117" s="1202"/>
      <c r="P117" s="1052"/>
      <c r="Q117" s="1202"/>
      <c r="R117" s="1211"/>
      <c r="S117" s="641">
        <v>-27.6352653935173</v>
      </c>
      <c r="T117" s="187" t="s">
        <v>2569</v>
      </c>
      <c r="U117" s="1070"/>
      <c r="V117" s="1080">
        <v>4300000</v>
      </c>
      <c r="W117" s="1080">
        <v>150000</v>
      </c>
      <c r="X117" s="1088"/>
      <c r="Y117" s="1081"/>
      <c r="Z117" s="1082"/>
      <c r="AA117" s="1081">
        <v>200000</v>
      </c>
      <c r="AB117" s="1081">
        <v>500000</v>
      </c>
      <c r="AC117" s="1006"/>
      <c r="AD117" s="1074"/>
      <c r="AE117" s="1070" t="s">
        <v>0</v>
      </c>
      <c r="AF117" s="960" t="s">
        <v>48</v>
      </c>
      <c r="AG117" s="960" t="s">
        <v>760</v>
      </c>
      <c r="AH117" s="1051"/>
      <c r="AI117" s="927"/>
      <c r="AJ117" s="1104" t="s">
        <v>4493</v>
      </c>
      <c r="AK117" s="1095" t="s">
        <v>4494</v>
      </c>
      <c r="AL117" s="1095" t="s">
        <v>4495</v>
      </c>
      <c r="AM117" s="1545" t="s">
        <v>4496</v>
      </c>
      <c r="AN117" s="1095" t="s">
        <v>4497</v>
      </c>
      <c r="AO117" s="1095"/>
      <c r="AP117" s="1095"/>
      <c r="AQ117" s="229" t="s">
        <v>4498</v>
      </c>
      <c r="AR117" s="1205" t="s">
        <v>4461</v>
      </c>
      <c r="AS117" s="1396" t="s">
        <v>3000</v>
      </c>
    </row>
    <row r="118" s="1024" customFormat="1" ht="14.1" customHeight="1" spans="2:47">
      <c r="B118" s="1553" t="s">
        <v>181</v>
      </c>
      <c r="C118" s="1031" t="s">
        <v>4499</v>
      </c>
      <c r="D118" s="919" t="s">
        <v>4500</v>
      </c>
      <c r="E118" s="923" t="s">
        <v>4501</v>
      </c>
      <c r="F118" s="923" t="s">
        <v>43</v>
      </c>
      <c r="G118" s="923" t="s">
        <v>254</v>
      </c>
      <c r="H118" s="927" t="s">
        <v>4502</v>
      </c>
      <c r="I118" s="927" t="s">
        <v>3514</v>
      </c>
      <c r="J118" s="919" t="s">
        <v>3603</v>
      </c>
      <c r="K118" s="928">
        <v>43010</v>
      </c>
      <c r="L118" s="934">
        <v>43100</v>
      </c>
      <c r="M118" s="928">
        <v>43131</v>
      </c>
      <c r="N118" s="928">
        <v>43159</v>
      </c>
      <c r="O118" s="1138">
        <v>43190</v>
      </c>
      <c r="P118" s="928"/>
      <c r="Q118" s="928"/>
      <c r="R118" s="928"/>
      <c r="S118" s="641">
        <f ca="1">SUM(O118-NOW())</f>
        <v>-82.38453703704</v>
      </c>
      <c r="T118" s="187" t="str">
        <f ca="1" t="shared" ref="T118:T122" si="10">IF(S118&lt;=40,"WARNING","ACTIVE")</f>
        <v>WARNING</v>
      </c>
      <c r="U118" s="1070"/>
      <c r="V118" s="1074">
        <v>4500000</v>
      </c>
      <c r="W118" s="1074">
        <v>150000</v>
      </c>
      <c r="X118" s="1074"/>
      <c r="Y118" s="1074"/>
      <c r="Z118" s="1074"/>
      <c r="AA118" s="1006">
        <v>200000</v>
      </c>
      <c r="AB118" s="1074">
        <v>500000</v>
      </c>
      <c r="AC118" s="1074"/>
      <c r="AD118" s="1074"/>
      <c r="AE118" s="1070" t="s">
        <v>0</v>
      </c>
      <c r="AF118" s="960" t="s">
        <v>48</v>
      </c>
      <c r="AG118" s="960" t="s">
        <v>760</v>
      </c>
      <c r="AH118" s="927"/>
      <c r="AI118" s="927"/>
      <c r="AJ118" s="290" t="s">
        <v>4503</v>
      </c>
      <c r="AK118" s="290"/>
      <c r="AL118" s="962" t="s">
        <v>4504</v>
      </c>
      <c r="AM118" s="1541" t="s">
        <v>4505</v>
      </c>
      <c r="AN118" s="1541" t="s">
        <v>4506</v>
      </c>
      <c r="AO118" s="962"/>
      <c r="AP118" s="962"/>
      <c r="AQ118" s="1375" t="s">
        <v>4507</v>
      </c>
      <c r="AR118" s="919" t="s">
        <v>4508</v>
      </c>
      <c r="AS118" s="1396"/>
      <c r="AT118" s="1382"/>
      <c r="AU118" s="970"/>
    </row>
    <row r="119" s="1024" customFormat="1" ht="14.1" customHeight="1" spans="2:47">
      <c r="B119" s="1553" t="s">
        <v>286</v>
      </c>
      <c r="C119" s="1031" t="s">
        <v>3865</v>
      </c>
      <c r="D119" s="1199" t="s">
        <v>3866</v>
      </c>
      <c r="E119" s="1044" t="s">
        <v>3867</v>
      </c>
      <c r="F119" s="1044" t="s">
        <v>43</v>
      </c>
      <c r="G119" s="1044" t="s">
        <v>44</v>
      </c>
      <c r="H119" s="1051" t="s">
        <v>1269</v>
      </c>
      <c r="I119" s="1031" t="s">
        <v>3684</v>
      </c>
      <c r="J119" s="1051" t="s">
        <v>3785</v>
      </c>
      <c r="K119" s="1202">
        <v>43049</v>
      </c>
      <c r="L119" s="1202">
        <v>43109</v>
      </c>
      <c r="M119" s="928">
        <v>43140</v>
      </c>
      <c r="N119" s="1272">
        <v>43167</v>
      </c>
      <c r="O119" s="1202"/>
      <c r="P119" s="1052"/>
      <c r="Q119" s="1202"/>
      <c r="R119" s="1211"/>
      <c r="S119" s="641">
        <f ca="1">SUM(N119-NOW())</f>
        <v>-105.38453703704</v>
      </c>
      <c r="T119" s="187" t="str">
        <f ca="1" t="shared" si="10"/>
        <v>WARNING</v>
      </c>
      <c r="U119" s="1070"/>
      <c r="V119" s="1080">
        <v>2765000</v>
      </c>
      <c r="W119" s="1080">
        <v>150000</v>
      </c>
      <c r="X119" s="1088"/>
      <c r="Y119" s="1081"/>
      <c r="Z119" s="1082"/>
      <c r="AA119" s="1081"/>
      <c r="AB119" s="1081"/>
      <c r="AC119" s="1081"/>
      <c r="AD119" s="1081">
        <v>17000</v>
      </c>
      <c r="AE119" s="1070" t="s">
        <v>0</v>
      </c>
      <c r="AF119" s="960" t="s">
        <v>48</v>
      </c>
      <c r="AG119" s="960" t="s">
        <v>760</v>
      </c>
      <c r="AH119" s="1051"/>
      <c r="AI119" s="927"/>
      <c r="AJ119" s="1104" t="s">
        <v>3868</v>
      </c>
      <c r="AK119" s="1095" t="s">
        <v>3869</v>
      </c>
      <c r="AL119" s="1095" t="s">
        <v>3870</v>
      </c>
      <c r="AM119" s="1095" t="s">
        <v>3871</v>
      </c>
      <c r="AN119" s="1095"/>
      <c r="AO119" s="1095"/>
      <c r="AP119" s="1095"/>
      <c r="AQ119" s="229" t="s">
        <v>3872</v>
      </c>
      <c r="AR119" s="919" t="s">
        <v>4509</v>
      </c>
      <c r="AS119" s="1396"/>
      <c r="AT119" s="1382"/>
      <c r="AU119" s="970"/>
    </row>
    <row r="120" s="1024" customFormat="1" ht="14.1" customHeight="1" spans="2:45">
      <c r="B120" s="1553" t="s">
        <v>333</v>
      </c>
      <c r="C120" s="32" t="s">
        <v>4510</v>
      </c>
      <c r="D120" s="1199" t="s">
        <v>4511</v>
      </c>
      <c r="E120" s="1044" t="s">
        <v>4512</v>
      </c>
      <c r="F120" s="1044" t="s">
        <v>43</v>
      </c>
      <c r="G120" s="1044" t="s">
        <v>60</v>
      </c>
      <c r="H120" s="1051" t="s">
        <v>4513</v>
      </c>
      <c r="I120" s="1031"/>
      <c r="J120" s="1051" t="s">
        <v>4514</v>
      </c>
      <c r="K120" s="1202">
        <v>43129</v>
      </c>
      <c r="L120" s="1202">
        <v>43218</v>
      </c>
      <c r="M120" s="928"/>
      <c r="N120" s="1202"/>
      <c r="O120" s="1202"/>
      <c r="P120" s="1052"/>
      <c r="Q120" s="1202"/>
      <c r="R120" s="1211"/>
      <c r="S120" s="641">
        <f ca="1" t="shared" ref="S120:S122" si="11">SUM(L120-NOW())</f>
        <v>-54.38453703704</v>
      </c>
      <c r="T120" s="187" t="str">
        <f ca="1" t="shared" si="10"/>
        <v>WARNING</v>
      </c>
      <c r="U120" s="1070"/>
      <c r="V120" s="1080">
        <v>9000000</v>
      </c>
      <c r="W120" s="1080">
        <v>1000000</v>
      </c>
      <c r="X120" s="1088"/>
      <c r="Y120" s="1081"/>
      <c r="Z120" s="1088">
        <v>3000000</v>
      </c>
      <c r="AA120" s="1080">
        <v>1000000</v>
      </c>
      <c r="AB120" s="1080">
        <v>1000000</v>
      </c>
      <c r="AC120" s="1006"/>
      <c r="AD120" s="1074"/>
      <c r="AE120" s="1070" t="s">
        <v>0</v>
      </c>
      <c r="AF120" s="960" t="s">
        <v>48</v>
      </c>
      <c r="AG120" s="960" t="s">
        <v>760</v>
      </c>
      <c r="AH120" s="1051"/>
      <c r="AI120" s="927"/>
      <c r="AJ120" s="1104" t="s">
        <v>4515</v>
      </c>
      <c r="AK120" s="1545" t="s">
        <v>4516</v>
      </c>
      <c r="AL120" s="1095" t="s">
        <v>4517</v>
      </c>
      <c r="AM120" s="1545" t="s">
        <v>4518</v>
      </c>
      <c r="AN120" s="1545" t="s">
        <v>4519</v>
      </c>
      <c r="AO120" s="1095"/>
      <c r="AP120" s="1545" t="s">
        <v>4520</v>
      </c>
      <c r="AQ120" s="229" t="s">
        <v>4521</v>
      </c>
      <c r="AR120" s="1205" t="s">
        <v>4522</v>
      </c>
      <c r="AS120" s="1396"/>
    </row>
    <row r="121" s="1024" customFormat="1" ht="14.1" customHeight="1" spans="2:45">
      <c r="B121" s="1553" t="s">
        <v>381</v>
      </c>
      <c r="C121" s="32" t="s">
        <v>4523</v>
      </c>
      <c r="D121" s="1199" t="s">
        <v>4524</v>
      </c>
      <c r="E121" s="1044" t="s">
        <v>4525</v>
      </c>
      <c r="F121" s="1044" t="s">
        <v>43</v>
      </c>
      <c r="G121" s="1044" t="s">
        <v>43</v>
      </c>
      <c r="H121" s="1051" t="s">
        <v>2910</v>
      </c>
      <c r="I121" s="1031" t="s">
        <v>3684</v>
      </c>
      <c r="J121" s="1051" t="s">
        <v>3942</v>
      </c>
      <c r="K121" s="1202">
        <v>43136</v>
      </c>
      <c r="L121" s="1202">
        <v>43194</v>
      </c>
      <c r="M121" s="928"/>
      <c r="N121" s="1202"/>
      <c r="O121" s="1202"/>
      <c r="P121" s="1052"/>
      <c r="Q121" s="1202"/>
      <c r="R121" s="1211"/>
      <c r="S121" s="641">
        <f ca="1" t="shared" si="11"/>
        <v>-78.38453703704</v>
      </c>
      <c r="T121" s="187" t="str">
        <f ca="1" t="shared" si="10"/>
        <v>WARNING</v>
      </c>
      <c r="U121" s="1070"/>
      <c r="V121" s="1086">
        <v>3500000</v>
      </c>
      <c r="W121" s="1086">
        <v>150000</v>
      </c>
      <c r="X121" s="1249"/>
      <c r="Y121" s="1096"/>
      <c r="Z121" s="1249"/>
      <c r="AA121" s="1086"/>
      <c r="AB121" s="1086"/>
      <c r="AC121" s="1006"/>
      <c r="AD121" s="1074">
        <v>17000</v>
      </c>
      <c r="AE121" s="1070" t="s">
        <v>0</v>
      </c>
      <c r="AF121" s="960" t="s">
        <v>48</v>
      </c>
      <c r="AG121" s="960" t="s">
        <v>760</v>
      </c>
      <c r="AH121" s="1051"/>
      <c r="AI121" s="927"/>
      <c r="AJ121" s="1104" t="s">
        <v>4526</v>
      </c>
      <c r="AK121" s="1545" t="s">
        <v>4527</v>
      </c>
      <c r="AL121" s="1095"/>
      <c r="AM121" s="1095"/>
      <c r="AN121" s="1095"/>
      <c r="AO121" s="1095"/>
      <c r="AP121" s="1095"/>
      <c r="AQ121" s="229" t="s">
        <v>4528</v>
      </c>
      <c r="AR121" s="1205" t="s">
        <v>4529</v>
      </c>
      <c r="AS121" s="1396"/>
    </row>
    <row r="122" s="1024" customFormat="1" ht="14.1" customHeight="1" spans="2:44">
      <c r="B122" s="1553" t="s">
        <v>514</v>
      </c>
      <c r="C122" s="168"/>
      <c r="D122" s="1199" t="s">
        <v>4530</v>
      </c>
      <c r="E122" s="1044" t="s">
        <v>4531</v>
      </c>
      <c r="F122" s="1044"/>
      <c r="G122" s="1044"/>
      <c r="H122" s="1051" t="s">
        <v>920</v>
      </c>
      <c r="I122" s="1031" t="s">
        <v>3684</v>
      </c>
      <c r="J122" s="1051" t="s">
        <v>4532</v>
      </c>
      <c r="K122" s="1202">
        <v>43187</v>
      </c>
      <c r="L122" s="1202">
        <v>43278</v>
      </c>
      <c r="M122" s="928"/>
      <c r="N122" s="1202"/>
      <c r="O122" s="1202"/>
      <c r="P122" s="1052"/>
      <c r="Q122" s="1202"/>
      <c r="R122" s="1211"/>
      <c r="S122" s="641">
        <f ca="1" t="shared" si="11"/>
        <v>5.61546296296001</v>
      </c>
      <c r="T122" s="187" t="str">
        <f ca="1" t="shared" si="10"/>
        <v>WARNING</v>
      </c>
      <c r="U122" s="1070"/>
      <c r="V122" s="1086">
        <v>4500000</v>
      </c>
      <c r="W122" s="1086">
        <v>150000</v>
      </c>
      <c r="X122" s="1249" t="s">
        <v>583</v>
      </c>
      <c r="Y122" s="1096" t="s">
        <v>583</v>
      </c>
      <c r="Z122" s="1249"/>
      <c r="AA122" s="1086">
        <v>200000</v>
      </c>
      <c r="AB122" s="1086">
        <v>500000</v>
      </c>
      <c r="AC122" s="1249"/>
      <c r="AD122" s="1074" t="s">
        <v>583</v>
      </c>
      <c r="AE122" s="1070" t="s">
        <v>0</v>
      </c>
      <c r="AF122" s="960" t="s">
        <v>48</v>
      </c>
      <c r="AG122" s="960" t="s">
        <v>760</v>
      </c>
      <c r="AH122" s="1051"/>
      <c r="AI122" s="927"/>
      <c r="AJ122" s="1104" t="s">
        <v>4533</v>
      </c>
      <c r="AK122" s="1095"/>
      <c r="AL122" s="1095"/>
      <c r="AM122" s="1095"/>
      <c r="AN122" s="1095"/>
      <c r="AO122" s="1095"/>
      <c r="AP122" s="1095"/>
      <c r="AQ122" s="229"/>
      <c r="AR122" s="1205" t="s">
        <v>2253</v>
      </c>
    </row>
    <row r="123" ht="14.1" customHeight="1" spans="2:44">
      <c r="B123" s="1553" t="s">
        <v>525</v>
      </c>
      <c r="C123" s="168"/>
      <c r="D123" s="1199" t="s">
        <v>4534</v>
      </c>
      <c r="E123" s="1044" t="s">
        <v>4535</v>
      </c>
      <c r="F123" s="1044"/>
      <c r="G123" s="1044"/>
      <c r="H123" s="1051" t="s">
        <v>2910</v>
      </c>
      <c r="I123" s="1031" t="s">
        <v>3684</v>
      </c>
      <c r="J123" s="1051" t="s">
        <v>3785</v>
      </c>
      <c r="K123" s="1202">
        <v>43193</v>
      </c>
      <c r="L123" s="1202">
        <v>43283</v>
      </c>
      <c r="M123" s="928"/>
      <c r="N123" s="1202"/>
      <c r="O123" s="1202"/>
      <c r="P123" s="1052"/>
      <c r="Q123" s="1202"/>
      <c r="R123" s="1211"/>
      <c r="S123" s="641">
        <v>72.5863648148152</v>
      </c>
      <c r="T123" s="187" t="s">
        <v>745</v>
      </c>
      <c r="U123" s="1070"/>
      <c r="V123" s="1086">
        <v>3500000</v>
      </c>
      <c r="W123" s="1086">
        <v>150000</v>
      </c>
      <c r="X123" s="1249" t="s">
        <v>583</v>
      </c>
      <c r="Y123" s="1096"/>
      <c r="Z123" s="1249"/>
      <c r="AA123" s="1086" t="s">
        <v>583</v>
      </c>
      <c r="AB123" s="1086" t="s">
        <v>583</v>
      </c>
      <c r="AC123" s="1249"/>
      <c r="AD123" s="1074">
        <v>17000</v>
      </c>
      <c r="AE123" s="1070" t="s">
        <v>0</v>
      </c>
      <c r="AF123" s="960" t="s">
        <v>48</v>
      </c>
      <c r="AG123" s="960" t="s">
        <v>760</v>
      </c>
      <c r="AH123" s="1051"/>
      <c r="AI123" s="927"/>
      <c r="AJ123" s="1104" t="s">
        <v>4536</v>
      </c>
      <c r="AK123" s="1095"/>
      <c r="AL123" s="1095"/>
      <c r="AM123" s="1095"/>
      <c r="AN123" s="1095"/>
      <c r="AO123" s="1095"/>
      <c r="AP123" s="1095"/>
      <c r="AQ123" s="229"/>
      <c r="AR123" s="1205" t="s">
        <v>2253</v>
      </c>
    </row>
    <row r="124" ht="14.1" customHeight="1" spans="2:44">
      <c r="B124" s="1553" t="s">
        <v>598</v>
      </c>
      <c r="C124" s="168"/>
      <c r="D124" s="1199" t="s">
        <v>4537</v>
      </c>
      <c r="E124" s="1044" t="s">
        <v>4538</v>
      </c>
      <c r="F124" s="1044"/>
      <c r="G124" s="1044"/>
      <c r="H124" s="1051" t="s">
        <v>3979</v>
      </c>
      <c r="I124" s="1031" t="s">
        <v>3684</v>
      </c>
      <c r="J124" s="1051" t="s">
        <v>4532</v>
      </c>
      <c r="K124" s="1202">
        <v>43202</v>
      </c>
      <c r="L124" s="1202">
        <v>43292</v>
      </c>
      <c r="M124" s="928"/>
      <c r="N124" s="1202"/>
      <c r="O124" s="1202"/>
      <c r="P124" s="1052"/>
      <c r="Q124" s="1202"/>
      <c r="R124" s="1211"/>
      <c r="S124" s="641">
        <v>81.5863648148152</v>
      </c>
      <c r="T124" s="187" t="s">
        <v>745</v>
      </c>
      <c r="U124" s="1070"/>
      <c r="V124" s="1086">
        <v>4500000</v>
      </c>
      <c r="W124" s="1086">
        <v>150000</v>
      </c>
      <c r="X124" s="1249"/>
      <c r="Y124" s="1096" t="s">
        <v>583</v>
      </c>
      <c r="Z124" s="1249"/>
      <c r="AA124" s="1086">
        <v>200000</v>
      </c>
      <c r="AB124" s="1086">
        <v>500000</v>
      </c>
      <c r="AC124" s="1249" t="s">
        <v>583</v>
      </c>
      <c r="AD124" s="1074" t="s">
        <v>583</v>
      </c>
      <c r="AE124" s="1070" t="s">
        <v>0</v>
      </c>
      <c r="AF124" s="960" t="s">
        <v>48</v>
      </c>
      <c r="AG124" s="960" t="s">
        <v>760</v>
      </c>
      <c r="AH124" s="1051"/>
      <c r="AI124" s="927"/>
      <c r="AJ124" s="1104" t="s">
        <v>4539</v>
      </c>
      <c r="AK124" s="1095"/>
      <c r="AL124" s="1095"/>
      <c r="AM124" s="1095"/>
      <c r="AN124" s="1095"/>
      <c r="AO124" s="1095"/>
      <c r="AP124" s="1095"/>
      <c r="AQ124" s="229"/>
      <c r="AR124" s="1205" t="s">
        <v>2253</v>
      </c>
    </row>
    <row r="125" ht="14.1" customHeight="1" spans="2:45">
      <c r="B125" s="1551" t="s">
        <v>320</v>
      </c>
      <c r="C125" s="32" t="s">
        <v>4540</v>
      </c>
      <c r="D125" s="1199" t="s">
        <v>4338</v>
      </c>
      <c r="E125" s="1044" t="s">
        <v>4339</v>
      </c>
      <c r="F125" s="1044" t="s">
        <v>43</v>
      </c>
      <c r="G125" s="1044" t="s">
        <v>60</v>
      </c>
      <c r="H125" s="1051" t="s">
        <v>2910</v>
      </c>
      <c r="I125" s="1031" t="s">
        <v>3684</v>
      </c>
      <c r="J125" s="1051" t="s">
        <v>3603</v>
      </c>
      <c r="K125" s="1202">
        <v>43136</v>
      </c>
      <c r="L125" s="1202">
        <v>43194</v>
      </c>
      <c r="M125" s="928"/>
      <c r="N125" s="1202"/>
      <c r="O125" s="1202"/>
      <c r="P125" s="1052"/>
      <c r="Q125" s="1202"/>
      <c r="R125" s="1211"/>
      <c r="S125" s="641">
        <f ca="1">SUM(L125-NOW())</f>
        <v>-78.38453703704</v>
      </c>
      <c r="T125" s="187" t="str">
        <f ca="1" t="shared" ref="T125:T126" si="12">IF(S125&lt;=40,"WARNING","ACTIVE")</f>
        <v>WARNING</v>
      </c>
      <c r="U125" s="1070"/>
      <c r="V125" s="1086">
        <v>4500000</v>
      </c>
      <c r="W125" s="1086">
        <v>150000</v>
      </c>
      <c r="X125" s="1249"/>
      <c r="Y125" s="1096"/>
      <c r="Z125" s="1249"/>
      <c r="AA125" s="1086">
        <v>200000</v>
      </c>
      <c r="AB125" s="1086"/>
      <c r="AC125" s="1006"/>
      <c r="AD125" s="1074"/>
      <c r="AE125" s="1070" t="s">
        <v>0</v>
      </c>
      <c r="AF125" s="960" t="s">
        <v>48</v>
      </c>
      <c r="AG125" s="960" t="s">
        <v>760</v>
      </c>
      <c r="AH125" s="1051"/>
      <c r="AI125" s="927"/>
      <c r="AJ125" s="1104" t="s">
        <v>4340</v>
      </c>
      <c r="AK125" s="1545" t="s">
        <v>4541</v>
      </c>
      <c r="AL125" s="1095" t="s">
        <v>4542</v>
      </c>
      <c r="AM125" s="1545" t="s">
        <v>4342</v>
      </c>
      <c r="AN125" s="1095" t="s">
        <v>4343</v>
      </c>
      <c r="AO125" s="1095"/>
      <c r="AP125" s="1095"/>
      <c r="AQ125" s="229" t="s">
        <v>4344</v>
      </c>
      <c r="AR125" s="1205" t="s">
        <v>4543</v>
      </c>
      <c r="AS125" s="1396"/>
    </row>
    <row r="126" ht="14.1" customHeight="1" spans="2:44">
      <c r="B126" s="1553" t="s">
        <v>579</v>
      </c>
      <c r="C126" s="168" t="s">
        <v>4544</v>
      </c>
      <c r="D126" s="1199" t="s">
        <v>4545</v>
      </c>
      <c r="E126" s="1044" t="s">
        <v>4546</v>
      </c>
      <c r="F126" s="1044" t="s">
        <v>43</v>
      </c>
      <c r="G126" s="1044" t="s">
        <v>404</v>
      </c>
      <c r="H126" s="1051" t="s">
        <v>4547</v>
      </c>
      <c r="I126" s="1031" t="s">
        <v>3684</v>
      </c>
      <c r="J126" s="1051" t="s">
        <v>3603</v>
      </c>
      <c r="K126" s="1202">
        <v>43204</v>
      </c>
      <c r="L126" s="1202">
        <v>43294</v>
      </c>
      <c r="M126" s="928"/>
      <c r="N126" s="1202"/>
      <c r="O126" s="1202"/>
      <c r="P126" s="1052"/>
      <c r="Q126" s="1202"/>
      <c r="R126" s="1211"/>
      <c r="S126" s="641">
        <f ca="1">SUM(L126-NOW())</f>
        <v>21.61546296296</v>
      </c>
      <c r="T126" s="187" t="str">
        <f ca="1" t="shared" si="12"/>
        <v>WARNING</v>
      </c>
      <c r="U126" s="1070"/>
      <c r="V126" s="1086">
        <v>5000000</v>
      </c>
      <c r="W126" s="1086">
        <v>150000</v>
      </c>
      <c r="X126" s="1249"/>
      <c r="Y126" s="1096" t="s">
        <v>583</v>
      </c>
      <c r="Z126" s="1249"/>
      <c r="AA126" s="1086">
        <v>200000</v>
      </c>
      <c r="AB126" s="1086">
        <v>500000</v>
      </c>
      <c r="AC126" s="1249" t="s">
        <v>583</v>
      </c>
      <c r="AD126" s="1074" t="s">
        <v>583</v>
      </c>
      <c r="AE126" s="1070" t="s">
        <v>0</v>
      </c>
      <c r="AF126" s="960" t="s">
        <v>48</v>
      </c>
      <c r="AG126" s="960" t="s">
        <v>760</v>
      </c>
      <c r="AH126" s="1051"/>
      <c r="AI126" s="927"/>
      <c r="AJ126" s="1104" t="s">
        <v>4548</v>
      </c>
      <c r="AK126" s="1545" t="s">
        <v>4549</v>
      </c>
      <c r="AL126" s="1095" t="s">
        <v>4550</v>
      </c>
      <c r="AM126" s="1545" t="s">
        <v>4551</v>
      </c>
      <c r="AN126" s="1545" t="s">
        <v>4552</v>
      </c>
      <c r="AO126" s="1095"/>
      <c r="AP126" s="1095"/>
      <c r="AQ126" s="229" t="s">
        <v>4553</v>
      </c>
      <c r="AR126" s="1205" t="s">
        <v>4554</v>
      </c>
    </row>
  </sheetData>
  <sortState ref="C50:R58">
    <sortCondition ref="C50:C58"/>
  </sortState>
  <mergeCells count="38">
    <mergeCell ref="K3:L3"/>
    <mergeCell ref="M3:R3"/>
    <mergeCell ref="B3:B4"/>
    <mergeCell ref="C3:C4"/>
    <mergeCell ref="D3:D4"/>
    <mergeCell ref="E3:E4"/>
    <mergeCell ref="F3:F4"/>
    <mergeCell ref="G3:G4"/>
    <mergeCell ref="H3:H4"/>
    <mergeCell ref="I3:I4"/>
    <mergeCell ref="J3:J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 ref="AQ3:AQ4"/>
    <mergeCell ref="AR3:AR4"/>
    <mergeCell ref="AS3:AS4"/>
  </mergeCells>
  <conditionalFormatting sqref="T3:T4">
    <cfRule type="expression" dxfId="767" priority="1" stopIfTrue="1">
      <formula>NOT(ISERROR(SEARCH("warning",T3)))</formula>
    </cfRule>
  </conditionalFormatting>
  <conditionalFormatting sqref="T72:T77">
    <cfRule type="expression" dxfId="768" priority="2" stopIfTrue="1">
      <formula>NOT(ISERROR(SEARCH("warning",T72)))</formula>
    </cfRule>
  </conditionalFormatting>
  <conditionalFormatting sqref="T20">
    <cfRule type="expression" dxfId="769" priority="3" stopIfTrue="1">
      <formula>NOT(ISERROR(SEARCH("warning",T20)))</formula>
    </cfRule>
  </conditionalFormatting>
  <conditionalFormatting sqref="T78">
    <cfRule type="expression" dxfId="770" priority="4" stopIfTrue="1">
      <formula>NOT(ISERROR(SEARCH("warning",T78)))</formula>
    </cfRule>
  </conditionalFormatting>
  <conditionalFormatting sqref="AB23">
    <cfRule type="expression" dxfId="771" priority="5" stopIfTrue="1">
      <formula>IF(OR(#REF!="not",#REF!="resign",#REF!="resign",#REF!="end",#REF!="terminated",#REF!="permanent"),"TRUE","FALSE")</formula>
    </cfRule>
  </conditionalFormatting>
  <conditionalFormatting sqref="AB119">
    <cfRule type="expression" dxfId="772" priority="6" stopIfTrue="1">
      <formula>IF(OR(#REF!="not",#REF!="resign",#REF!="resign",#REF!="end",#REF!="terminated",#REF!="permanent"),"TRUE","FALSE")</formula>
    </cfRule>
  </conditionalFormatting>
  <conditionalFormatting sqref="C23">
    <cfRule type="expression" dxfId="773" priority="7" stopIfTrue="1">
      <formula>IF(OR(#REF!="not",#REF!="resign",#REF!="resign",#REF!="end",#REF!="terminated",#REF!="permanent"),"TRUE","FALSE")</formula>
    </cfRule>
  </conditionalFormatting>
  <conditionalFormatting sqref="AC119">
    <cfRule type="expression" dxfId="774" priority="8" stopIfTrue="1">
      <formula>IF(OR(#REF!="not",#REF!="resign",#REF!="resign",#REF!="end",#REF!="terminated",#REF!="permanent"),"TRUE","FALSE")</formula>
    </cfRule>
  </conditionalFormatting>
  <conditionalFormatting sqref="AD119">
    <cfRule type="expression" dxfId="775" priority="9" stopIfTrue="1">
      <formula>IF(OR(#REF!="not",#REF!="resign",#REF!="resign",#REF!="end",#REF!="terminated",#REF!="permanent"),"TRUE","FALSE")</formula>
    </cfRule>
  </conditionalFormatting>
  <conditionalFormatting sqref="T79:T80">
    <cfRule type="expression" dxfId="776" priority="10" stopIfTrue="1">
      <formula>NOT(ISERROR(SEARCH("warning",T79)))</formula>
    </cfRule>
  </conditionalFormatting>
  <conditionalFormatting sqref="T81">
    <cfRule type="expression" dxfId="777" priority="11" stopIfTrue="1">
      <formula>NOT(ISERROR(SEARCH("warning",T81)))</formula>
    </cfRule>
  </conditionalFormatting>
  <conditionalFormatting sqref="T82">
    <cfRule type="expression" dxfId="778" priority="12" stopIfTrue="1">
      <formula>NOT(ISERROR(SEARCH("warning",T82)))</formula>
    </cfRule>
  </conditionalFormatting>
  <conditionalFormatting sqref="T83">
    <cfRule type="expression" dxfId="779" priority="13" stopIfTrue="1">
      <formula>NOT(ISERROR(SEARCH("warning",T83)))</formula>
    </cfRule>
  </conditionalFormatting>
  <conditionalFormatting sqref="T119">
    <cfRule type="expression" dxfId="780" priority="14" stopIfTrue="1">
      <formula>NOT(ISERROR(SEARCH("warning",T119)))</formula>
    </cfRule>
  </conditionalFormatting>
  <conditionalFormatting sqref="C24">
    <cfRule type="expression" dxfId="781" priority="15" stopIfTrue="1">
      <formula>IF(OR(#REF!="not",#REF!="resign",#REF!="resign",#REF!="end",#REF!="terminated",#REF!="permanent"),"TRUE","FALSE")</formula>
    </cfRule>
  </conditionalFormatting>
  <conditionalFormatting sqref="T98:T99;T84:T95">
    <cfRule type="expression" dxfId="782" priority="16" stopIfTrue="1">
      <formula>NOT(ISERROR(SEARCH("warning",T84)))</formula>
    </cfRule>
  </conditionalFormatting>
  <conditionalFormatting sqref="T96">
    <cfRule type="expression" dxfId="783" priority="17" stopIfTrue="1">
      <formula>NOT(ISERROR(SEARCH("warning",T96)))</formula>
    </cfRule>
  </conditionalFormatting>
  <conditionalFormatting sqref="T97">
    <cfRule type="expression" dxfId="784" priority="18" stopIfTrue="1">
      <formula>NOT(ISERROR(SEARCH("warning",T97)))</formula>
    </cfRule>
  </conditionalFormatting>
  <conditionalFormatting sqref="T24:T25">
    <cfRule type="expression" dxfId="785" priority="19" stopIfTrue="1">
      <formula>NOT(ISERROR(SEARCH("warning",T24)))</formula>
    </cfRule>
  </conditionalFormatting>
  <conditionalFormatting sqref="C25;C121;C27:C28">
    <cfRule type="expression" dxfId="786" priority="20" stopIfTrue="1">
      <formula>IF(OR(#REF!="not",#REF!="resign",#REF!="resign",#REF!="end",#REF!="terminated",#REF!="permanent"),"TRUE","FALSE")</formula>
    </cfRule>
  </conditionalFormatting>
  <conditionalFormatting sqref="C120">
    <cfRule type="expression" dxfId="787" priority="21" stopIfTrue="1">
      <formula>IF(OR(#REF!="not",#REF!="resign",#REF!="resign",#REF!="end",#REF!="terminated",#REF!="permanent"),"TRUE","FALSE")</formula>
    </cfRule>
  </conditionalFormatting>
  <conditionalFormatting sqref="T107:T111;T100:T105">
    <cfRule type="expression" dxfId="788" priority="22" stopIfTrue="1">
      <formula>NOT(ISERROR(SEARCH("warning",T100)))</formula>
    </cfRule>
  </conditionalFormatting>
  <conditionalFormatting sqref="T106">
    <cfRule type="expression" dxfId="789" priority="23" stopIfTrue="1">
      <formula>NOT(ISERROR(SEARCH("warning",T106)))</formula>
    </cfRule>
  </conditionalFormatting>
  <conditionalFormatting sqref="AB108">
    <cfRule type="expression" dxfId="790" priority="24" stopIfTrue="1">
      <formula>IF(OR(#REF!="not",#REF!="resign",#REF!="resign",#REF!="end",#REF!="terminated",#REF!="permanent"),"TRUE","FALSE")</formula>
    </cfRule>
  </conditionalFormatting>
  <conditionalFormatting sqref="AB109">
    <cfRule type="expression" dxfId="791" priority="25" stopIfTrue="1">
      <formula>IF(OR(#REF!="not",#REF!="resign",#REF!="resign",#REF!="end",#REF!="terminated",#REF!="permanent"),"TRUE","FALSE")</formula>
    </cfRule>
  </conditionalFormatting>
  <conditionalFormatting sqref="AB110">
    <cfRule type="expression" dxfId="792" priority="26" stopIfTrue="1">
      <formula>IF(OR(#REF!="not",#REF!="resign",#REF!="resign",#REF!="end",#REF!="terminated",#REF!="permanent"),"TRUE","FALSE")</formula>
    </cfRule>
  </conditionalFormatting>
  <conditionalFormatting sqref="AB113">
    <cfRule type="expression" dxfId="793" priority="27" stopIfTrue="1">
      <formula>IF(OR(#REF!="not",#REF!="resign",#REF!="resign",#REF!="end",#REF!="terminated",#REF!="permanent"),"TRUE","FALSE")</formula>
    </cfRule>
  </conditionalFormatting>
  <conditionalFormatting sqref="AB114:AB117">
    <cfRule type="expression" dxfId="794" priority="28" stopIfTrue="1">
      <formula>IF(OR(#REF!="not",#REF!="resign",#REF!="resign",#REF!="end",#REF!="terminated",#REF!="permanent"),"TRUE","FALSE")</formula>
    </cfRule>
  </conditionalFormatting>
  <conditionalFormatting sqref="T112:T117">
    <cfRule type="expression" dxfId="795" priority="29" stopIfTrue="1">
      <formula>NOT(ISERROR(SEARCH("warning",T112)))</formula>
    </cfRule>
  </conditionalFormatting>
  <conditionalFormatting sqref="C116:C117">
    <cfRule type="expression" dxfId="796" priority="30" stopIfTrue="1">
      <formula>IF(OR(#REF!="not",#REF!="resign",#REF!="resign",#REF!="end",#REF!="terminated",#REF!="permanent"),"TRUE","FALSE")</formula>
    </cfRule>
  </conditionalFormatting>
  <conditionalFormatting sqref="C114">
    <cfRule type="expression" dxfId="797" priority="31" stopIfTrue="1">
      <formula>IF(OR(#REF!="not",#REF!="resign",#REF!="resign",#REF!="end",#REF!="terminated",#REF!="permanent"),"TRUE","FALSE")</formula>
    </cfRule>
  </conditionalFormatting>
  <conditionalFormatting sqref="C26">
    <cfRule type="expression" dxfId="798" priority="32" stopIfTrue="1">
      <formula>IF(OR(#REF!="not",#REF!="resign",#REF!="resign",#REF!="end",#REF!="terminated",#REF!="permanent"),"TRUE","FALSE")</formula>
    </cfRule>
  </conditionalFormatting>
  <conditionalFormatting sqref="T118">
    <cfRule type="expression" dxfId="799" priority="33" stopIfTrue="1">
      <formula>NOT(ISERROR(SEARCH("warning",T118)))</formula>
    </cfRule>
  </conditionalFormatting>
  <conditionalFormatting sqref="T125">
    <cfRule type="expression" dxfId="800" priority="34" stopIfTrue="1">
      <formula>NOT(ISERROR(SEARCH("warning",T125)))</formula>
    </cfRule>
  </conditionalFormatting>
  <conditionalFormatting sqref="C125">
    <cfRule type="expression" dxfId="801" priority="35" stopIfTrue="1">
      <formula>IF(OR(#REF!="not",#REF!="resign",#REF!="resign",#REF!="end",#REF!="terminated",#REF!="permanent"),"TRUE","FALSE")</formula>
    </cfRule>
  </conditionalFormatting>
  <conditionalFormatting sqref="T40">
    <cfRule type="expression" dxfId="802" priority="36" stopIfTrue="1">
      <formula>NOT(ISERROR(SEARCH("warning",T40)))</formula>
    </cfRule>
  </conditionalFormatting>
  <hyperlinks>
    <hyperlink ref="AQ6" location="" display="hendrik.dwi.p@gmail.com"/>
    <hyperlink ref="AQ7" location="" display="nugrahals88@gmail.com"/>
    <hyperlink ref="AQ8" location="" display="dopiobara@gmail.com"/>
    <hyperlink ref="AQ70" location="" display="anggasyahputra91@gmail.com"/>
    <hyperlink ref="AQ71" location="" display="ansory_mahdi@yahoo.com"/>
    <hyperlink ref="AQ15" location="" display="aidilakbar614@gmail.com"/>
    <hyperlink ref="AQ16" location="" display="karlinadameris@gmail.com"/>
    <hyperlink ref="AQ72" location="" display="namianbeo@gmail.com"/>
    <hyperlink ref="AQ73" location="" display="taufikiskandar710@gmail.com"/>
    <hyperlink ref="AQ75" location="" display="buanamdp11@gmail.com"/>
    <hyperlink ref="AQ77" location="" display="edyrahman988@gmail.com"/>
    <hyperlink ref="AQ76" location="" display="galangokta1927@gmail.com"/>
    <hyperlink ref="AQ17" location="" display="iinbungaheyiinbunga@gmail.com"/>
    <hyperlink ref="AQ18" location="" display="mauri310809@gmail.com"/>
    <hyperlink ref="AQ19" location="" display="lailiya.y@gmail.com"/>
    <hyperlink ref="AQ20" location="" display="jenry.holland@gmail.com"/>
    <hyperlink ref="AQ21" location="" display="tatang.supriatna368@gmail.com"/>
    <hyperlink ref="AQ22" location="" display="taufik.andrian0484@gmail.com"/>
    <hyperlink ref="AQ23" location="" display="rusmawansyah707@gmail.com"/>
    <hyperlink ref="AQ80" location="" display="muzakirkasep@gmail.com"/>
    <hyperlink ref="AQ83" location="" display="djakwan@gmail.com"/>
    <hyperlink ref="AQ119" location="" display="dimastriaji57@yahoo.com"/>
    <hyperlink ref="AQ24" r:id="rId3" display="Ngurah2000@yahoo.com"/>
    <hyperlink ref="AQ84" location="" display="urip1102@gmail.com"/>
    <hyperlink ref="AQ88" location="" display="ekka.wardhana@gmail.com"/>
    <hyperlink ref="AQ89" location="" display="hansindra@gmail.com"/>
    <hyperlink ref="AQ94" location="" display="panjiwicaksanas@gmail.com"/>
    <hyperlink ref="AQ95" location="" display="yoyok.2.priyanto@gmail.com"/>
    <hyperlink ref="AQ96" location="" display="budi.wirahmi@yahoo.com"/>
    <hyperlink ref="AQ97" location="" display="reqamusttdiee@gmail.com"/>
    <hyperlink ref="AQ98" location="" display="ahmadzulfadli28@gmail.com"/>
    <hyperlink ref="AQ99" location="" display="Firdausrulliansyah@gmail.com"/>
    <hyperlink ref="AQ25" r:id="rId4" display="ahmadyani3469@gmail.com"/>
    <hyperlink ref="AQ100" location="" display="okyzaki16@gmail.com"/>
    <hyperlink ref="AQ101" location="" display="hengkysaputra18@gmail.com"/>
    <hyperlink ref="AQ102" location="" display="emhamzah@gmail.com"/>
    <hyperlink ref="AQ104" location="" display="erikmayer86@gmail.com"/>
    <hyperlink ref="AQ105" location="" display="daniel.yulistian.7055@gmail.com"/>
    <hyperlink ref="AQ106" location="" display="robinsonsilaban86@gmail.com"/>
    <hyperlink ref="AQ107" location="" display="komisidelapan26@gmail.com"/>
    <hyperlink ref="AQ108" location="" display="fjailni@gmail.com"/>
    <hyperlink ref="AQ109" location="" display="cadarw167@gmail.com"/>
    <hyperlink ref="AQ110" location="" display="riko8206@gmail.com"/>
    <hyperlink ref="AQ111" location="" display="rickyacob@yahoo.com"/>
    <hyperlink ref="AQ112" location="" display="mustofajuly@gmail.com"/>
    <hyperlink ref="AQ113" location="" display="pasitumeangroberto@gmail.com"/>
    <hyperlink ref="AQ114" location="" display="sri.oktafianii@gmail.com"/>
    <hyperlink ref="AQ115" location="" display="Ibenksaputra03@gmail.com"/>
    <hyperlink ref="AQ116" location="" display="melsy.aswandi@gmail.com"/>
    <hyperlink ref="AQ117" location="" display="jalisundanese79@gmail.com"/>
    <hyperlink ref="AQ27" r:id="rId5" display="syafrudin@gmail.com"/>
    <hyperlink ref="AQ28" r:id="rId6" display="ijunjunaidi65@gmail.com"/>
    <hyperlink ref="AQ121" r:id="rId7" display="backpacker_ajeed@yahoo.com"/>
    <hyperlink ref="AQ29" r:id="rId8" display="bonabonabonari@gmail.com"/>
    <hyperlink ref="AQ30" r:id="rId9" display="jeinevania54@gmail.com"/>
    <hyperlink ref="AQ31" r:id="rId10" display="egiandi48@gmail.com"/>
    <hyperlink ref="AQ32" r:id="rId11" display="sumastyatmo@gmail.com"/>
    <hyperlink ref="AQ33" r:id="rId12" display="Lanadoank46@gmail.com "/>
    <hyperlink ref="AQ35" r:id="rId13" display="nopisafari0@gmail.com"/>
    <hyperlink ref="AQ38" r:id="rId14" display="pasitumeangroberto@gmail.com"/>
    <hyperlink ref="AQ118" location="" display="zovink31@gmail.com"/>
    <hyperlink ref="AQ43" r:id="rId15" display="dahrulilmi30@gmail.com"/>
    <hyperlink ref="AQ44" r:id="rId16" display="aryn.arifin@gmail.com"/>
    <hyperlink ref="AQ45" r:id="rId17" display="danielgazali2016@gmail.com"/>
    <hyperlink ref="AQ49" r:id="rId18" display="muhammadparwin00@gmail.com"/>
    <hyperlink ref="AQ36" r:id="rId19" display="dito.gatot2007@gmail.com"/>
    <hyperlink ref="AQ41" r:id="rId20" display="tonilubis1992@gmail.com"/>
    <hyperlink ref="AQ42" r:id="rId21" display="ruben_jait@yahoo.com"/>
    <hyperlink ref="AQ47" r:id="rId22" display="azizpujo17@gmail.com"/>
    <hyperlink ref="AQ48" r:id="rId23" display="rudy.pangihutan@gmail.com"/>
    <hyperlink ref="AQ50" r:id="rId24" display="dedimantoo@gmail.com"/>
    <hyperlink ref="AQ126" r:id="rId25" display="ervanmuvianto@gmail.com"/>
    <hyperlink ref="AQ125" r:id="rId26" display="Firdausrulliansyah@gmail.com"/>
    <hyperlink ref="AQ40" r:id="rId27" display="mr.yoga.sanjaya@gmail.com"/>
    <hyperlink ref="AQ51" r:id="rId28" display="jana15verticalteam@gmail.com"/>
    <hyperlink ref="AQ54" r:id="rId29" display="Auliafernandes1980@gmail.com/aulia.fernandes@corphr-nokia.com"/>
    <hyperlink ref="AQ53" r:id="rId30" display="anakpantai772@gmail.com"/>
    <hyperlink ref="AQ55" r:id="rId31" display="ahmad.fachrulrozi@gmail.com"/>
    <hyperlink ref="AQ56" r:id="rId32" display="rioprahara85@gmail.com"/>
    <hyperlink ref="AQ57" r:id="rId33" display="satria0611@gmail.com"/>
  </hyperlinks>
  <pageMargins left="0.699305555555556" right="0.699305555555556" top="0.75" bottom="0.75" header="0.3" footer="0.3"/>
  <pageSetup paperSize="1"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pageSetUpPr fitToPage="1"/>
  </sheetPr>
  <dimension ref="A1:AK88"/>
  <sheetViews>
    <sheetView showGridLines="0" topLeftCell="A8" workbookViewId="0">
      <pane xSplit="3" ySplit="6" topLeftCell="G14" activePane="bottomRight" state="frozen"/>
      <selection/>
      <selection pane="topRight"/>
      <selection pane="bottomLeft"/>
      <selection pane="bottomRight" activeCell="AF14" sqref="AF14"/>
    </sheetView>
  </sheetViews>
  <sheetFormatPr defaultColWidth="9" defaultRowHeight="12.95" customHeight="1"/>
  <cols>
    <col min="1" max="1" width="5.425" style="94" customWidth="1"/>
    <col min="2" max="2" width="9.425" style="94" customWidth="1"/>
    <col min="3" max="3" width="14.5666666666667" style="94" customWidth="1"/>
    <col min="4" max="4" width="13.5666666666667" style="94" customWidth="1"/>
    <col min="5" max="5" width="4.425" style="94" customWidth="1"/>
    <col min="6" max="6" width="12.425" style="94" customWidth="1"/>
    <col min="7" max="8" width="10.1416666666667" style="94" customWidth="1"/>
    <col min="9" max="9" width="9.85833333333333" style="94" customWidth="1"/>
    <col min="10" max="11" width="9.14166666666667" style="94" customWidth="1"/>
    <col min="12" max="12" width="8.56666666666667" style="94" customWidth="1"/>
    <col min="13" max="13" width="9.14166666666667" style="94" customWidth="1"/>
    <col min="14" max="21" width="8.56666666666667" style="94" customWidth="1"/>
    <col min="22" max="22" width="8.85833333333333" style="94" customWidth="1"/>
    <col min="23" max="23" width="9.85833333333333" style="94" customWidth="1"/>
    <col min="24" max="24" width="12" style="94" customWidth="1"/>
    <col min="25" max="25" width="8.85833333333333" style="94" customWidth="1"/>
    <col min="26" max="26" width="23.7083333333333" style="94" customWidth="1"/>
    <col min="27" max="27" width="30.8583333333333" style="94" customWidth="1"/>
    <col min="28" max="28" width="13.1416666666667" style="94" customWidth="1"/>
    <col min="29" max="29" width="38.7083333333333" style="94" customWidth="1"/>
    <col min="30" max="30" width="19" style="94" customWidth="1"/>
    <col min="31" max="31" width="14.8583333333333" style="94" customWidth="1"/>
    <col min="32" max="32" width="19" style="94" customWidth="1"/>
    <col min="33" max="33" width="16" style="94" customWidth="1"/>
    <col min="34" max="34" width="15.425" style="94" customWidth="1"/>
    <col min="35" max="35" width="21.8583333333333" style="94" customWidth="1"/>
    <col min="36" max="36" width="27.425" style="94" customWidth="1"/>
    <col min="37" max="37" width="24.7083333333333" style="94" customWidth="1"/>
    <col min="38" max="38" width="10.5666666666667" style="94" customWidth="1"/>
    <col min="39" max="57" width="9.14166666666667" style="94"/>
    <col min="58" max="58" width="11.2833333333333" style="94" customWidth="1"/>
    <col min="59" max="60" width="9.14166666666667" style="94" customWidth="1"/>
    <col min="61" max="16384" width="9.14166666666667" style="94"/>
  </cols>
  <sheetData>
    <row r="1" s="91" customFormat="1" customHeight="1" spans="1:36">
      <c r="A1" s="96"/>
      <c r="B1" s="96"/>
      <c r="C1" s="96"/>
      <c r="D1" s="96"/>
      <c r="E1" s="96"/>
      <c r="AJ1" s="123" t="s">
        <v>11108</v>
      </c>
    </row>
    <row r="2" s="91" customFormat="1" customHeight="1" spans="1:36">
      <c r="A2" s="96"/>
      <c r="B2" s="96"/>
      <c r="C2" s="96"/>
      <c r="D2" s="96"/>
      <c r="E2" s="96"/>
      <c r="AJ2" s="123" t="s">
        <v>11109</v>
      </c>
    </row>
    <row r="3" s="91" customFormat="1" customHeight="1" spans="1:36">
      <c r="A3" s="96"/>
      <c r="B3" s="96"/>
      <c r="C3" s="96"/>
      <c r="D3" s="96"/>
      <c r="E3" s="96"/>
      <c r="AJ3" s="123" t="s">
        <v>11110</v>
      </c>
    </row>
    <row r="4" s="91" customFormat="1" customHeight="1" spans="1:36">
      <c r="A4" s="96"/>
      <c r="B4" s="96"/>
      <c r="C4" s="96"/>
      <c r="D4" s="96"/>
      <c r="E4" s="96"/>
      <c r="AJ4" s="123" t="s">
        <v>11111</v>
      </c>
    </row>
    <row r="5" s="91" customFormat="1" customHeight="1" spans="1:5">
      <c r="A5" s="96"/>
      <c r="B5" s="96"/>
      <c r="C5" s="96"/>
      <c r="D5" s="96"/>
      <c r="E5" s="96"/>
    </row>
    <row r="6" s="91" customFormat="1" customHeight="1" spans="1:5">
      <c r="A6" s="96"/>
      <c r="B6" s="96"/>
      <c r="C6" s="96"/>
      <c r="D6" s="96"/>
      <c r="E6" s="96"/>
    </row>
    <row r="7" s="91" customFormat="1" customHeight="1" spans="3:5">
      <c r="C7" s="96"/>
      <c r="D7" s="96"/>
      <c r="E7" s="96"/>
    </row>
    <row r="8" s="91" customFormat="1" customHeight="1" spans="1:34">
      <c r="A8" s="97" t="s">
        <v>7926</v>
      </c>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row>
    <row r="9" s="91" customFormat="1" customHeight="1" spans="1:34">
      <c r="A9" s="97" t="s">
        <v>11275</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row>
    <row r="10" s="91" customFormat="1" hidden="1" customHeight="1" spans="1:28">
      <c r="A10" s="97"/>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row>
    <row r="11" s="91" customFormat="1" hidden="1" customHeight="1" spans="3:5">
      <c r="C11" s="96"/>
      <c r="D11" s="96"/>
      <c r="E11" s="96"/>
    </row>
    <row r="12" s="91" customFormat="1" customHeight="1" spans="1:37">
      <c r="A12" s="98" t="s">
        <v>0</v>
      </c>
      <c r="B12" s="98" t="s">
        <v>1</v>
      </c>
      <c r="C12" s="98" t="s">
        <v>2</v>
      </c>
      <c r="D12" s="98" t="s">
        <v>3</v>
      </c>
      <c r="E12" s="98" t="s">
        <v>7929</v>
      </c>
      <c r="F12" s="98" t="s">
        <v>8</v>
      </c>
      <c r="G12" s="103" t="s">
        <v>9</v>
      </c>
      <c r="H12" s="103"/>
      <c r="I12" s="671" t="s">
        <v>10</v>
      </c>
      <c r="J12" s="674"/>
      <c r="K12" s="675"/>
      <c r="L12" s="103" t="s">
        <v>11</v>
      </c>
      <c r="M12" s="103"/>
      <c r="N12" s="676"/>
      <c r="O12" s="434" t="s">
        <v>4811</v>
      </c>
      <c r="P12" s="434"/>
      <c r="Q12" s="103" t="s">
        <v>13</v>
      </c>
      <c r="R12" s="103"/>
      <c r="S12" s="98"/>
      <c r="T12" s="434" t="s">
        <v>4811</v>
      </c>
      <c r="U12" s="434"/>
      <c r="V12" s="98" t="s">
        <v>14</v>
      </c>
      <c r="W12" s="103" t="s">
        <v>15</v>
      </c>
      <c r="X12" s="98" t="s">
        <v>16</v>
      </c>
      <c r="Y12" s="98" t="s">
        <v>11276</v>
      </c>
      <c r="Z12" s="98" t="s">
        <v>15</v>
      </c>
      <c r="AA12" s="98" t="s">
        <v>3509</v>
      </c>
      <c r="AB12" s="98" t="s">
        <v>3509</v>
      </c>
      <c r="AC12" s="117" t="s">
        <v>28</v>
      </c>
      <c r="AD12" s="118" t="s">
        <v>29</v>
      </c>
      <c r="AE12" s="118" t="s">
        <v>31</v>
      </c>
      <c r="AF12" s="118" t="s">
        <v>32</v>
      </c>
      <c r="AG12" s="118" t="s">
        <v>7934</v>
      </c>
      <c r="AH12" s="118" t="s">
        <v>34</v>
      </c>
      <c r="AI12" s="104" t="s">
        <v>30</v>
      </c>
      <c r="AJ12" s="124" t="s">
        <v>7936</v>
      </c>
      <c r="AK12" s="117" t="s">
        <v>36</v>
      </c>
    </row>
    <row r="13" s="91" customFormat="1" customHeight="1" spans="1:37">
      <c r="A13" s="99"/>
      <c r="B13" s="99"/>
      <c r="C13" s="99"/>
      <c r="D13" s="99"/>
      <c r="E13" s="99"/>
      <c r="F13" s="99"/>
      <c r="G13" s="103" t="s">
        <v>37</v>
      </c>
      <c r="H13" s="103" t="s">
        <v>38</v>
      </c>
      <c r="I13" s="98">
        <v>1</v>
      </c>
      <c r="J13" s="98">
        <v>2</v>
      </c>
      <c r="K13" s="98">
        <v>3</v>
      </c>
      <c r="L13" s="103" t="s">
        <v>37</v>
      </c>
      <c r="M13" s="103" t="s">
        <v>38</v>
      </c>
      <c r="N13" s="103"/>
      <c r="O13" s="677" t="s">
        <v>37</v>
      </c>
      <c r="P13" s="677" t="s">
        <v>38</v>
      </c>
      <c r="Q13" s="103" t="s">
        <v>37</v>
      </c>
      <c r="R13" s="103" t="s">
        <v>38</v>
      </c>
      <c r="S13" s="99">
        <v>1</v>
      </c>
      <c r="T13" s="677" t="s">
        <v>37</v>
      </c>
      <c r="U13" s="677" t="s">
        <v>38</v>
      </c>
      <c r="V13" s="99"/>
      <c r="W13" s="111"/>
      <c r="X13" s="99"/>
      <c r="Y13" s="99"/>
      <c r="Z13" s="115"/>
      <c r="AA13" s="115"/>
      <c r="AB13" s="115"/>
      <c r="AC13" s="119"/>
      <c r="AD13" s="120"/>
      <c r="AE13" s="120"/>
      <c r="AF13" s="120"/>
      <c r="AG13" s="120"/>
      <c r="AH13" s="120"/>
      <c r="AI13" s="125"/>
      <c r="AJ13" s="126"/>
      <c r="AK13" s="119"/>
    </row>
    <row r="14" s="93" customFormat="1" ht="21.75" spans="1:37">
      <c r="A14" s="1585" t="s">
        <v>39</v>
      </c>
      <c r="B14" s="100" t="s">
        <v>11277</v>
      </c>
      <c r="C14" s="101" t="s">
        <v>11278</v>
      </c>
      <c r="D14" s="102" t="s">
        <v>11279</v>
      </c>
      <c r="E14" s="102" t="s">
        <v>404</v>
      </c>
      <c r="F14" s="100" t="s">
        <v>1533</v>
      </c>
      <c r="G14" s="106">
        <v>42044</v>
      </c>
      <c r="H14" s="106">
        <v>42132</v>
      </c>
      <c r="I14" s="106">
        <v>42498</v>
      </c>
      <c r="J14" s="106">
        <v>42774</v>
      </c>
      <c r="K14" s="474"/>
      <c r="L14" s="106">
        <v>42775</v>
      </c>
      <c r="M14" s="106">
        <v>42863</v>
      </c>
      <c r="N14" s="106">
        <v>43139</v>
      </c>
      <c r="O14" s="106">
        <v>43140</v>
      </c>
      <c r="P14" s="106">
        <v>43167</v>
      </c>
      <c r="Q14" s="106">
        <v>43168</v>
      </c>
      <c r="R14" s="106">
        <v>43228</v>
      </c>
      <c r="S14" s="106">
        <v>43593</v>
      </c>
      <c r="T14" s="106"/>
      <c r="U14" s="106"/>
      <c r="V14" s="540">
        <f ca="1">SUM(S14-NOW())</f>
        <v>320.61546296296</v>
      </c>
      <c r="W14" s="100" t="str">
        <f ca="1" t="shared" ref="W14:W18" si="0">IF(V14&lt;=46,"WARNING","ACTIVE")</f>
        <v>ACTIVE</v>
      </c>
      <c r="X14" s="665">
        <v>3648036</v>
      </c>
      <c r="Y14" s="116"/>
      <c r="Z14" s="116" t="s">
        <v>11280</v>
      </c>
      <c r="AA14" s="207" t="s">
        <v>11281</v>
      </c>
      <c r="AB14" s="207" t="s">
        <v>11282</v>
      </c>
      <c r="AC14" s="121" t="s">
        <v>11283</v>
      </c>
      <c r="AD14" s="102" t="s">
        <v>11284</v>
      </c>
      <c r="AE14" s="122" t="s">
        <v>11285</v>
      </c>
      <c r="AF14" s="679" t="s">
        <v>11286</v>
      </c>
      <c r="AG14" s="122"/>
      <c r="AH14" s="673" t="s">
        <v>11287</v>
      </c>
      <c r="AI14" s="432" t="s">
        <v>11288</v>
      </c>
      <c r="AJ14" s="432"/>
      <c r="AK14" s="101"/>
    </row>
    <row r="15" s="93" customFormat="1" ht="31.5" spans="1:37">
      <c r="A15" s="1585" t="s">
        <v>56</v>
      </c>
      <c r="B15" s="100" t="s">
        <v>11289</v>
      </c>
      <c r="C15" s="101" t="s">
        <v>11290</v>
      </c>
      <c r="D15" s="102" t="s">
        <v>11291</v>
      </c>
      <c r="E15" s="102" t="s">
        <v>404</v>
      </c>
      <c r="F15" s="100" t="s">
        <v>1533</v>
      </c>
      <c r="G15" s="106">
        <v>42163</v>
      </c>
      <c r="H15" s="106">
        <v>42254</v>
      </c>
      <c r="I15" s="106">
        <v>42620</v>
      </c>
      <c r="J15" s="106">
        <v>42893</v>
      </c>
      <c r="K15" s="474"/>
      <c r="L15" s="106">
        <v>42894</v>
      </c>
      <c r="M15" s="106">
        <v>42985</v>
      </c>
      <c r="N15" s="106">
        <v>43258</v>
      </c>
      <c r="O15" s="106">
        <v>43259</v>
      </c>
      <c r="P15" s="106">
        <v>43288</v>
      </c>
      <c r="Q15" s="106">
        <v>43289</v>
      </c>
      <c r="R15" s="106">
        <v>43350</v>
      </c>
      <c r="S15" s="106"/>
      <c r="T15" s="106"/>
      <c r="U15" s="106"/>
      <c r="V15" s="540">
        <f ca="1">SUM(R15-NOW())</f>
        <v>77.61546296296</v>
      </c>
      <c r="W15" s="100" t="str">
        <f ca="1" t="shared" si="0"/>
        <v>ACTIVE</v>
      </c>
      <c r="X15" s="665">
        <v>3648036</v>
      </c>
      <c r="Y15" s="116"/>
      <c r="Z15" s="116" t="s">
        <v>11280</v>
      </c>
      <c r="AA15" s="207" t="s">
        <v>11281</v>
      </c>
      <c r="AB15" s="207" t="s">
        <v>11282</v>
      </c>
      <c r="AC15" s="121" t="s">
        <v>11292</v>
      </c>
      <c r="AD15" s="102" t="s">
        <v>11293</v>
      </c>
      <c r="AE15" s="122" t="s">
        <v>11294</v>
      </c>
      <c r="AF15" s="122"/>
      <c r="AG15" s="122"/>
      <c r="AH15" s="673" t="s">
        <v>11295</v>
      </c>
      <c r="AI15" s="432" t="s">
        <v>11296</v>
      </c>
      <c r="AJ15" s="149" t="s">
        <v>11297</v>
      </c>
      <c r="AK15" s="101"/>
    </row>
    <row r="16" s="93" customFormat="1" ht="30" customHeight="1" spans="1:37">
      <c r="A16" s="1585" t="s">
        <v>68</v>
      </c>
      <c r="B16" s="100" t="s">
        <v>11298</v>
      </c>
      <c r="C16" s="101" t="s">
        <v>11299</v>
      </c>
      <c r="D16" s="102" t="s">
        <v>11300</v>
      </c>
      <c r="E16" s="102" t="s">
        <v>60</v>
      </c>
      <c r="F16" s="100" t="s">
        <v>1533</v>
      </c>
      <c r="G16" s="106">
        <v>42751</v>
      </c>
      <c r="H16" s="106">
        <v>42931</v>
      </c>
      <c r="I16" s="106">
        <v>43115</v>
      </c>
      <c r="J16" s="106">
        <v>43296</v>
      </c>
      <c r="K16" s="106"/>
      <c r="L16" s="106"/>
      <c r="M16" s="106"/>
      <c r="N16" s="106"/>
      <c r="O16" s="106"/>
      <c r="P16" s="106"/>
      <c r="Q16" s="106"/>
      <c r="R16" s="106"/>
      <c r="S16" s="106"/>
      <c r="T16" s="106"/>
      <c r="U16" s="106"/>
      <c r="V16" s="540">
        <f ca="1">SUM(J16-NOW())</f>
        <v>23.61546296296</v>
      </c>
      <c r="W16" s="100" t="str">
        <f ca="1" t="shared" si="0"/>
        <v>WARNING</v>
      </c>
      <c r="X16" s="665">
        <v>3648036</v>
      </c>
      <c r="Y16" s="116"/>
      <c r="Z16" s="116" t="s">
        <v>11301</v>
      </c>
      <c r="AA16" s="207" t="s">
        <v>11281</v>
      </c>
      <c r="AB16" s="116" t="s">
        <v>11282</v>
      </c>
      <c r="AC16" s="121" t="s">
        <v>11302</v>
      </c>
      <c r="AD16" s="102" t="s">
        <v>11303</v>
      </c>
      <c r="AE16" s="1579" t="s">
        <v>11304</v>
      </c>
      <c r="AF16" s="122" t="s">
        <v>11305</v>
      </c>
      <c r="AG16" s="122" t="s">
        <v>11306</v>
      </c>
      <c r="AH16" s="432"/>
      <c r="AI16" s="432" t="s">
        <v>11307</v>
      </c>
      <c r="AJ16" s="308" t="s">
        <v>11308</v>
      </c>
      <c r="AK16" s="101"/>
    </row>
    <row r="17" s="92" customFormat="1" ht="15.95" customHeight="1" spans="1:37">
      <c r="A17" s="1585" t="s">
        <v>78</v>
      </c>
      <c r="B17" s="100" t="s">
        <v>11309</v>
      </c>
      <c r="C17" s="101" t="s">
        <v>11310</v>
      </c>
      <c r="D17" s="102" t="s">
        <v>11311</v>
      </c>
      <c r="E17" s="102" t="s">
        <v>254</v>
      </c>
      <c r="F17" s="100" t="s">
        <v>11312</v>
      </c>
      <c r="G17" s="106">
        <v>42872</v>
      </c>
      <c r="H17" s="106">
        <v>43055</v>
      </c>
      <c r="I17" s="106">
        <v>43236</v>
      </c>
      <c r="J17" s="106">
        <v>43601</v>
      </c>
      <c r="K17" s="106" t="s">
        <v>583</v>
      </c>
      <c r="L17" s="106" t="s">
        <v>583</v>
      </c>
      <c r="M17" s="106"/>
      <c r="N17" s="106"/>
      <c r="O17" s="106"/>
      <c r="P17" s="106"/>
      <c r="Q17" s="106"/>
      <c r="R17" s="106"/>
      <c r="S17" s="106"/>
      <c r="T17" s="106"/>
      <c r="U17" s="106"/>
      <c r="V17" s="540">
        <f ca="1">SUM(J17-NOW())</f>
        <v>328.61546296296</v>
      </c>
      <c r="W17" s="100" t="str">
        <f ca="1" t="shared" si="0"/>
        <v>ACTIVE</v>
      </c>
      <c r="X17" s="665">
        <v>3648036</v>
      </c>
      <c r="Y17" s="116"/>
      <c r="Z17" s="116" t="s">
        <v>11301</v>
      </c>
      <c r="AA17" s="207"/>
      <c r="AB17" s="116" t="s">
        <v>11282</v>
      </c>
      <c r="AC17" s="121" t="s">
        <v>11313</v>
      </c>
      <c r="AD17" s="1596" t="s">
        <v>11314</v>
      </c>
      <c r="AE17" s="1579" t="s">
        <v>11315</v>
      </c>
      <c r="AF17" s="122" t="s">
        <v>11316</v>
      </c>
      <c r="AG17" s="122"/>
      <c r="AH17" s="1577" t="s">
        <v>11317</v>
      </c>
      <c r="AI17" s="432" t="s">
        <v>11318</v>
      </c>
      <c r="AJ17" s="154"/>
      <c r="AK17" s="101"/>
    </row>
    <row r="18" s="92" customFormat="1" ht="15.95" customHeight="1" spans="1:37">
      <c r="A18" s="1585" t="s">
        <v>92</v>
      </c>
      <c r="B18" s="100" t="s">
        <v>11319</v>
      </c>
      <c r="C18" s="101" t="s">
        <v>11320</v>
      </c>
      <c r="D18" s="102" t="s">
        <v>11321</v>
      </c>
      <c r="E18" s="102" t="s">
        <v>254</v>
      </c>
      <c r="F18" s="100" t="s">
        <v>1533</v>
      </c>
      <c r="G18" s="106">
        <v>42857</v>
      </c>
      <c r="H18" s="106">
        <v>43040</v>
      </c>
      <c r="I18" s="106">
        <v>43405</v>
      </c>
      <c r="J18" s="106"/>
      <c r="K18" s="106" t="s">
        <v>583</v>
      </c>
      <c r="L18" s="106" t="s">
        <v>583</v>
      </c>
      <c r="M18" s="106"/>
      <c r="N18" s="106"/>
      <c r="O18" s="106"/>
      <c r="P18" s="106"/>
      <c r="Q18" s="106"/>
      <c r="R18" s="106"/>
      <c r="S18" s="106"/>
      <c r="T18" s="106"/>
      <c r="U18" s="106"/>
      <c r="V18" s="540">
        <f ca="1">SUM(I18-NOW())</f>
        <v>132.61546296296</v>
      </c>
      <c r="W18" s="100" t="str">
        <f ca="1" t="shared" si="0"/>
        <v>ACTIVE</v>
      </c>
      <c r="X18" s="665">
        <v>3648036</v>
      </c>
      <c r="Y18" s="116"/>
      <c r="Z18" s="116" t="s">
        <v>11301</v>
      </c>
      <c r="AA18" s="116"/>
      <c r="AB18" s="116" t="s">
        <v>11282</v>
      </c>
      <c r="AC18" s="121" t="s">
        <v>11322</v>
      </c>
      <c r="AD18" s="1596" t="s">
        <v>11323</v>
      </c>
      <c r="AE18" s="1597" t="s">
        <v>11324</v>
      </c>
      <c r="AF18" s="16"/>
      <c r="AG18" s="122">
        <v>14041522807</v>
      </c>
      <c r="AH18" s="65" t="s">
        <v>11325</v>
      </c>
      <c r="AI18" s="65" t="s">
        <v>11326</v>
      </c>
      <c r="AJ18" s="154" t="s">
        <v>11327</v>
      </c>
      <c r="AK18" s="101"/>
    </row>
    <row r="19" s="459" customFormat="1" customHeight="1"/>
    <row r="20" s="93" customFormat="1" customHeight="1" spans="30:36">
      <c r="AD20" s="570"/>
      <c r="AE20" s="570"/>
      <c r="AF20" s="570"/>
      <c r="AG20" s="570"/>
      <c r="AH20" s="570"/>
      <c r="AI20" s="570"/>
      <c r="AJ20" s="570"/>
    </row>
    <row r="21" s="93" customFormat="1" customHeight="1" spans="30:36">
      <c r="AD21" s="570"/>
      <c r="AE21" s="570"/>
      <c r="AF21" s="570"/>
      <c r="AG21" s="570"/>
      <c r="AH21" s="570"/>
      <c r="AI21" s="570"/>
      <c r="AJ21" s="570"/>
    </row>
    <row r="22" s="93" customFormat="1" customHeight="1" spans="30:36">
      <c r="AD22" s="570"/>
      <c r="AE22" s="570"/>
      <c r="AF22" s="570"/>
      <c r="AG22" s="570"/>
      <c r="AH22" s="570"/>
      <c r="AI22" s="570"/>
      <c r="AJ22" s="570"/>
    </row>
    <row r="23" s="93" customFormat="1" customHeight="1" spans="30:36">
      <c r="AD23" s="570"/>
      <c r="AE23" s="570"/>
      <c r="AF23" s="570"/>
      <c r="AG23" s="570"/>
      <c r="AH23" s="570"/>
      <c r="AI23" s="570"/>
      <c r="AJ23" s="570"/>
    </row>
    <row r="24" s="93" customFormat="1" customHeight="1" spans="30:36">
      <c r="AD24" s="570"/>
      <c r="AE24" s="570"/>
      <c r="AF24" s="570"/>
      <c r="AG24" s="570"/>
      <c r="AH24" s="570"/>
      <c r="AI24" s="570"/>
      <c r="AJ24" s="570"/>
    </row>
    <row r="25" s="93" customFormat="1" customHeight="1" spans="1:37">
      <c r="A25" s="464" t="s">
        <v>2552</v>
      </c>
      <c r="B25" s="465"/>
      <c r="C25" s="565"/>
      <c r="D25" s="527"/>
      <c r="E25" s="527"/>
      <c r="F25" s="521"/>
      <c r="G25" s="533"/>
      <c r="H25" s="533"/>
      <c r="I25" s="529"/>
      <c r="J25" s="533"/>
      <c r="K25" s="533"/>
      <c r="L25" s="533"/>
      <c r="M25" s="533"/>
      <c r="N25" s="533"/>
      <c r="O25" s="533"/>
      <c r="P25" s="533"/>
      <c r="Q25" s="533"/>
      <c r="R25" s="533"/>
      <c r="S25" s="533"/>
      <c r="T25" s="533"/>
      <c r="U25" s="533"/>
      <c r="V25" s="546"/>
      <c r="W25" s="521"/>
      <c r="X25" s="616"/>
      <c r="Y25" s="545"/>
      <c r="Z25" s="545"/>
      <c r="AA25" s="545"/>
      <c r="AB25" s="545"/>
      <c r="AC25" s="530"/>
      <c r="AD25" s="547"/>
      <c r="AE25" s="547"/>
      <c r="AF25" s="547"/>
      <c r="AG25" s="547"/>
      <c r="AH25" s="547"/>
      <c r="AI25" s="547"/>
      <c r="AJ25" s="547"/>
      <c r="AK25" s="565"/>
    </row>
    <row r="26" s="93" customFormat="1" customHeight="1" spans="1:37">
      <c r="A26" s="161">
        <f t="shared" ref="A26:A33" si="1">ROW()-13</f>
        <v>13</v>
      </c>
      <c r="B26" s="162" t="s">
        <v>11328</v>
      </c>
      <c r="C26" s="163" t="s">
        <v>11329</v>
      </c>
      <c r="D26" s="187" t="s">
        <v>11330</v>
      </c>
      <c r="E26" s="173" t="s">
        <v>60</v>
      </c>
      <c r="F26" s="161" t="s">
        <v>1533</v>
      </c>
      <c r="G26" s="175">
        <v>41640</v>
      </c>
      <c r="H26" s="182">
        <v>41820</v>
      </c>
      <c r="I26" s="175">
        <v>42185</v>
      </c>
      <c r="J26" s="175">
        <v>42369</v>
      </c>
      <c r="K26" s="175"/>
      <c r="L26" s="175">
        <v>42370</v>
      </c>
      <c r="M26" s="175">
        <v>42551</v>
      </c>
      <c r="N26" s="175">
        <v>42735</v>
      </c>
      <c r="O26" s="175"/>
      <c r="P26" s="175"/>
      <c r="Q26" s="175"/>
      <c r="R26" s="175"/>
      <c r="S26" s="175"/>
      <c r="T26" s="175"/>
      <c r="U26" s="175"/>
      <c r="V26" s="542">
        <f ca="1">SUM(N26-NOW())</f>
        <v>-537.38453703704</v>
      </c>
      <c r="W26" s="161" t="str">
        <f ca="1" t="shared" ref="W26:W34" si="2">IF(V26&lt;=46,"WARNING","ACTIVE")</f>
        <v>WARNING</v>
      </c>
      <c r="X26" s="678">
        <v>3100000</v>
      </c>
      <c r="Y26" s="181"/>
      <c r="Z26" s="181" t="s">
        <v>11331</v>
      </c>
      <c r="AA26" s="181" t="s">
        <v>11281</v>
      </c>
      <c r="AB26" s="181" t="s">
        <v>11332</v>
      </c>
      <c r="AC26" s="173" t="s">
        <v>11333</v>
      </c>
      <c r="AD26" s="173" t="s">
        <v>11334</v>
      </c>
      <c r="AE26" s="600"/>
      <c r="AF26" s="600"/>
      <c r="AG26" s="600"/>
      <c r="AH26" s="680" t="s">
        <v>11335</v>
      </c>
      <c r="AI26" s="235" t="s">
        <v>11336</v>
      </c>
      <c r="AJ26" s="180"/>
      <c r="AK26" s="163" t="s">
        <v>11337</v>
      </c>
    </row>
    <row r="27" s="93" customFormat="1" customHeight="1" spans="1:37">
      <c r="A27" s="161">
        <f t="shared" si="1"/>
        <v>14</v>
      </c>
      <c r="B27" s="161" t="s">
        <v>11338</v>
      </c>
      <c r="C27" s="163" t="s">
        <v>11339</v>
      </c>
      <c r="D27" s="173" t="s">
        <v>11340</v>
      </c>
      <c r="E27" s="173" t="s">
        <v>44</v>
      </c>
      <c r="F27" s="161" t="s">
        <v>11341</v>
      </c>
      <c r="G27" s="175">
        <v>42255</v>
      </c>
      <c r="H27" s="175">
        <v>42346</v>
      </c>
      <c r="I27" s="175">
        <v>42712</v>
      </c>
      <c r="J27" s="175" t="s">
        <v>583</v>
      </c>
      <c r="K27" s="472"/>
      <c r="L27" s="175" t="s">
        <v>583</v>
      </c>
      <c r="M27" s="175"/>
      <c r="N27" s="175"/>
      <c r="O27" s="175"/>
      <c r="P27" s="175"/>
      <c r="Q27" s="175"/>
      <c r="R27" s="175"/>
      <c r="S27" s="175"/>
      <c r="T27" s="175"/>
      <c r="U27" s="175"/>
      <c r="V27" s="542">
        <f ca="1">SUM(I27-NOW())</f>
        <v>-560.38453703704</v>
      </c>
      <c r="W27" s="161" t="str">
        <f ca="1" t="shared" si="2"/>
        <v>WARNING</v>
      </c>
      <c r="X27" s="678">
        <v>3100000</v>
      </c>
      <c r="Y27" s="179"/>
      <c r="Z27" s="179"/>
      <c r="AA27" s="181" t="s">
        <v>11281</v>
      </c>
      <c r="AB27" s="181" t="s">
        <v>11282</v>
      </c>
      <c r="AC27" s="187" t="s">
        <v>11342</v>
      </c>
      <c r="AD27" s="173" t="s">
        <v>11343</v>
      </c>
      <c r="AE27" s="224" t="s">
        <v>11344</v>
      </c>
      <c r="AF27" s="224" t="s">
        <v>11345</v>
      </c>
      <c r="AG27" s="224"/>
      <c r="AH27" s="680" t="s">
        <v>11346</v>
      </c>
      <c r="AI27" s="180" t="s">
        <v>11347</v>
      </c>
      <c r="AJ27" s="180"/>
      <c r="AK27" s="163" t="s">
        <v>11348</v>
      </c>
    </row>
    <row r="28" s="93" customFormat="1" customHeight="1" spans="1:37">
      <c r="A28" s="161">
        <f t="shared" si="1"/>
        <v>15</v>
      </c>
      <c r="B28" s="161" t="s">
        <v>11349</v>
      </c>
      <c r="C28" s="163" t="s">
        <v>11350</v>
      </c>
      <c r="D28" s="173" t="s">
        <v>11351</v>
      </c>
      <c r="E28" s="173" t="s">
        <v>254</v>
      </c>
      <c r="F28" s="161" t="s">
        <v>1533</v>
      </c>
      <c r="G28" s="175">
        <v>42327</v>
      </c>
      <c r="H28" s="175">
        <v>42387</v>
      </c>
      <c r="I28" s="175">
        <v>42753</v>
      </c>
      <c r="J28" s="175"/>
      <c r="K28" s="175" t="s">
        <v>583</v>
      </c>
      <c r="L28" s="175" t="s">
        <v>583</v>
      </c>
      <c r="M28" s="175"/>
      <c r="N28" s="175"/>
      <c r="O28" s="175"/>
      <c r="P28" s="175"/>
      <c r="Q28" s="175"/>
      <c r="R28" s="175"/>
      <c r="S28" s="175"/>
      <c r="T28" s="175"/>
      <c r="U28" s="175"/>
      <c r="V28" s="542">
        <f ca="1">SUM(I28-NOW())</f>
        <v>-519.38453703704</v>
      </c>
      <c r="W28" s="161" t="str">
        <f ca="1" t="shared" si="2"/>
        <v>WARNING</v>
      </c>
      <c r="X28" s="678">
        <v>3355750</v>
      </c>
      <c r="Y28" s="179"/>
      <c r="Z28" s="179" t="s">
        <v>11352</v>
      </c>
      <c r="AA28" s="181" t="s">
        <v>11281</v>
      </c>
      <c r="AB28" s="181" t="s">
        <v>11282</v>
      </c>
      <c r="AC28" s="187" t="s">
        <v>11353</v>
      </c>
      <c r="AD28" s="173" t="s">
        <v>11354</v>
      </c>
      <c r="AE28" s="224" t="s">
        <v>11355</v>
      </c>
      <c r="AF28" s="224"/>
      <c r="AG28" s="224"/>
      <c r="AH28" s="1594" t="s">
        <v>11356</v>
      </c>
      <c r="AI28" s="180" t="s">
        <v>11357</v>
      </c>
      <c r="AJ28" s="180"/>
      <c r="AK28" s="163" t="s">
        <v>11358</v>
      </c>
    </row>
    <row r="29" s="93" customFormat="1" customHeight="1" spans="1:37">
      <c r="A29" s="161">
        <f t="shared" si="1"/>
        <v>16</v>
      </c>
      <c r="B29" s="161" t="s">
        <v>11359</v>
      </c>
      <c r="C29" s="163" t="s">
        <v>5590</v>
      </c>
      <c r="D29" s="173" t="s">
        <v>11360</v>
      </c>
      <c r="E29" s="173" t="s">
        <v>44</v>
      </c>
      <c r="F29" s="161" t="s">
        <v>2823</v>
      </c>
      <c r="G29" s="175">
        <v>42674</v>
      </c>
      <c r="H29" s="175">
        <v>43038</v>
      </c>
      <c r="I29" s="175"/>
      <c r="J29" s="175"/>
      <c r="K29" s="175"/>
      <c r="L29" s="175"/>
      <c r="M29" s="175"/>
      <c r="N29" s="175"/>
      <c r="O29" s="175"/>
      <c r="P29" s="175"/>
      <c r="Q29" s="175"/>
      <c r="R29" s="175"/>
      <c r="S29" s="175"/>
      <c r="T29" s="175"/>
      <c r="U29" s="175"/>
      <c r="V29" s="542">
        <f ca="1" t="shared" ref="V29:V31" si="3">SUM(H29-NOW())</f>
        <v>-234.38453703704</v>
      </c>
      <c r="W29" s="161" t="str">
        <f ca="1" t="shared" si="2"/>
        <v>WARNING</v>
      </c>
      <c r="X29" s="678">
        <v>3355750</v>
      </c>
      <c r="Y29" s="179"/>
      <c r="Z29" s="179" t="s">
        <v>11352</v>
      </c>
      <c r="AA29" s="181" t="s">
        <v>11361</v>
      </c>
      <c r="AB29" s="181" t="s">
        <v>11282</v>
      </c>
      <c r="AC29" s="187" t="s">
        <v>11362</v>
      </c>
      <c r="AD29" s="173" t="s">
        <v>11363</v>
      </c>
      <c r="AE29" s="224" t="s">
        <v>11364</v>
      </c>
      <c r="AF29" s="224" t="s">
        <v>11365</v>
      </c>
      <c r="AG29" s="224"/>
      <c r="AH29" s="180"/>
      <c r="AI29" s="180" t="s">
        <v>11366</v>
      </c>
      <c r="AJ29" s="180" t="s">
        <v>11367</v>
      </c>
      <c r="AK29" s="163" t="s">
        <v>11368</v>
      </c>
    </row>
    <row r="30" s="93" customFormat="1" customHeight="1" spans="1:37">
      <c r="A30" s="100">
        <f t="shared" si="1"/>
        <v>17</v>
      </c>
      <c r="B30" s="161"/>
      <c r="C30" s="163" t="s">
        <v>11369</v>
      </c>
      <c r="D30" s="173" t="s">
        <v>11370</v>
      </c>
      <c r="E30" s="173"/>
      <c r="F30" s="161" t="s">
        <v>2823</v>
      </c>
      <c r="G30" s="175">
        <v>42767</v>
      </c>
      <c r="H30" s="175">
        <v>42947</v>
      </c>
      <c r="I30" s="175"/>
      <c r="J30" s="175"/>
      <c r="K30" s="175"/>
      <c r="L30" s="175"/>
      <c r="M30" s="175"/>
      <c r="N30" s="175"/>
      <c r="O30" s="175"/>
      <c r="P30" s="175"/>
      <c r="Q30" s="175"/>
      <c r="R30" s="175"/>
      <c r="S30" s="175"/>
      <c r="T30" s="175"/>
      <c r="U30" s="175"/>
      <c r="V30" s="542">
        <f ca="1" t="shared" si="3"/>
        <v>-325.38453703704</v>
      </c>
      <c r="W30" s="161" t="str">
        <f ca="1" t="shared" si="2"/>
        <v>WARNING</v>
      </c>
      <c r="X30" s="591">
        <v>3355750</v>
      </c>
      <c r="Y30" s="179" t="s">
        <v>583</v>
      </c>
      <c r="Z30" s="179" t="s">
        <v>583</v>
      </c>
      <c r="AA30" s="181" t="s">
        <v>11281</v>
      </c>
      <c r="AB30" s="179" t="s">
        <v>11282</v>
      </c>
      <c r="AC30" s="187" t="s">
        <v>11371</v>
      </c>
      <c r="AD30" s="224" t="s">
        <v>11372</v>
      </c>
      <c r="AE30" s="224"/>
      <c r="AF30" s="224"/>
      <c r="AG30" s="224"/>
      <c r="AH30" s="180"/>
      <c r="AI30" s="180" t="s">
        <v>11373</v>
      </c>
      <c r="AJ30" s="86"/>
      <c r="AK30" s="163" t="s">
        <v>11374</v>
      </c>
    </row>
    <row r="31" s="93" customFormat="1" customHeight="1" spans="1:37">
      <c r="A31" s="161">
        <f t="shared" si="1"/>
        <v>18</v>
      </c>
      <c r="B31" s="161"/>
      <c r="C31" s="163" t="s">
        <v>11375</v>
      </c>
      <c r="D31" s="173" t="s">
        <v>11376</v>
      </c>
      <c r="E31" s="173" t="s">
        <v>44</v>
      </c>
      <c r="F31" s="161" t="s">
        <v>11312</v>
      </c>
      <c r="G31" s="175" t="s">
        <v>11377</v>
      </c>
      <c r="H31" s="175">
        <v>42985</v>
      </c>
      <c r="I31" s="175"/>
      <c r="J31" s="175"/>
      <c r="K31" s="175"/>
      <c r="L31" s="175"/>
      <c r="M31" s="175"/>
      <c r="N31" s="175"/>
      <c r="O31" s="175"/>
      <c r="P31" s="175"/>
      <c r="Q31" s="175"/>
      <c r="R31" s="175"/>
      <c r="S31" s="175"/>
      <c r="T31" s="175"/>
      <c r="U31" s="175"/>
      <c r="V31" s="542">
        <f ca="1" t="shared" si="3"/>
        <v>-287.38453703704</v>
      </c>
      <c r="W31" s="161" t="str">
        <f ca="1" t="shared" si="2"/>
        <v>WARNING</v>
      </c>
      <c r="X31" s="591">
        <v>3355750</v>
      </c>
      <c r="Y31" s="179" t="s">
        <v>583</v>
      </c>
      <c r="Z31" s="179" t="s">
        <v>583</v>
      </c>
      <c r="AA31" s="181" t="s">
        <v>11281</v>
      </c>
      <c r="AB31" s="179" t="s">
        <v>11282</v>
      </c>
      <c r="AC31" s="187" t="s">
        <v>11378</v>
      </c>
      <c r="AD31" s="224"/>
      <c r="AE31" s="224" t="s">
        <v>11379</v>
      </c>
      <c r="AF31" s="224"/>
      <c r="AG31" s="224"/>
      <c r="AH31" s="180"/>
      <c r="AI31" s="180"/>
      <c r="AJ31" s="86"/>
      <c r="AK31" s="163" t="s">
        <v>11380</v>
      </c>
    </row>
    <row r="32" s="93" customFormat="1" customHeight="1" spans="1:37">
      <c r="A32" s="161">
        <f t="shared" si="1"/>
        <v>19</v>
      </c>
      <c r="B32" s="162" t="s">
        <v>11381</v>
      </c>
      <c r="C32" s="163" t="s">
        <v>11382</v>
      </c>
      <c r="D32" s="187" t="s">
        <v>11383</v>
      </c>
      <c r="E32" s="173" t="s">
        <v>254</v>
      </c>
      <c r="F32" s="161" t="s">
        <v>1533</v>
      </c>
      <c r="G32" s="175">
        <v>41624</v>
      </c>
      <c r="H32" s="182">
        <v>41713</v>
      </c>
      <c r="I32" s="175">
        <v>42078</v>
      </c>
      <c r="J32" s="175">
        <v>42444</v>
      </c>
      <c r="K32" s="472"/>
      <c r="L32" s="175">
        <v>42445</v>
      </c>
      <c r="M32" s="175">
        <v>42809</v>
      </c>
      <c r="N32" s="182">
        <v>42719</v>
      </c>
      <c r="O32" s="182">
        <v>42720</v>
      </c>
      <c r="P32" s="182">
        <v>42750</v>
      </c>
      <c r="Q32" s="182">
        <v>42751</v>
      </c>
      <c r="R32" s="182">
        <v>42809</v>
      </c>
      <c r="S32" s="182"/>
      <c r="T32" s="182"/>
      <c r="U32" s="182"/>
      <c r="V32" s="542">
        <f ca="1">SUM(R32-NOW())</f>
        <v>-463.38453703704</v>
      </c>
      <c r="W32" s="161" t="str">
        <f ca="1" t="shared" si="2"/>
        <v>WARNING</v>
      </c>
      <c r="X32" s="678">
        <v>3355750</v>
      </c>
      <c r="Y32" s="181"/>
      <c r="Z32" s="181" t="s">
        <v>11384</v>
      </c>
      <c r="AA32" s="181" t="s">
        <v>11281</v>
      </c>
      <c r="AB32" s="181" t="s">
        <v>11332</v>
      </c>
      <c r="AC32" s="173" t="s">
        <v>11385</v>
      </c>
      <c r="AD32" s="173" t="s">
        <v>11386</v>
      </c>
      <c r="AE32" s="1598" t="s">
        <v>11387</v>
      </c>
      <c r="AF32" s="224" t="s">
        <v>11388</v>
      </c>
      <c r="AG32" s="600"/>
      <c r="AH32" s="680" t="s">
        <v>11389</v>
      </c>
      <c r="AI32" s="235" t="s">
        <v>11390</v>
      </c>
      <c r="AJ32" s="368" t="s">
        <v>11391</v>
      </c>
      <c r="AK32" s="163" t="s">
        <v>11392</v>
      </c>
    </row>
    <row r="33" s="93" customFormat="1" customHeight="1" spans="1:37">
      <c r="A33" s="161">
        <f t="shared" si="1"/>
        <v>20</v>
      </c>
      <c r="B33" s="161" t="s">
        <v>11393</v>
      </c>
      <c r="C33" s="163" t="s">
        <v>11394</v>
      </c>
      <c r="D33" s="173" t="s">
        <v>11395</v>
      </c>
      <c r="E33" s="173" t="s">
        <v>11119</v>
      </c>
      <c r="F33" s="161" t="s">
        <v>1533</v>
      </c>
      <c r="G33" s="175">
        <v>41928</v>
      </c>
      <c r="H33" s="175">
        <v>42019</v>
      </c>
      <c r="I33" s="175">
        <v>42384</v>
      </c>
      <c r="J33" s="175">
        <v>42658</v>
      </c>
      <c r="K33" s="472"/>
      <c r="L33" s="175">
        <v>42659</v>
      </c>
      <c r="M33" s="175">
        <v>42750</v>
      </c>
      <c r="N33" s="175">
        <v>43023</v>
      </c>
      <c r="O33" s="175">
        <v>43024</v>
      </c>
      <c r="P33" s="175">
        <v>43054</v>
      </c>
      <c r="Q33" s="175">
        <v>43055</v>
      </c>
      <c r="R33" s="175">
        <v>43115</v>
      </c>
      <c r="S33" s="175"/>
      <c r="T33" s="175"/>
      <c r="U33" s="175"/>
      <c r="V33" s="542">
        <f ca="1">SUM(R33-NOW())</f>
        <v>-157.38453703704</v>
      </c>
      <c r="W33" s="161" t="str">
        <f ca="1" t="shared" si="2"/>
        <v>WARNING</v>
      </c>
      <c r="X33" s="678">
        <v>3355750</v>
      </c>
      <c r="Y33" s="179"/>
      <c r="Z33" s="181" t="s">
        <v>11384</v>
      </c>
      <c r="AA33" s="181" t="s">
        <v>11281</v>
      </c>
      <c r="AB33" s="181" t="s">
        <v>11282</v>
      </c>
      <c r="AC33" s="187" t="s">
        <v>11396</v>
      </c>
      <c r="AD33" s="173" t="s">
        <v>11397</v>
      </c>
      <c r="AE33" s="224" t="s">
        <v>11398</v>
      </c>
      <c r="AF33" s="224"/>
      <c r="AG33" s="224" t="s">
        <v>11399</v>
      </c>
      <c r="AH33" s="680" t="s">
        <v>11400</v>
      </c>
      <c r="AI33" s="180" t="s">
        <v>11401</v>
      </c>
      <c r="AJ33" s="180"/>
      <c r="AK33" s="163" t="s">
        <v>11402</v>
      </c>
    </row>
    <row r="34" s="93" customFormat="1" customHeight="1" spans="1:37">
      <c r="A34" s="1590" t="s">
        <v>107</v>
      </c>
      <c r="B34" s="161" t="s">
        <v>11403</v>
      </c>
      <c r="C34" s="163" t="s">
        <v>11404</v>
      </c>
      <c r="D34" s="173" t="s">
        <v>11405</v>
      </c>
      <c r="E34" s="173" t="s">
        <v>11406</v>
      </c>
      <c r="F34" s="161" t="s">
        <v>1533</v>
      </c>
      <c r="G34" s="175">
        <v>42954</v>
      </c>
      <c r="H34" s="175">
        <v>43106</v>
      </c>
      <c r="I34" s="175"/>
      <c r="J34" s="175"/>
      <c r="K34" s="175"/>
      <c r="L34" s="175"/>
      <c r="M34" s="175"/>
      <c r="N34" s="175"/>
      <c r="O34" s="175"/>
      <c r="P34" s="175"/>
      <c r="Q34" s="175"/>
      <c r="R34" s="175"/>
      <c r="S34" s="175"/>
      <c r="T34" s="175"/>
      <c r="U34" s="175"/>
      <c r="V34" s="542">
        <f ca="1">SUM(H34-NOW())</f>
        <v>-166.38453703704</v>
      </c>
      <c r="W34" s="161" t="str">
        <f ca="1" t="shared" si="2"/>
        <v>WARNING</v>
      </c>
      <c r="X34" s="665">
        <v>3648036</v>
      </c>
      <c r="Y34" s="179"/>
      <c r="Z34" s="116" t="s">
        <v>11301</v>
      </c>
      <c r="AA34" s="179"/>
      <c r="AB34" s="179"/>
      <c r="AC34" s="187" t="s">
        <v>11407</v>
      </c>
      <c r="AD34" s="1581" t="s">
        <v>11408</v>
      </c>
      <c r="AE34" s="1599" t="s">
        <v>11409</v>
      </c>
      <c r="AF34" s="83" t="s">
        <v>11410</v>
      </c>
      <c r="AG34" s="224"/>
      <c r="AH34" s="83" t="s">
        <v>11411</v>
      </c>
      <c r="AI34" s="83" t="s">
        <v>11412</v>
      </c>
      <c r="AJ34" s="229"/>
      <c r="AK34" s="163" t="s">
        <v>11413</v>
      </c>
    </row>
    <row r="35" s="93" customFormat="1" customHeight="1"/>
    <row r="36" s="93" customFormat="1" customHeight="1"/>
    <row r="37" s="93" customFormat="1" customHeight="1"/>
    <row r="38" s="93" customFormat="1" customHeight="1"/>
    <row r="39" s="93" customFormat="1" customHeight="1"/>
    <row r="40" s="93" customFormat="1" customHeight="1"/>
    <row r="41" s="93" customFormat="1" customHeight="1"/>
    <row r="42" s="93" customFormat="1" customHeight="1"/>
    <row r="43" s="93" customFormat="1" customHeight="1"/>
    <row r="44" s="93" customFormat="1" customHeight="1"/>
    <row r="45" s="93" customFormat="1" customHeight="1"/>
    <row r="46" s="93" customFormat="1" customHeight="1"/>
    <row r="47" s="93" customFormat="1" customHeight="1"/>
    <row r="48" s="93" customFormat="1" customHeight="1"/>
    <row r="49" s="93" customFormat="1" customHeight="1"/>
    <row r="50" s="93" customFormat="1" customHeight="1"/>
    <row r="51" s="93" customFormat="1" customHeight="1"/>
    <row r="52" s="93" customFormat="1" customHeight="1"/>
    <row r="53" s="93" customFormat="1" customHeight="1"/>
    <row r="54" s="93" customFormat="1" customHeight="1"/>
    <row r="55" s="93" customFormat="1" customHeight="1"/>
    <row r="56" s="93" customFormat="1" customHeight="1"/>
    <row r="57" s="93" customFormat="1" customHeight="1"/>
    <row r="58" s="93" customFormat="1" customHeight="1"/>
    <row r="59" s="93" customFormat="1" customHeight="1"/>
    <row r="60" s="93" customFormat="1" customHeight="1"/>
    <row r="61" s="93" customFormat="1" customHeight="1"/>
    <row r="62" s="93" customFormat="1" customHeight="1"/>
    <row r="63" s="93" customFormat="1" customHeight="1"/>
    <row r="64" s="93" customFormat="1" customHeight="1"/>
    <row r="65" s="93" customFormat="1" customHeight="1"/>
    <row r="66" s="93" customFormat="1" customHeight="1"/>
    <row r="67" s="93" customFormat="1" customHeight="1"/>
    <row r="68" s="93" customFormat="1" customHeight="1"/>
    <row r="69" s="93" customFormat="1" customHeight="1"/>
    <row r="70" s="93" customFormat="1" customHeight="1"/>
    <row r="71" s="93" customFormat="1" customHeight="1"/>
    <row r="72" s="93" customFormat="1" customHeight="1"/>
    <row r="73" s="93" customFormat="1" customHeight="1"/>
    <row r="74" s="93" customFormat="1" customHeight="1"/>
    <row r="75" s="93" customFormat="1" customHeight="1"/>
    <row r="76" s="93" customFormat="1" customHeight="1"/>
    <row r="77" s="93" customFormat="1" customHeight="1"/>
    <row r="78" s="93" customFormat="1" customHeight="1"/>
    <row r="79" s="93" customFormat="1" customHeight="1"/>
    <row r="80" s="93" customFormat="1" customHeight="1"/>
    <row r="81" s="93" customFormat="1" customHeight="1"/>
    <row r="82" s="93" customFormat="1" customHeight="1"/>
    <row r="83" s="93" customFormat="1" customHeight="1"/>
    <row r="84" s="93" customFormat="1" customHeight="1"/>
    <row r="85" s="93" customFormat="1" customHeight="1"/>
    <row r="86" s="93" customFormat="1" customHeight="1"/>
    <row r="87" s="93" customFormat="1" customHeight="1"/>
    <row r="88" s="93" customFormat="1" customHeight="1"/>
  </sheetData>
  <mergeCells count="35">
    <mergeCell ref="A1:C1"/>
    <mergeCell ref="A2:C2"/>
    <mergeCell ref="A3:C3"/>
    <mergeCell ref="A6:C6"/>
    <mergeCell ref="X6:AB6"/>
    <mergeCell ref="A8:AD8"/>
    <mergeCell ref="A9:AD9"/>
    <mergeCell ref="G12:H12"/>
    <mergeCell ref="I12:J12"/>
    <mergeCell ref="L12:M12"/>
    <mergeCell ref="O12:P12"/>
    <mergeCell ref="Q12:R12"/>
    <mergeCell ref="T12:U12"/>
    <mergeCell ref="A12:A13"/>
    <mergeCell ref="B12:B13"/>
    <mergeCell ref="C12:C13"/>
    <mergeCell ref="D12:D13"/>
    <mergeCell ref="E12:E13"/>
    <mergeCell ref="F12:F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s>
  <conditionalFormatting sqref="V27:W28;V25:W25;V30:W33;V14:W18">
    <cfRule type="expression" dxfId="1119" priority="1" stopIfTrue="1">
      <formula>IF($W14="warning",TRUE,FALSE)</formula>
    </cfRule>
  </conditionalFormatting>
  <conditionalFormatting sqref="I33">
    <cfRule type="expression" dxfId="1120" priority="2" stopIfTrue="1">
      <formula>IF(OR(#REF!="not",#REF!="resign",#REF!="resign",#REF!="end",#REF!="terminated",#REF!="permanent"),"TRUE","FALSE")</formula>
    </cfRule>
  </conditionalFormatting>
  <conditionalFormatting sqref="D16">
    <cfRule type="expression" dxfId="1121" priority="3" stopIfTrue="1">
      <formula>IF(OR($BE16="not",$BE16="resign",$BE16="resign",$BE16="end",$BE16="terminated",$BE16="permanent"),"TRUE","FALSE")</formula>
    </cfRule>
  </conditionalFormatting>
  <conditionalFormatting sqref="Z33">
    <cfRule type="expression" dxfId="1122" priority="4" stopIfTrue="1">
      <formula>IF(OR(#REF!="not",#REF!="resign",#REF!="resign",#REF!="end",#REF!="terminated",#REF!="permanent"),"TRUE","FALSE")</formula>
    </cfRule>
  </conditionalFormatting>
  <conditionalFormatting sqref="E14:E15">
    <cfRule type="expression" dxfId="1123" priority="5" stopIfTrue="1">
      <formula>IF(OR($BF14="not",$BF14="resign",$BF14="resign",$BF14="end",$BF14="terminated",$BF14="permanent"),"TRUE","FALSE")</formula>
    </cfRule>
  </conditionalFormatting>
  <conditionalFormatting sqref="B14">
    <cfRule type="expression" dxfId="1124" priority="6" stopIfTrue="1">
      <formula>IF(OR($BF14="not",$BF14="resign",$BF14="resign",$BF14="end",$BF14="terminated",$BF14="permanent"),"TRUE","FALSE")</formula>
    </cfRule>
  </conditionalFormatting>
  <conditionalFormatting sqref="I14">
    <cfRule type="expression" dxfId="1125" priority="7" stopIfTrue="1">
      <formula>IF(OR($BF14="not",$BF14="resign",$BF14="resign",$BF14="end",$BF14="terminated",$BF14="permanent"),"TRUE","FALSE")</formula>
    </cfRule>
  </conditionalFormatting>
  <conditionalFormatting sqref="D14">
    <cfRule type="expression" dxfId="1126" priority="8" stopIfTrue="1">
      <formula>IF(OR($BE14="not",$BE14="resign",$BE14="resign",$BE14="end",$BE14="terminated",$BE14="permanent"),"TRUE","FALSE")</formula>
    </cfRule>
  </conditionalFormatting>
  <conditionalFormatting sqref="L14">
    <cfRule type="expression" dxfId="1127" priority="9" stopIfTrue="1">
      <formula>IF(OR($BF14="not",$BF14="resign",$BF14="resign",$BF14="end",$BF14="terminated",$BF14="permanent"),"TRUE","FALSE")</formula>
    </cfRule>
  </conditionalFormatting>
  <conditionalFormatting sqref="B15">
    <cfRule type="expression" dxfId="1128" priority="10" stopIfTrue="1">
      <formula>IF(OR($BF15="not",$BF15="resign",$BF15="resign",$BF15="end",$BF15="terminated",$BF15="permanent"),"TRUE","FALSE")</formula>
    </cfRule>
  </conditionalFormatting>
  <conditionalFormatting sqref="I15">
    <cfRule type="expression" dxfId="1129" priority="11" stopIfTrue="1">
      <formula>IF(OR($BF15="not",$BF15="resign",$BF15="resign",$BF15="end",$BF15="terminated",$BF15="permanent"),"TRUE","FALSE")</formula>
    </cfRule>
  </conditionalFormatting>
  <conditionalFormatting sqref="D15">
    <cfRule type="expression" dxfId="1130" priority="12" stopIfTrue="1">
      <formula>IF(OR($BE15="not",$BE15="resign",$BE15="resign",$BE15="end",$BE15="terminated",$BE15="permanent"),"TRUE","FALSE")</formula>
    </cfRule>
  </conditionalFormatting>
  <conditionalFormatting sqref="L15">
    <cfRule type="expression" dxfId="1131" priority="13" stopIfTrue="1">
      <formula>IF(OR($BF15="not",$BF15="resign",$BF15="resign",$BF15="end",$BF15="terminated",$BF15="permanent"),"TRUE","FALSE")</formula>
    </cfRule>
  </conditionalFormatting>
  <conditionalFormatting sqref="E28">
    <cfRule type="expression" dxfId="1132" priority="14" stopIfTrue="1">
      <formula>IF(OR(#REF!="not",#REF!="resign",#REF!="resign",#REF!="end",#REF!="terminated",#REF!="permanent"),"TRUE","FALSE")</formula>
    </cfRule>
  </conditionalFormatting>
  <conditionalFormatting sqref="X14:X18">
    <cfRule type="expression" dxfId="1133" priority="15" stopIfTrue="1">
      <formula>IF(OR($BG14="not",$BG14="resign",$BG14="resign",$BG14="end",$BG14="terminated",$BG14="permanent"),"TRUE","FALSE")</formula>
    </cfRule>
  </conditionalFormatting>
  <conditionalFormatting sqref="X33">
    <cfRule type="expression" dxfId="1134" priority="16" stopIfTrue="1">
      <formula>IF(OR(#REF!="not",#REF!="resign",#REF!="resign",#REF!="end",#REF!="terminated",#REF!="permanent"),"TRUE","FALSE")</formula>
    </cfRule>
  </conditionalFormatting>
  <conditionalFormatting sqref="D30;X28:X30">
    <cfRule type="expression" dxfId="1135" priority="17" stopIfTrue="1">
      <formula>IF(OR(#REF!="not",#REF!="resign",#REF!="resign",#REF!="end",#REF!="terminated",#REF!="permanent"),"TRUE","FALSE")</formula>
    </cfRule>
  </conditionalFormatting>
  <conditionalFormatting sqref="J33">
    <cfRule type="expression" dxfId="1136" priority="18" stopIfTrue="1">
      <formula>IF(OR(#REF!="not",#REF!="resign",#REF!="resign",#REF!="end",#REF!="terminated",#REF!="permanent"),"TRUE","FALSE")</formula>
    </cfRule>
  </conditionalFormatting>
  <conditionalFormatting sqref="AH33">
    <cfRule type="expression" dxfId="1137" priority="19" stopIfTrue="1">
      <formula>IF(OR(#REF!="not",#REF!="resign",#REF!="resign",#REF!="end",#REF!="terminated",#REF!="permanent"),"TRUE","FALSE")</formula>
    </cfRule>
  </conditionalFormatting>
  <conditionalFormatting sqref="AH14">
    <cfRule type="expression" dxfId="1138" priority="20" stopIfTrue="1">
      <formula>IF(OR($BF14="not",$BF14="resign",$BF14="resign",$BF14="end",$BF14="terminated",$BF14="permanent"),"TRUE","FALSE")</formula>
    </cfRule>
  </conditionalFormatting>
  <conditionalFormatting sqref="AH15">
    <cfRule type="expression" dxfId="1139" priority="21" stopIfTrue="1">
      <formula>IF(OR($BF15="not",$BF15="resign",$BF15="resign",$BF15="end",$BF15="terminated",$BF15="permanent"),"TRUE","FALSE")</formula>
    </cfRule>
  </conditionalFormatting>
  <conditionalFormatting sqref="AH28:AH31;AH16:AH17">
    <cfRule type="expression" dxfId="1140" priority="22" stopIfTrue="1">
      <formula>IF(OR($AG16="not",$AG16="resign",$AG16="resign",$AG16="end",$AG16="terminated",$AG16="permanent"),"TRUE","FALSE")</formula>
    </cfRule>
  </conditionalFormatting>
  <conditionalFormatting sqref="C29:D29;B30:AK30">
    <cfRule type="expression" dxfId="1141" priority="23" stopIfTrue="1">
      <formula>IF(OR(#REF!="not",#REF!="resign",#REF!="resign",#REF!="end",#REF!="terminated",#REF!="permanent"),"TRUE","FALSE")</formula>
    </cfRule>
  </conditionalFormatting>
  <conditionalFormatting sqref="E29">
    <cfRule type="expression" dxfId="1142" priority="24" stopIfTrue="1">
      <formula>IF(OR(#REF!="not",#REF!="resign",#REF!="resign",#REF!="end",#REF!="terminated",#REF!="permanent"),"TRUE","FALSE")</formula>
    </cfRule>
  </conditionalFormatting>
  <conditionalFormatting sqref="M26:AK26;B26:J26">
    <cfRule type="expression" dxfId="1143" priority="25" stopIfTrue="1">
      <formula>IF(OR(#REF!="not",#REF!="resign",#REF!="resign",#REF!="end",#REF!="terminated",#REF!="permanent"),"TRUE","FALSE")</formula>
    </cfRule>
  </conditionalFormatting>
  <conditionalFormatting sqref="D27">
    <cfRule type="expression" dxfId="1144" priority="26" stopIfTrue="1">
      <formula>IF(OR($BE19="not",$BE19="resign",$BE19="resign",$BE19="end",$BE19="terminated",$BE19="permanent"),"TRUE","FALSE")</formula>
    </cfRule>
  </conditionalFormatting>
  <conditionalFormatting sqref="X27">
    <cfRule type="expression" dxfId="1145" priority="27" stopIfTrue="1">
      <formula>IF(OR($BG19="not",$BG19="resign",$BG19="resign",$BG19="end",$BG19="terminated",$BG19="permanent"),"TRUE","FALSE")</formula>
    </cfRule>
  </conditionalFormatting>
  <conditionalFormatting sqref="K26">
    <cfRule type="expression" dxfId="1146" priority="28" stopIfTrue="1">
      <formula>IF(OR(#REF!="not",#REF!="resign",#REF!="resign",#REF!="end",#REF!="terminated",#REF!="permanent"),"TRUE","FALSE")</formula>
    </cfRule>
  </conditionalFormatting>
  <conditionalFormatting sqref="L26">
    <cfRule type="expression" dxfId="1147" priority="29" stopIfTrue="1">
      <formula>IF(OR(#REF!="not",#REF!="resign",#REF!="resign",#REF!="end",#REF!="terminated",#REF!="permanent"),"TRUE","FALSE")</formula>
    </cfRule>
  </conditionalFormatting>
  <conditionalFormatting sqref="B31:AK31">
    <cfRule type="expression" dxfId="1148" priority="30" stopIfTrue="1">
      <formula>IF(OR(#REF!="not",#REF!="resign",#REF!="resign",#REF!="end",#REF!="terminated",#REF!="permanent"),"TRUE","FALSE")</formula>
    </cfRule>
  </conditionalFormatting>
  <conditionalFormatting sqref="AJ18:AK18">
    <cfRule type="expression" dxfId="1149" priority="31" stopIfTrue="1">
      <formula>IF(OR($BF18="not",$BF18="resign",$BF18="resign",$BF18="end",$BF18="terminated",$BF18="permanent"),"TRUE","FALSE")</formula>
    </cfRule>
  </conditionalFormatting>
  <conditionalFormatting sqref="D17:D18">
    <cfRule type="expression" dxfId="1150" priority="32" stopIfTrue="1">
      <formula>IF(OR($BE17="not",$BE17="resign",$BE17="resign",$BE17="end",$BE17="terminated",$BE17="permanent"),"TRUE","FALSE")</formula>
    </cfRule>
  </conditionalFormatting>
  <conditionalFormatting sqref="AE18:AF18;AH18:AI18">
    <cfRule type="expression" dxfId="1151" priority="33" stopIfTrue="1">
      <formula>IF(OR($AW18="not",$AW18="resign",$AW18="resign",$AW18="end",$AW18="terminated",$AW18="permanent"),"TRUE","FALSE")</formula>
    </cfRule>
  </conditionalFormatting>
  <conditionalFormatting sqref="AG18">
    <cfRule type="expression" dxfId="1152" priority="34" stopIfTrue="1">
      <formula>IF(OR($BF18="not",$BF18="resign",$BF18="resign",$BF18="end",$BF18="terminated",$BF18="permanent"),"TRUE","FALSE")</formula>
    </cfRule>
  </conditionalFormatting>
  <conditionalFormatting sqref="D33">
    <cfRule type="expression" dxfId="1153" priority="35" stopIfTrue="1">
      <formula>IF(OR(#REF!="not",#REF!="resign",#REF!="resign",#REF!="end",#REF!="terminated",#REF!="permanent"),"TRUE","FALSE")</formula>
    </cfRule>
  </conditionalFormatting>
  <conditionalFormatting sqref="D25">
    <cfRule type="expression" dxfId="1154" priority="36" stopIfTrue="1">
      <formula>IF(OR(#REF!="not",#REF!="resign",#REF!="resign",#REF!="end",#REF!="terminated",#REF!="permanent"),"TRUE","FALSE")</formula>
    </cfRule>
  </conditionalFormatting>
  <conditionalFormatting sqref="X25">
    <cfRule type="expression" dxfId="1155" priority="37" stopIfTrue="1">
      <formula>IF(OR(#REF!="not",#REF!="resign",#REF!="resign",#REF!="end",#REF!="terminated",#REF!="permanent"),"TRUE","FALSE")</formula>
    </cfRule>
  </conditionalFormatting>
  <conditionalFormatting sqref="B34:AD34">
    <cfRule type="expression" dxfId="1156" priority="38" stopIfTrue="1">
      <formula>IF(OR($BF19="not",$BF19="resign",$BF19="resign",$BF19="end",$BF19="terminated",$BF19="permanent"),"TRUE","FALSE")</formula>
    </cfRule>
  </conditionalFormatting>
  <conditionalFormatting sqref="AJ34:AK34">
    <cfRule type="expression" dxfId="1157" priority="39" stopIfTrue="1">
      <formula>IF(OR($BF19="not",$BF19="resign",$BF19="resign",$BF19="end",$BF19="terminated",$BF19="permanent"),"TRUE","FALSE")</formula>
    </cfRule>
  </conditionalFormatting>
  <conditionalFormatting sqref="AE34:AF34;AH34:AI34">
    <cfRule type="expression" dxfId="1158" priority="40" stopIfTrue="1">
      <formula>IF(OR($AW19="not",$AW19="resign",$AW19="resign",$AW19="end",$AW19="terminated",$AW19="permanent"),"TRUE","FALSE")</formula>
    </cfRule>
  </conditionalFormatting>
  <conditionalFormatting sqref="AG34">
    <cfRule type="expression" dxfId="1159" priority="41" stopIfTrue="1">
      <formula>IF(OR($BF19="not",$BF19="resign",$BF19="resign",$BF19="end",$BF19="terminated",$BF19="permanent"),"TRUE","FALSE")</formula>
    </cfRule>
  </conditionalFormatting>
  <hyperlinks>
    <hyperlink ref="AJ32" location="" display="yudha_hendratmo@yahoo.com"/>
    <hyperlink ref="AJ29" location="" display="suprapto050891@gmail.com"/>
    <hyperlink ref="AJ16" location="" display="wirawiryu@gmail.com"/>
    <hyperlink ref="AJ18" location="" display="ogetampubolon@gmail.com, devatobing@yahoo.com"/>
    <hyperlink ref="AJ15" location="" display="rijalkiftia27@gmail.com"/>
  </hyperlinks>
  <printOptions horizontalCentered="1"/>
  <pageMargins left="0" right="0" top="1" bottom="1" header="0.5" footer="0.5"/>
  <pageSetup paperSize="9" scale="29" orientation="landscape"/>
  <headerFooter alignWithMargins="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pageSetUpPr fitToPage="1"/>
  </sheetPr>
  <dimension ref="A1:AW18"/>
  <sheetViews>
    <sheetView showGridLines="0" topLeftCell="A8" workbookViewId="0">
      <pane xSplit="3" ySplit="6" topLeftCell="D14" activePane="bottomRight" state="frozen"/>
      <selection/>
      <selection pane="topRight"/>
      <selection pane="bottomLeft"/>
      <selection pane="bottomRight" activeCell="C14" sqref="C14"/>
    </sheetView>
  </sheetViews>
  <sheetFormatPr defaultColWidth="9" defaultRowHeight="12.95" customHeight="1"/>
  <cols>
    <col min="1" max="1" width="5.425" style="94" customWidth="1"/>
    <col min="2" max="2" width="9.425" style="94" customWidth="1"/>
    <col min="3" max="3" width="14.5666666666667" style="94" customWidth="1"/>
    <col min="4" max="4" width="13.5666666666667" style="94" customWidth="1"/>
    <col min="5" max="5" width="4.425" style="94" customWidth="1"/>
    <col min="6" max="6" width="12.425" style="94" customWidth="1"/>
    <col min="7" max="8" width="10.1416666666667" style="94" customWidth="1"/>
    <col min="9" max="10" width="9.85833333333333" style="94" customWidth="1"/>
    <col min="11" max="11" width="8.85833333333333" style="94" customWidth="1"/>
    <col min="12" max="12" width="9.85833333333333" style="94" customWidth="1"/>
    <col min="13" max="13" width="12" style="94" customWidth="1"/>
    <col min="14" max="14" width="8.85833333333333" style="94" customWidth="1"/>
    <col min="15" max="15" width="23.7083333333333" style="94" customWidth="1"/>
    <col min="16" max="16" width="30.8583333333333" style="94" customWidth="1"/>
    <col min="17" max="17" width="13.1416666666667" style="94" customWidth="1"/>
    <col min="18" max="18" width="38.7083333333333" style="94" customWidth="1"/>
    <col min="19" max="19" width="19" style="94" customWidth="1"/>
    <col min="20" max="20" width="14.8583333333333" style="94" customWidth="1"/>
    <col min="21" max="21" width="19" style="94" customWidth="1"/>
    <col min="22" max="22" width="16" style="94" customWidth="1"/>
    <col min="23" max="23" width="15.425" style="94" customWidth="1"/>
    <col min="24" max="24" width="21.8583333333333" style="94" customWidth="1"/>
    <col min="25" max="25" width="27.425" style="94" customWidth="1"/>
    <col min="26" max="26" width="24.7083333333333" style="94" customWidth="1"/>
    <col min="27" max="27" width="10.5666666666667" style="94" customWidth="1"/>
    <col min="28" max="46" width="9.14166666666667" style="94"/>
    <col min="47" max="47" width="11.2833333333333" style="94" customWidth="1"/>
    <col min="48" max="49" width="9.14166666666667" style="94" customWidth="1"/>
    <col min="50" max="16384" width="9.14166666666667" style="94"/>
  </cols>
  <sheetData>
    <row r="1" s="91" customFormat="1" customHeight="1" spans="1:25">
      <c r="A1" s="96"/>
      <c r="B1" s="96"/>
      <c r="C1" s="96"/>
      <c r="D1" s="96"/>
      <c r="E1" s="96"/>
      <c r="Y1" s="123" t="s">
        <v>11108</v>
      </c>
    </row>
    <row r="2" s="91" customFormat="1" customHeight="1" spans="1:25">
      <c r="A2" s="96"/>
      <c r="B2" s="96"/>
      <c r="C2" s="96"/>
      <c r="D2" s="96"/>
      <c r="E2" s="96"/>
      <c r="Y2" s="123" t="s">
        <v>11109</v>
      </c>
    </row>
    <row r="3" s="91" customFormat="1" customHeight="1" spans="1:25">
      <c r="A3" s="96"/>
      <c r="B3" s="96"/>
      <c r="C3" s="96"/>
      <c r="D3" s="96"/>
      <c r="E3" s="96"/>
      <c r="Y3" s="123" t="s">
        <v>11110</v>
      </c>
    </row>
    <row r="4" s="91" customFormat="1" customHeight="1" spans="1:25">
      <c r="A4" s="96"/>
      <c r="B4" s="96"/>
      <c r="C4" s="96"/>
      <c r="D4" s="96"/>
      <c r="E4" s="96"/>
      <c r="Y4" s="123" t="s">
        <v>11111</v>
      </c>
    </row>
    <row r="5" s="91" customFormat="1" customHeight="1" spans="1:5">
      <c r="A5" s="96"/>
      <c r="B5" s="96"/>
      <c r="C5" s="96"/>
      <c r="D5" s="96"/>
      <c r="E5" s="96"/>
    </row>
    <row r="6" s="91" customFormat="1" customHeight="1" spans="1:5">
      <c r="A6" s="96"/>
      <c r="B6" s="96"/>
      <c r="C6" s="96"/>
      <c r="D6" s="96"/>
      <c r="E6" s="96"/>
    </row>
    <row r="7" s="91" customFormat="1" customHeight="1" spans="3:5">
      <c r="C7" s="96"/>
      <c r="D7" s="96"/>
      <c r="E7" s="96"/>
    </row>
    <row r="8" s="91" customFormat="1" customHeight="1" spans="1:23">
      <c r="A8" s="97" t="s">
        <v>7926</v>
      </c>
      <c r="B8" s="97"/>
      <c r="C8" s="97"/>
      <c r="D8" s="97"/>
      <c r="E8" s="97"/>
      <c r="F8" s="97"/>
      <c r="G8" s="97"/>
      <c r="H8" s="97"/>
      <c r="I8" s="97"/>
      <c r="J8" s="97"/>
      <c r="K8" s="97"/>
      <c r="L8" s="97"/>
      <c r="M8" s="97"/>
      <c r="N8" s="97"/>
      <c r="O8" s="97"/>
      <c r="P8" s="97"/>
      <c r="Q8" s="97"/>
      <c r="R8" s="97"/>
      <c r="S8" s="97"/>
      <c r="T8" s="97"/>
      <c r="U8" s="97"/>
      <c r="V8" s="97"/>
      <c r="W8" s="97"/>
    </row>
    <row r="9" s="91" customFormat="1" customHeight="1" spans="1:23">
      <c r="A9" s="97" t="s">
        <v>11414</v>
      </c>
      <c r="B9" s="97"/>
      <c r="C9" s="97"/>
      <c r="D9" s="97"/>
      <c r="E9" s="97"/>
      <c r="F9" s="97"/>
      <c r="G9" s="97"/>
      <c r="H9" s="97"/>
      <c r="I9" s="97"/>
      <c r="J9" s="97"/>
      <c r="K9" s="97"/>
      <c r="L9" s="97"/>
      <c r="M9" s="97"/>
      <c r="N9" s="97"/>
      <c r="O9" s="97"/>
      <c r="P9" s="97"/>
      <c r="Q9" s="97"/>
      <c r="R9" s="97"/>
      <c r="S9" s="97"/>
      <c r="T9" s="97"/>
      <c r="U9" s="97"/>
      <c r="V9" s="97"/>
      <c r="W9" s="97"/>
    </row>
    <row r="10" s="91" customFormat="1" hidden="1" customHeight="1" spans="1:17">
      <c r="A10" s="97"/>
      <c r="B10" s="97"/>
      <c r="C10" s="97"/>
      <c r="D10" s="97"/>
      <c r="E10" s="97"/>
      <c r="F10" s="97"/>
      <c r="G10" s="97"/>
      <c r="H10" s="97"/>
      <c r="I10" s="97"/>
      <c r="J10" s="97"/>
      <c r="K10" s="97"/>
      <c r="L10" s="97"/>
      <c r="M10" s="97"/>
      <c r="N10" s="97"/>
      <c r="O10" s="97"/>
      <c r="P10" s="97"/>
      <c r="Q10" s="97"/>
    </row>
    <row r="11" s="91" customFormat="1" hidden="1" customHeight="1" spans="3:5">
      <c r="C11" s="96"/>
      <c r="D11" s="96"/>
      <c r="E11" s="96"/>
    </row>
    <row r="12" s="91" customFormat="1" customHeight="1" spans="1:26">
      <c r="A12" s="98" t="s">
        <v>0</v>
      </c>
      <c r="B12" s="98" t="s">
        <v>1</v>
      </c>
      <c r="C12" s="98" t="s">
        <v>2</v>
      </c>
      <c r="D12" s="98" t="s">
        <v>3</v>
      </c>
      <c r="E12" s="98" t="s">
        <v>7929</v>
      </c>
      <c r="F12" s="98" t="s">
        <v>8</v>
      </c>
      <c r="G12" s="103" t="s">
        <v>9</v>
      </c>
      <c r="H12" s="103"/>
      <c r="I12" s="671" t="s">
        <v>10</v>
      </c>
      <c r="J12" s="104"/>
      <c r="K12" s="98" t="s">
        <v>14</v>
      </c>
      <c r="L12" s="103" t="s">
        <v>15</v>
      </c>
      <c r="M12" s="98" t="s">
        <v>16</v>
      </c>
      <c r="N12" s="98" t="s">
        <v>11276</v>
      </c>
      <c r="O12" s="98" t="s">
        <v>15</v>
      </c>
      <c r="P12" s="98" t="s">
        <v>3509</v>
      </c>
      <c r="Q12" s="98" t="s">
        <v>3509</v>
      </c>
      <c r="R12" s="117" t="s">
        <v>28</v>
      </c>
      <c r="S12" s="118" t="s">
        <v>29</v>
      </c>
      <c r="T12" s="118" t="s">
        <v>31</v>
      </c>
      <c r="U12" s="118" t="s">
        <v>32</v>
      </c>
      <c r="V12" s="118" t="s">
        <v>7934</v>
      </c>
      <c r="W12" s="118" t="s">
        <v>34</v>
      </c>
      <c r="X12" s="104" t="s">
        <v>30</v>
      </c>
      <c r="Y12" s="124" t="s">
        <v>7936</v>
      </c>
      <c r="Z12" s="117" t="s">
        <v>36</v>
      </c>
    </row>
    <row r="13" s="91" customFormat="1" customHeight="1" spans="1:26">
      <c r="A13" s="99"/>
      <c r="B13" s="99"/>
      <c r="C13" s="99"/>
      <c r="D13" s="99"/>
      <c r="E13" s="99"/>
      <c r="F13" s="99"/>
      <c r="G13" s="103" t="s">
        <v>37</v>
      </c>
      <c r="H13" s="103" t="s">
        <v>38</v>
      </c>
      <c r="I13" s="98">
        <v>1</v>
      </c>
      <c r="J13" s="672">
        <v>2</v>
      </c>
      <c r="K13" s="99"/>
      <c r="L13" s="111"/>
      <c r="M13" s="99"/>
      <c r="N13" s="99"/>
      <c r="O13" s="115"/>
      <c r="P13" s="115"/>
      <c r="Q13" s="115"/>
      <c r="R13" s="119"/>
      <c r="S13" s="120"/>
      <c r="T13" s="120"/>
      <c r="U13" s="120"/>
      <c r="V13" s="120"/>
      <c r="W13" s="120"/>
      <c r="X13" s="125"/>
      <c r="Y13" s="126"/>
      <c r="Z13" s="119"/>
    </row>
    <row r="14" s="93" customFormat="1" ht="32.25" spans="1:49">
      <c r="A14" s="100">
        <f>ROW()-13</f>
        <v>1</v>
      </c>
      <c r="B14" s="160" t="s">
        <v>11381</v>
      </c>
      <c r="C14" s="101" t="s">
        <v>11382</v>
      </c>
      <c r="D14" s="121" t="s">
        <v>11383</v>
      </c>
      <c r="E14" s="102" t="s">
        <v>254</v>
      </c>
      <c r="F14" s="100" t="s">
        <v>1533</v>
      </c>
      <c r="G14" s="106">
        <v>42826</v>
      </c>
      <c r="H14" s="468">
        <v>43190</v>
      </c>
      <c r="I14" s="106">
        <v>43373</v>
      </c>
      <c r="J14" s="106"/>
      <c r="K14" s="540">
        <f ca="1">SUM(I14-NOW())</f>
        <v>100.61546296296</v>
      </c>
      <c r="L14" s="100" t="str">
        <f ca="1">IF(K14&lt;=46,"WARNING","ACTIVE")</f>
        <v>ACTIVE</v>
      </c>
      <c r="M14" s="665">
        <v>3648036</v>
      </c>
      <c r="N14" s="207"/>
      <c r="O14" s="207" t="s">
        <v>11415</v>
      </c>
      <c r="P14" s="207" t="s">
        <v>11281</v>
      </c>
      <c r="Q14" s="207" t="s">
        <v>11332</v>
      </c>
      <c r="R14" s="102" t="s">
        <v>11385</v>
      </c>
      <c r="S14" s="102" t="s">
        <v>11386</v>
      </c>
      <c r="T14" s="1600" t="s">
        <v>11387</v>
      </c>
      <c r="U14" s="122" t="s">
        <v>11388</v>
      </c>
      <c r="V14" s="599"/>
      <c r="W14" s="673" t="s">
        <v>11389</v>
      </c>
      <c r="X14" s="223" t="s">
        <v>11390</v>
      </c>
      <c r="Y14" s="365" t="s">
        <v>11391</v>
      </c>
      <c r="Z14" s="101"/>
      <c r="AO14" s="565"/>
      <c r="AU14" s="490"/>
      <c r="AV14" s="653"/>
      <c r="AW14" s="653">
        <f>MIN(G14:H14)</f>
        <v>42826</v>
      </c>
    </row>
    <row r="15" s="92" customFormat="1" ht="15.95" customHeight="1" spans="1:26">
      <c r="A15" s="100">
        <f>ROW()-13</f>
        <v>2</v>
      </c>
      <c r="B15" s="100" t="s">
        <v>11416</v>
      </c>
      <c r="C15" s="101" t="s">
        <v>11417</v>
      </c>
      <c r="D15" s="102" t="s">
        <v>11418</v>
      </c>
      <c r="E15" s="102" t="s">
        <v>44</v>
      </c>
      <c r="F15" s="100" t="s">
        <v>1533</v>
      </c>
      <c r="G15" s="106">
        <v>42940</v>
      </c>
      <c r="H15" s="106">
        <v>43031</v>
      </c>
      <c r="I15" s="106">
        <v>43213</v>
      </c>
      <c r="J15" s="106">
        <v>43396</v>
      </c>
      <c r="K15" s="540">
        <f ca="1">SUM(J15-NOW())</f>
        <v>123.61546296296</v>
      </c>
      <c r="L15" s="100" t="str">
        <f ca="1">IF(K15&lt;=46,"WARNING","ACTIVE")</f>
        <v>ACTIVE</v>
      </c>
      <c r="M15" s="665">
        <v>3648036</v>
      </c>
      <c r="N15" s="116"/>
      <c r="O15" s="116" t="s">
        <v>11301</v>
      </c>
      <c r="P15" s="116"/>
      <c r="Q15" s="116"/>
      <c r="R15" s="121" t="s">
        <v>11419</v>
      </c>
      <c r="S15" s="1579" t="s">
        <v>11420</v>
      </c>
      <c r="T15" s="76"/>
      <c r="U15" s="76"/>
      <c r="V15" s="122"/>
      <c r="W15" s="76"/>
      <c r="X15" s="76" t="s">
        <v>11421</v>
      </c>
      <c r="Y15" s="128"/>
      <c r="Z15" s="101"/>
    </row>
    <row r="16" s="92" customFormat="1" ht="15.95" customHeight="1" spans="1:26">
      <c r="A16" s="521"/>
      <c r="B16" s="521"/>
      <c r="C16" s="565"/>
      <c r="D16" s="527"/>
      <c r="E16" s="527"/>
      <c r="F16" s="521"/>
      <c r="G16" s="533"/>
      <c r="H16" s="533"/>
      <c r="I16" s="529"/>
      <c r="J16" s="529"/>
      <c r="K16" s="546"/>
      <c r="L16" s="521"/>
      <c r="M16" s="616"/>
      <c r="N16" s="545"/>
      <c r="O16" s="545"/>
      <c r="P16" s="545"/>
      <c r="Q16" s="545"/>
      <c r="R16" s="530"/>
      <c r="S16" s="527"/>
      <c r="T16" s="527"/>
      <c r="U16" s="527"/>
      <c r="V16" s="527"/>
      <c r="W16" s="527"/>
      <c r="X16" s="516"/>
      <c r="Y16" s="516"/>
      <c r="Z16" s="565"/>
    </row>
    <row r="17" s="92" customFormat="1" ht="15.95" customHeight="1" spans="1:26">
      <c r="A17" s="521"/>
      <c r="B17" s="521"/>
      <c r="C17" s="565"/>
      <c r="D17" s="527"/>
      <c r="E17" s="527"/>
      <c r="F17" s="521"/>
      <c r="G17" s="533"/>
      <c r="H17" s="533"/>
      <c r="I17" s="529"/>
      <c r="J17" s="529"/>
      <c r="K17" s="546"/>
      <c r="L17" s="521"/>
      <c r="M17" s="616"/>
      <c r="N17" s="545"/>
      <c r="O17" s="545"/>
      <c r="P17" s="545"/>
      <c r="Q17" s="545"/>
      <c r="R17" s="530"/>
      <c r="S17" s="527"/>
      <c r="T17" s="527"/>
      <c r="U17" s="527"/>
      <c r="V17" s="527"/>
      <c r="W17" s="527"/>
      <c r="X17" s="516"/>
      <c r="Y17" s="516"/>
      <c r="Z17" s="565"/>
    </row>
    <row r="18" s="668" customFormat="1" ht="15.95" customHeight="1" spans="1:27">
      <c r="A18" s="669" t="s">
        <v>2552</v>
      </c>
      <c r="B18" s="670"/>
      <c r="C18" s="565"/>
      <c r="D18" s="527"/>
      <c r="E18" s="527"/>
      <c r="F18" s="521"/>
      <c r="G18" s="533"/>
      <c r="H18" s="533"/>
      <c r="I18" s="529"/>
      <c r="J18" s="529"/>
      <c r="K18" s="546"/>
      <c r="L18" s="521"/>
      <c r="M18" s="616"/>
      <c r="N18" s="545"/>
      <c r="O18" s="545"/>
      <c r="P18" s="545"/>
      <c r="Q18" s="545"/>
      <c r="R18" s="530"/>
      <c r="S18" s="527"/>
      <c r="T18" s="527"/>
      <c r="U18" s="527"/>
      <c r="V18" s="527"/>
      <c r="W18" s="527"/>
      <c r="X18" s="516"/>
      <c r="Y18" s="516"/>
      <c r="Z18" s="565"/>
      <c r="AA18" s="92"/>
    </row>
  </sheetData>
  <mergeCells count="30">
    <mergeCell ref="A1:C1"/>
    <mergeCell ref="A2:C2"/>
    <mergeCell ref="A3:C3"/>
    <mergeCell ref="A6:C6"/>
    <mergeCell ref="M6:Q6"/>
    <mergeCell ref="A8:S8"/>
    <mergeCell ref="A9:S9"/>
    <mergeCell ref="G12:H12"/>
    <mergeCell ref="A12:A13"/>
    <mergeCell ref="B12:B13"/>
    <mergeCell ref="C12:C13"/>
    <mergeCell ref="D12:D13"/>
    <mergeCell ref="E12:E13"/>
    <mergeCell ref="F12:F13"/>
    <mergeCell ref="K12:K13"/>
    <mergeCell ref="L12:L13"/>
    <mergeCell ref="M12:M13"/>
    <mergeCell ref="N12:N13"/>
    <mergeCell ref="O12:O13"/>
    <mergeCell ref="P12:P13"/>
    <mergeCell ref="Q12:Q13"/>
    <mergeCell ref="R12:R13"/>
    <mergeCell ref="S12:S13"/>
    <mergeCell ref="T12:T13"/>
    <mergeCell ref="U12:U13"/>
    <mergeCell ref="V12:V13"/>
    <mergeCell ref="W12:W13"/>
    <mergeCell ref="X12:X13"/>
    <mergeCell ref="Y12:Y13"/>
    <mergeCell ref="Z12:Z13"/>
  </mergeCells>
  <conditionalFormatting sqref="K14:L18">
    <cfRule type="expression" dxfId="1160" priority="1" stopIfTrue="1">
      <formula>IF($L14="warning",TRUE,FALSE)</formula>
    </cfRule>
  </conditionalFormatting>
  <conditionalFormatting sqref="S14:Z14">
    <cfRule type="expression" dxfId="1161" priority="2" stopIfTrue="1">
      <formula>IF(OR($AU14="not",$AU14="resign",$AU14="resign",$AU14="end",$AU14="terminated",$AU14="permanent"),"TRUE","FALSE")</formula>
    </cfRule>
  </conditionalFormatting>
  <conditionalFormatting sqref="D14;D16:D18">
    <cfRule type="expression" dxfId="1162" priority="3" stopIfTrue="1">
      <formula>IF(OR($AT14="not",$AT14="resign",$AT14="resign",$AT14="end",$AT14="terminated",$AT14="permanent"),"TRUE","FALSE")</formula>
    </cfRule>
  </conditionalFormatting>
  <conditionalFormatting sqref="M14:M18;W15:X15">
    <cfRule type="expression" dxfId="1163" priority="4" stopIfTrue="1">
      <formula>IF(OR($AV14="not",$AV14="resign",$AV14="resign",$AV14="end",$AV14="terminated",$AV14="permanent"),"TRUE","FALSE")</formula>
    </cfRule>
  </conditionalFormatting>
  <conditionalFormatting sqref="Q15">
    <cfRule type="expression" dxfId="1164" priority="5" stopIfTrue="1">
      <formula>IF(OR($BE15="not",$BE15="resign",$BE15="resign",$BE15="end",$BE15="terminated",$BE15="permanent"),"TRUE","FALSE")</formula>
    </cfRule>
  </conditionalFormatting>
  <conditionalFormatting sqref="Y15:Z15">
    <cfRule type="expression" dxfId="1165" priority="6" stopIfTrue="1">
      <formula>IF(OR($BE15="not",$BE15="resign",$BE15="resign",$BE15="end",$BE15="terminated",$BE15="permanent"),"TRUE","FALSE")</formula>
    </cfRule>
  </conditionalFormatting>
  <conditionalFormatting sqref="D15">
    <cfRule type="expression" dxfId="1166" priority="7" stopIfTrue="1">
      <formula>IF(OR($BD15="not",$BD15="resign",$BD15="resign",$BD15="end",$BD15="terminated",$BD15="permanent"),"TRUE","FALSE")</formula>
    </cfRule>
  </conditionalFormatting>
  <conditionalFormatting sqref="T15:U15">
    <cfRule type="expression" dxfId="1167" priority="8" stopIfTrue="1">
      <formula>IF(OR($AV15="not",$AV15="resign",$AV15="resign",$AV15="end",$AV15="terminated",$AV15="permanent"),"TRUE","FALSE")</formula>
    </cfRule>
  </conditionalFormatting>
  <conditionalFormatting sqref="V15">
    <cfRule type="expression" dxfId="1168" priority="9" stopIfTrue="1">
      <formula>IF(OR($BE15="not",$BE15="resign",$BE15="resign",$BE15="end",$BE15="terminated",$BE15="permanent"),"TRUE","FALSE")</formula>
    </cfRule>
  </conditionalFormatting>
  <hyperlinks>
    <hyperlink ref="Y14" location="" display="yudha_hendratmo@yahoo.com"/>
  </hyperlinks>
  <printOptions horizontalCentered="1"/>
  <pageMargins left="0" right="0" top="1" bottom="1" header="0.5" footer="0.5"/>
  <pageSetup paperSize="9" scale="23" orientation="landscape"/>
  <headerFooter alignWithMargins="0"/>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Z7"/>
  <sheetViews>
    <sheetView workbookViewId="0">
      <selection activeCell="D10" sqref="D10"/>
    </sheetView>
  </sheetViews>
  <sheetFormatPr defaultColWidth="9" defaultRowHeight="12" outlineLevelRow="6"/>
  <cols>
    <col min="1" max="1" width="3.28333333333333" customWidth="1"/>
    <col min="2" max="2" width="9.14166666666667" customWidth="1"/>
    <col min="3" max="3" width="7.70833333333333" customWidth="1"/>
    <col min="4" max="4" width="19.7083333333333" customWidth="1"/>
    <col min="5" max="5" width="18" customWidth="1"/>
    <col min="6" max="6" width="3.70833333333333" customWidth="1"/>
    <col min="7" max="7" width="6.70833333333333" customWidth="1"/>
    <col min="8" max="8" width="13.1416666666667" customWidth="1"/>
    <col min="9" max="11" width="8.56666666666667" customWidth="1"/>
    <col min="12" max="12" width="1.85833333333333" customWidth="1"/>
    <col min="13" max="13" width="8.14166666666667" customWidth="1"/>
    <col min="14" max="14" width="7.28333333333333" customWidth="1"/>
    <col min="15" max="15" width="8.28333333333333" customWidth="1"/>
    <col min="16" max="16" width="14.5666666666667" customWidth="1"/>
    <col min="17" max="17" width="23" customWidth="1"/>
    <col min="18" max="18" width="45" customWidth="1"/>
    <col min="19" max="19" width="10.425" customWidth="1"/>
    <col min="20" max="20" width="14.8583333333333" customWidth="1"/>
    <col min="21" max="21" width="16.2833333333333" customWidth="1"/>
    <col min="22" max="22" width="10.425" customWidth="1"/>
    <col min="23" max="23" width="4.56666666666667" customWidth="1"/>
    <col min="24" max="24" width="23.8583333333333" customWidth="1"/>
    <col min="25" max="25" width="28.2833333333333" customWidth="1"/>
    <col min="26" max="26" width="18.1416666666667" customWidth="1"/>
  </cols>
  <sheetData>
    <row r="1" spans="1:26">
      <c r="A1" s="97" t="s">
        <v>7926</v>
      </c>
      <c r="B1" s="97"/>
      <c r="C1" s="97"/>
      <c r="D1" s="97"/>
      <c r="E1" s="97"/>
      <c r="F1" s="97"/>
      <c r="G1" s="97"/>
      <c r="H1" s="97"/>
      <c r="I1" s="97"/>
      <c r="J1" s="97"/>
      <c r="K1" s="97"/>
      <c r="L1" s="97"/>
      <c r="M1" s="523"/>
      <c r="N1" s="523"/>
      <c r="O1" s="523"/>
      <c r="P1" s="523"/>
      <c r="Q1" s="523"/>
      <c r="R1" s="523"/>
      <c r="S1" s="523"/>
      <c r="T1" s="523"/>
      <c r="U1" s="523"/>
      <c r="V1" s="523"/>
      <c r="W1" s="523"/>
      <c r="X1" s="91"/>
      <c r="Y1" s="91"/>
      <c r="Z1" s="91"/>
    </row>
    <row r="2" spans="1:26">
      <c r="A2" s="97" t="s">
        <v>11422</v>
      </c>
      <c r="B2" s="97"/>
      <c r="C2" s="97"/>
      <c r="D2" s="97"/>
      <c r="E2" s="97"/>
      <c r="F2" s="97"/>
      <c r="G2" s="97"/>
      <c r="H2" s="97"/>
      <c r="I2" s="97"/>
      <c r="J2" s="97"/>
      <c r="K2" s="97"/>
      <c r="L2" s="97"/>
      <c r="M2" s="523"/>
      <c r="N2" s="523"/>
      <c r="O2" s="523"/>
      <c r="P2" s="523"/>
      <c r="Q2" s="523"/>
      <c r="R2" s="523"/>
      <c r="S2" s="523"/>
      <c r="T2" s="523"/>
      <c r="U2" s="523"/>
      <c r="V2" s="523"/>
      <c r="W2" s="523"/>
      <c r="X2" s="91"/>
      <c r="Y2" s="91"/>
      <c r="Z2" s="91"/>
    </row>
    <row r="3" spans="1:26">
      <c r="A3" s="97"/>
      <c r="B3" s="97"/>
      <c r="C3" s="97"/>
      <c r="D3" s="97"/>
      <c r="E3" s="97"/>
      <c r="F3" s="97"/>
      <c r="G3" s="624"/>
      <c r="H3" s="97"/>
      <c r="I3" s="97"/>
      <c r="J3" s="97"/>
      <c r="K3" s="97"/>
      <c r="L3" s="97"/>
      <c r="M3" s="97"/>
      <c r="N3" s="97"/>
      <c r="O3" s="97"/>
      <c r="P3" s="97"/>
      <c r="Q3" s="97"/>
      <c r="R3" s="91"/>
      <c r="S3" s="91"/>
      <c r="T3" s="91"/>
      <c r="U3" s="91"/>
      <c r="V3" s="91"/>
      <c r="W3" s="91"/>
      <c r="X3" s="91"/>
      <c r="Y3" s="91"/>
      <c r="Z3" s="91"/>
    </row>
    <row r="4" ht="12.75" spans="1:26">
      <c r="A4" s="91"/>
      <c r="B4" s="91"/>
      <c r="C4" s="91"/>
      <c r="D4" s="96"/>
      <c r="E4" s="96"/>
      <c r="F4" s="96"/>
      <c r="G4" s="96"/>
      <c r="H4" s="91"/>
      <c r="I4" s="91"/>
      <c r="J4" s="91"/>
      <c r="K4" s="91"/>
      <c r="L4" s="91"/>
      <c r="M4" s="91"/>
      <c r="N4" s="91"/>
      <c r="O4" s="91"/>
      <c r="P4" s="91"/>
      <c r="Q4" s="91"/>
      <c r="R4" s="91"/>
      <c r="S4" s="91"/>
      <c r="T4" s="91"/>
      <c r="U4" s="91"/>
      <c r="V4" s="91"/>
      <c r="W4" s="91"/>
      <c r="X4" s="91"/>
      <c r="Y4" s="91"/>
      <c r="Z4" s="91"/>
    </row>
    <row r="5" ht="14.25" customHeight="1" spans="1:26">
      <c r="A5" s="98" t="s">
        <v>0</v>
      </c>
      <c r="B5" s="98" t="s">
        <v>1</v>
      </c>
      <c r="C5" s="98" t="s">
        <v>11423</v>
      </c>
      <c r="D5" s="98" t="s">
        <v>2</v>
      </c>
      <c r="E5" s="98" t="s">
        <v>3</v>
      </c>
      <c r="F5" s="98" t="s">
        <v>7928</v>
      </c>
      <c r="G5" s="98" t="s">
        <v>7929</v>
      </c>
      <c r="H5" s="98" t="s">
        <v>8</v>
      </c>
      <c r="I5" s="174" t="s">
        <v>9</v>
      </c>
      <c r="J5" s="532"/>
      <c r="K5" s="186"/>
      <c r="L5" s="532"/>
      <c r="M5" s="103" t="s">
        <v>14</v>
      </c>
      <c r="N5" s="103" t="s">
        <v>15</v>
      </c>
      <c r="O5" s="535" t="s">
        <v>11424</v>
      </c>
      <c r="P5" s="98" t="s">
        <v>11425</v>
      </c>
      <c r="Q5" s="98" t="s">
        <v>15</v>
      </c>
      <c r="R5" s="117" t="s">
        <v>28</v>
      </c>
      <c r="S5" s="117" t="s">
        <v>11426</v>
      </c>
      <c r="T5" s="647" t="s">
        <v>31</v>
      </c>
      <c r="U5" s="647" t="s">
        <v>32</v>
      </c>
      <c r="V5" s="647" t="s">
        <v>7934</v>
      </c>
      <c r="W5" s="647" t="s">
        <v>34</v>
      </c>
      <c r="X5" s="118" t="s">
        <v>11427</v>
      </c>
      <c r="Y5" s="117" t="s">
        <v>7936</v>
      </c>
      <c r="Z5" s="124" t="s">
        <v>36</v>
      </c>
    </row>
    <row r="6" ht="13.5" spans="1:26">
      <c r="A6" s="99"/>
      <c r="B6" s="99"/>
      <c r="C6" s="99"/>
      <c r="D6" s="99"/>
      <c r="E6" s="99"/>
      <c r="F6" s="99"/>
      <c r="G6" s="99"/>
      <c r="H6" s="99"/>
      <c r="I6" s="103" t="s">
        <v>37</v>
      </c>
      <c r="J6" s="103" t="s">
        <v>38</v>
      </c>
      <c r="K6" s="103">
        <v>1</v>
      </c>
      <c r="L6" s="103">
        <v>2</v>
      </c>
      <c r="M6" s="111"/>
      <c r="N6" s="111"/>
      <c r="O6" s="115"/>
      <c r="P6" s="99"/>
      <c r="Q6" s="99"/>
      <c r="R6" s="119"/>
      <c r="S6" s="119"/>
      <c r="T6" s="648"/>
      <c r="U6" s="648"/>
      <c r="V6" s="648"/>
      <c r="W6" s="648"/>
      <c r="X6" s="120"/>
      <c r="Y6" s="119"/>
      <c r="Z6" s="126"/>
    </row>
    <row r="7" s="664" customFormat="1" ht="21.75" spans="1:26">
      <c r="A7" s="100">
        <v>1</v>
      </c>
      <c r="B7" s="160" t="s">
        <v>11428</v>
      </c>
      <c r="C7" s="160"/>
      <c r="D7" s="461" t="s">
        <v>11429</v>
      </c>
      <c r="E7" s="625" t="s">
        <v>11430</v>
      </c>
      <c r="F7" s="625" t="s">
        <v>125</v>
      </c>
      <c r="G7" s="626" t="s">
        <v>44</v>
      </c>
      <c r="H7" s="100" t="s">
        <v>7940</v>
      </c>
      <c r="I7" s="468">
        <v>42857</v>
      </c>
      <c r="J7" s="468">
        <v>43221</v>
      </c>
      <c r="K7" s="468">
        <v>43586</v>
      </c>
      <c r="L7" s="468"/>
      <c r="M7" s="540">
        <f ca="1">SUM(K7-NOW())</f>
        <v>313.61546296296</v>
      </c>
      <c r="N7" s="100" t="str">
        <f ca="1">IF(M7&lt;=46,"WARNING","ACTIVE")</f>
        <v>ACTIVE</v>
      </c>
      <c r="O7" s="665">
        <v>3648036</v>
      </c>
      <c r="P7" s="665">
        <v>20000</v>
      </c>
      <c r="Q7" s="540" t="s">
        <v>11431</v>
      </c>
      <c r="R7" s="100" t="s">
        <v>11432</v>
      </c>
      <c r="S7" s="1585" t="s">
        <v>11433</v>
      </c>
      <c r="T7" s="666" t="s">
        <v>11434</v>
      </c>
      <c r="U7" s="666"/>
      <c r="V7" s="666"/>
      <c r="W7" s="666"/>
      <c r="X7" s="223" t="s">
        <v>11435</v>
      </c>
      <c r="Y7" s="667" t="s">
        <v>11436</v>
      </c>
      <c r="Z7" s="101"/>
    </row>
  </sheetData>
  <mergeCells count="25">
    <mergeCell ref="A1:L1"/>
    <mergeCell ref="A2:L2"/>
    <mergeCell ref="I5:K5"/>
    <mergeCell ref="A5:A6"/>
    <mergeCell ref="B5:B6"/>
    <mergeCell ref="C5:C6"/>
    <mergeCell ref="D5:D6"/>
    <mergeCell ref="E5:E6"/>
    <mergeCell ref="F5:F6"/>
    <mergeCell ref="G5:G6"/>
    <mergeCell ref="H5:H6"/>
    <mergeCell ref="M5:M6"/>
    <mergeCell ref="N5:N6"/>
    <mergeCell ref="O5:O6"/>
    <mergeCell ref="P5:P6"/>
    <mergeCell ref="Q5:Q6"/>
    <mergeCell ref="R5:R6"/>
    <mergeCell ref="S5:S6"/>
    <mergeCell ref="T5:T6"/>
    <mergeCell ref="U5:U6"/>
    <mergeCell ref="V5:V6"/>
    <mergeCell ref="W5:W6"/>
    <mergeCell ref="X5:X6"/>
    <mergeCell ref="Y5:Y6"/>
    <mergeCell ref="Z5:Z6"/>
  </mergeCells>
  <conditionalFormatting sqref="B7:L7;O7:Z7">
    <cfRule type="expression" dxfId="1169" priority="1" stopIfTrue="1">
      <formula>IF(OR($AU7="not",$AU7="resign",$AU7="resign",$AU7="end",$AU7="terminated",$AU7="permanent"),"TRUE","FALSE")</formula>
    </cfRule>
  </conditionalFormatting>
  <conditionalFormatting sqref="M7:N7">
    <cfRule type="expression" dxfId="1170" priority="2" stopIfTrue="1">
      <formula>IF(OR($AR7="not",$AR7="resign",$AR7="resign",$AR7="end",$AR7="terminated",$AR7="permanent"),"TRUE","FALSE")</formula>
    </cfRule>
  </conditionalFormatting>
  <hyperlinks>
    <hyperlink ref="Y7" location="" display="winonadonna@gmail.com"/>
  </hyperlink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pageSetUpPr fitToPage="1"/>
  </sheetPr>
  <dimension ref="A1:BN165"/>
  <sheetViews>
    <sheetView showGridLines="0" topLeftCell="A12" workbookViewId="0">
      <pane xSplit="4" ySplit="2" topLeftCell="AI44" activePane="bottomRight" state="frozen"/>
      <selection/>
      <selection pane="topRight"/>
      <selection pane="bottomLeft"/>
      <selection pane="bottomRight" activeCell="V24" sqref="V24:W24"/>
    </sheetView>
  </sheetViews>
  <sheetFormatPr defaultColWidth="9" defaultRowHeight="10.5"/>
  <cols>
    <col min="1" max="1" width="5.425" style="94" customWidth="1"/>
    <col min="2" max="3" width="10.2833333333333" style="94" customWidth="1"/>
    <col min="4" max="4" width="25.1416666666667" style="94" customWidth="1"/>
    <col min="5" max="5" width="15.5666666666667" style="94" customWidth="1"/>
    <col min="6" max="6" width="5.70833333333333" style="94" customWidth="1"/>
    <col min="7" max="7" width="8.14166666666667" style="94" customWidth="1"/>
    <col min="8" max="8" width="11" style="94" customWidth="1"/>
    <col min="9" max="9" width="10.2833333333333" style="94" customWidth="1"/>
    <col min="10" max="12" width="10" style="94" customWidth="1"/>
    <col min="13" max="15" width="9.14166666666667" style="94" customWidth="1"/>
    <col min="16" max="23" width="9.14166666666667" style="93" customWidth="1"/>
    <col min="24" max="24" width="8.425" style="94" customWidth="1"/>
    <col min="25" max="25" width="10.1416666666667" style="94" customWidth="1"/>
    <col min="26" max="26" width="12.1416666666667" style="94" customWidth="1"/>
    <col min="27" max="28" width="10.8583333333333" style="94" customWidth="1"/>
    <col min="29" max="29" width="8.14166666666667" style="94" customWidth="1"/>
    <col min="30" max="30" width="45" style="94" customWidth="1"/>
    <col min="31" max="31" width="15.7083333333333" style="94" customWidth="1"/>
    <col min="32" max="32" width="37.5666666666667" style="94" customWidth="1"/>
    <col min="33" max="33" width="21.7083333333333" style="518" customWidth="1"/>
    <col min="34" max="34" width="15.2833333333333" style="518" customWidth="1"/>
    <col min="35" max="35" width="16.5666666666667" style="518" customWidth="1"/>
    <col min="36" max="36" width="12.5666666666667" style="518" customWidth="1"/>
    <col min="37" max="37" width="16" style="518" customWidth="1"/>
    <col min="38" max="38" width="26.1416666666667" style="518" customWidth="1"/>
    <col min="39" max="39" width="17.2833333333333" style="518" customWidth="1"/>
    <col min="40" max="40" width="31.8583333333333" style="518" customWidth="1"/>
    <col min="41" max="41" width="24.1416666666667" style="94" customWidth="1"/>
    <col min="42" max="16384" width="9.14166666666667" style="94"/>
  </cols>
  <sheetData>
    <row r="1" s="91" customFormat="1" spans="1:40">
      <c r="A1" s="96"/>
      <c r="B1" s="96"/>
      <c r="C1" s="96"/>
      <c r="D1" s="96"/>
      <c r="E1" s="96"/>
      <c r="F1" s="96"/>
      <c r="G1" s="96"/>
      <c r="AE1" s="644"/>
      <c r="AG1" s="213"/>
      <c r="AH1" s="213"/>
      <c r="AI1" s="213"/>
      <c r="AJ1" s="213"/>
      <c r="AK1" s="213"/>
      <c r="AL1" s="651" t="s">
        <v>11108</v>
      </c>
      <c r="AM1" s="213"/>
      <c r="AN1" s="213"/>
    </row>
    <row r="2" s="91" customFormat="1" spans="1:40">
      <c r="A2" s="96"/>
      <c r="B2" s="96"/>
      <c r="C2" s="96"/>
      <c r="D2" s="96"/>
      <c r="E2" s="96"/>
      <c r="F2" s="96"/>
      <c r="G2" s="96"/>
      <c r="AE2" s="645"/>
      <c r="AG2" s="213"/>
      <c r="AH2" s="213"/>
      <c r="AI2" s="213"/>
      <c r="AJ2" s="213"/>
      <c r="AK2" s="213"/>
      <c r="AL2" s="651" t="s">
        <v>11109</v>
      </c>
      <c r="AM2" s="213"/>
      <c r="AN2" s="213"/>
    </row>
    <row r="3" s="91" customFormat="1" spans="1:40">
      <c r="A3" s="96"/>
      <c r="B3" s="96"/>
      <c r="C3" s="96"/>
      <c r="D3" s="96"/>
      <c r="E3" s="96"/>
      <c r="F3" s="96"/>
      <c r="G3" s="96"/>
      <c r="AE3" s="645"/>
      <c r="AG3" s="213"/>
      <c r="AH3" s="213"/>
      <c r="AI3" s="213"/>
      <c r="AJ3" s="213"/>
      <c r="AK3" s="213"/>
      <c r="AL3" s="651" t="s">
        <v>11110</v>
      </c>
      <c r="AM3" s="213"/>
      <c r="AN3" s="213"/>
    </row>
    <row r="4" s="91" customFormat="1" spans="1:40">
      <c r="A4" s="96"/>
      <c r="B4" s="96"/>
      <c r="C4" s="96"/>
      <c r="D4" s="96"/>
      <c r="E4" s="96"/>
      <c r="F4" s="96"/>
      <c r="G4" s="96"/>
      <c r="AE4" s="645"/>
      <c r="AG4" s="213"/>
      <c r="AH4" s="213"/>
      <c r="AI4" s="213"/>
      <c r="AJ4" s="213"/>
      <c r="AK4" s="213"/>
      <c r="AL4" s="651" t="s">
        <v>11111</v>
      </c>
      <c r="AM4" s="213"/>
      <c r="AN4" s="213"/>
    </row>
    <row r="5" s="91" customFormat="1" spans="1:40">
      <c r="A5" s="96"/>
      <c r="B5" s="96"/>
      <c r="C5" s="96"/>
      <c r="D5" s="96"/>
      <c r="E5" s="96"/>
      <c r="F5" s="96"/>
      <c r="G5" s="96"/>
      <c r="AG5" s="213"/>
      <c r="AH5" s="213"/>
      <c r="AI5" s="213"/>
      <c r="AJ5" s="213"/>
      <c r="AK5" s="213"/>
      <c r="AL5" s="213"/>
      <c r="AM5" s="213"/>
      <c r="AN5" s="213"/>
    </row>
    <row r="6" s="91" customFormat="1" spans="1:40">
      <c r="A6" s="96"/>
      <c r="B6" s="96"/>
      <c r="C6" s="96"/>
      <c r="D6" s="96"/>
      <c r="E6" s="96"/>
      <c r="F6" s="96"/>
      <c r="G6" s="96"/>
      <c r="AG6" s="213"/>
      <c r="AH6" s="213"/>
      <c r="AI6" s="213"/>
      <c r="AJ6" s="213"/>
      <c r="AK6" s="213"/>
      <c r="AL6" s="213"/>
      <c r="AM6" s="213"/>
      <c r="AN6" s="213"/>
    </row>
    <row r="7" s="91" customFormat="1" spans="4:40">
      <c r="D7" s="96"/>
      <c r="E7" s="96"/>
      <c r="F7" s="96"/>
      <c r="G7" s="96"/>
      <c r="AG7" s="213"/>
      <c r="AH7" s="213"/>
      <c r="AI7" s="213"/>
      <c r="AJ7" s="213"/>
      <c r="AK7" s="213"/>
      <c r="AL7" s="213"/>
      <c r="AM7" s="213"/>
      <c r="AN7" s="213"/>
    </row>
    <row r="8" s="91" customFormat="1" spans="1:40">
      <c r="A8" s="97" t="s">
        <v>7926</v>
      </c>
      <c r="B8" s="97"/>
      <c r="C8" s="97"/>
      <c r="D8" s="97"/>
      <c r="E8" s="97"/>
      <c r="F8" s="97"/>
      <c r="G8" s="97"/>
      <c r="H8" s="97"/>
      <c r="I8" s="97"/>
      <c r="J8" s="97"/>
      <c r="K8" s="97"/>
      <c r="L8" s="97"/>
      <c r="M8" s="97"/>
      <c r="N8" s="97"/>
      <c r="O8" s="97"/>
      <c r="P8" s="97"/>
      <c r="Q8" s="97"/>
      <c r="R8" s="97"/>
      <c r="S8" s="97"/>
      <c r="T8" s="97"/>
      <c r="U8" s="97"/>
      <c r="V8" s="97"/>
      <c r="W8" s="97"/>
      <c r="X8" s="523"/>
      <c r="Y8" s="523"/>
      <c r="Z8" s="523"/>
      <c r="AA8" s="523"/>
      <c r="AB8" s="523"/>
      <c r="AC8" s="523"/>
      <c r="AD8" s="523"/>
      <c r="AE8" s="523"/>
      <c r="AF8" s="523"/>
      <c r="AG8" s="646"/>
      <c r="AH8" s="646"/>
      <c r="AI8" s="646"/>
      <c r="AJ8" s="646"/>
      <c r="AK8" s="646"/>
      <c r="AL8" s="213"/>
      <c r="AM8" s="213"/>
      <c r="AN8" s="213"/>
    </row>
    <row r="9" s="91" customFormat="1" spans="1:40">
      <c r="A9" s="97" t="s">
        <v>11422</v>
      </c>
      <c r="B9" s="97"/>
      <c r="C9" s="97"/>
      <c r="D9" s="97"/>
      <c r="E9" s="97"/>
      <c r="F9" s="97"/>
      <c r="G9" s="97"/>
      <c r="H9" s="97"/>
      <c r="I9" s="97"/>
      <c r="J9" s="97"/>
      <c r="K9" s="97"/>
      <c r="L9" s="97"/>
      <c r="M9" s="97"/>
      <c r="N9" s="97"/>
      <c r="O9" s="97"/>
      <c r="P9" s="97"/>
      <c r="Q9" s="97"/>
      <c r="R9" s="97"/>
      <c r="S9" s="97"/>
      <c r="T9" s="97"/>
      <c r="U9" s="97"/>
      <c r="V9" s="97"/>
      <c r="W9" s="97"/>
      <c r="X9" s="523"/>
      <c r="Y9" s="523"/>
      <c r="Z9" s="523"/>
      <c r="AA9" s="523"/>
      <c r="AB9" s="523"/>
      <c r="AC9" s="523"/>
      <c r="AD9" s="523"/>
      <c r="AE9" s="523"/>
      <c r="AF9" s="523"/>
      <c r="AG9" s="646"/>
      <c r="AH9" s="646"/>
      <c r="AI9" s="646"/>
      <c r="AJ9" s="646"/>
      <c r="AK9" s="646"/>
      <c r="AL9" s="213"/>
      <c r="AM9" s="213"/>
      <c r="AN9" s="213"/>
    </row>
    <row r="10" s="91" customFormat="1" spans="1:40">
      <c r="A10" s="97"/>
      <c r="B10" s="97"/>
      <c r="C10" s="97"/>
      <c r="D10" s="97"/>
      <c r="E10" s="97"/>
      <c r="F10" s="97"/>
      <c r="G10" s="624"/>
      <c r="H10" s="97"/>
      <c r="I10" s="97"/>
      <c r="J10" s="97"/>
      <c r="K10" s="97"/>
      <c r="L10" s="97"/>
      <c r="M10" s="97"/>
      <c r="N10" s="97"/>
      <c r="O10" s="97"/>
      <c r="P10" s="97"/>
      <c r="Q10" s="97"/>
      <c r="R10" s="97"/>
      <c r="S10" s="97"/>
      <c r="T10" s="97"/>
      <c r="U10" s="97"/>
      <c r="V10" s="97"/>
      <c r="W10" s="97"/>
      <c r="X10" s="97"/>
      <c r="Y10" s="97"/>
      <c r="Z10" s="97"/>
      <c r="AA10" s="97"/>
      <c r="AB10" s="97"/>
      <c r="AC10" s="97"/>
      <c r="AD10" s="97"/>
      <c r="AG10" s="213"/>
      <c r="AH10" s="213"/>
      <c r="AI10" s="213"/>
      <c r="AJ10" s="213"/>
      <c r="AK10" s="213"/>
      <c r="AL10" s="213"/>
      <c r="AM10" s="213"/>
      <c r="AN10" s="213"/>
    </row>
    <row r="11" s="91" customFormat="1" ht="11.25" spans="4:40">
      <c r="D11" s="96"/>
      <c r="E11" s="96"/>
      <c r="F11" s="96"/>
      <c r="G11" s="96"/>
      <c r="AG11" s="213"/>
      <c r="AH11" s="213"/>
      <c r="AI11" s="213"/>
      <c r="AJ11" s="213"/>
      <c r="AK11" s="213"/>
      <c r="AL11" s="213"/>
      <c r="AM11" s="213"/>
      <c r="AN11" s="213"/>
    </row>
    <row r="12" s="91" customFormat="1" ht="12" customHeight="1" spans="1:40">
      <c r="A12" s="98" t="s">
        <v>0</v>
      </c>
      <c r="B12" s="98" t="s">
        <v>1</v>
      </c>
      <c r="C12" s="98" t="s">
        <v>11423</v>
      </c>
      <c r="D12" s="98" t="s">
        <v>2</v>
      </c>
      <c r="E12" s="98" t="s">
        <v>3</v>
      </c>
      <c r="F12" s="98" t="s">
        <v>4</v>
      </c>
      <c r="G12" s="98" t="s">
        <v>7929</v>
      </c>
      <c r="H12" s="98" t="s">
        <v>8</v>
      </c>
      <c r="I12" s="174" t="s">
        <v>9</v>
      </c>
      <c r="J12" s="532"/>
      <c r="K12" s="186"/>
      <c r="L12" s="532"/>
      <c r="M12" s="174" t="s">
        <v>11</v>
      </c>
      <c r="N12" s="186"/>
      <c r="O12" s="532"/>
      <c r="P12" s="634" t="s">
        <v>11437</v>
      </c>
      <c r="Q12" s="636"/>
      <c r="R12" s="174" t="s">
        <v>13</v>
      </c>
      <c r="S12" s="186"/>
      <c r="T12" s="186"/>
      <c r="U12" s="186"/>
      <c r="V12" s="634" t="s">
        <v>11437</v>
      </c>
      <c r="W12" s="636"/>
      <c r="X12" s="103" t="s">
        <v>14</v>
      </c>
      <c r="Y12" s="103" t="s">
        <v>15</v>
      </c>
      <c r="Z12" s="535" t="s">
        <v>11424</v>
      </c>
      <c r="AA12" s="98" t="s">
        <v>11425</v>
      </c>
      <c r="AB12" s="189" t="s">
        <v>11438</v>
      </c>
      <c r="AC12" s="98" t="s">
        <v>11439</v>
      </c>
      <c r="AD12" s="98" t="s">
        <v>15</v>
      </c>
      <c r="AE12" s="117" t="s">
        <v>11116</v>
      </c>
      <c r="AF12" s="117" t="s">
        <v>28</v>
      </c>
      <c r="AG12" s="647" t="s">
        <v>11426</v>
      </c>
      <c r="AH12" s="647" t="s">
        <v>31</v>
      </c>
      <c r="AI12" s="647" t="s">
        <v>32</v>
      </c>
      <c r="AJ12" s="647" t="s">
        <v>7934</v>
      </c>
      <c r="AK12" s="647" t="s">
        <v>34</v>
      </c>
      <c r="AL12" s="597" t="s">
        <v>11427</v>
      </c>
      <c r="AM12" s="647" t="s">
        <v>7936</v>
      </c>
      <c r="AN12" s="226" t="s">
        <v>36</v>
      </c>
    </row>
    <row r="13" s="91" customFormat="1" ht="12" spans="1:40">
      <c r="A13" s="99"/>
      <c r="B13" s="99"/>
      <c r="C13" s="99"/>
      <c r="D13" s="99"/>
      <c r="E13" s="99"/>
      <c r="F13" s="99"/>
      <c r="G13" s="99"/>
      <c r="H13" s="99"/>
      <c r="I13" s="103" t="s">
        <v>37</v>
      </c>
      <c r="J13" s="103" t="s">
        <v>38</v>
      </c>
      <c r="K13" s="103">
        <v>1</v>
      </c>
      <c r="L13" s="103">
        <v>2</v>
      </c>
      <c r="M13" s="103" t="s">
        <v>37</v>
      </c>
      <c r="N13" s="103" t="s">
        <v>38</v>
      </c>
      <c r="O13" s="103">
        <v>1</v>
      </c>
      <c r="P13" s="635" t="s">
        <v>37</v>
      </c>
      <c r="Q13" s="635" t="s">
        <v>38</v>
      </c>
      <c r="R13" s="103" t="s">
        <v>37</v>
      </c>
      <c r="S13" s="103" t="s">
        <v>38</v>
      </c>
      <c r="T13" s="103">
        <v>1</v>
      </c>
      <c r="U13" s="103">
        <v>2</v>
      </c>
      <c r="V13" s="635" t="s">
        <v>37</v>
      </c>
      <c r="W13" s="635" t="s">
        <v>38</v>
      </c>
      <c r="X13" s="111"/>
      <c r="Y13" s="111"/>
      <c r="Z13" s="115"/>
      <c r="AA13" s="99"/>
      <c r="AB13" s="190"/>
      <c r="AC13" s="99"/>
      <c r="AD13" s="99"/>
      <c r="AE13" s="119"/>
      <c r="AF13" s="119"/>
      <c r="AG13" s="648"/>
      <c r="AH13" s="648"/>
      <c r="AI13" s="648"/>
      <c r="AJ13" s="648"/>
      <c r="AK13" s="648"/>
      <c r="AL13" s="598"/>
      <c r="AM13" s="648"/>
      <c r="AN13" s="227"/>
    </row>
    <row r="14" s="93" customFormat="1" ht="42.75" spans="1:66">
      <c r="A14" s="100">
        <f t="shared" ref="A14:A73" si="0">ROW()-13</f>
        <v>1</v>
      </c>
      <c r="B14" s="160" t="s">
        <v>11440</v>
      </c>
      <c r="C14" s="160" t="s">
        <v>11441</v>
      </c>
      <c r="D14" s="461" t="s">
        <v>11442</v>
      </c>
      <c r="E14" s="625">
        <v>30057</v>
      </c>
      <c r="F14" s="625" t="s">
        <v>43</v>
      </c>
      <c r="G14" s="102" t="s">
        <v>60</v>
      </c>
      <c r="H14" s="432" t="s">
        <v>2823</v>
      </c>
      <c r="I14" s="468">
        <v>42241</v>
      </c>
      <c r="J14" s="468">
        <v>42971</v>
      </c>
      <c r="K14" s="468"/>
      <c r="L14" s="531"/>
      <c r="M14" s="468">
        <v>42972</v>
      </c>
      <c r="N14" s="468">
        <v>43155</v>
      </c>
      <c r="O14" s="468">
        <v>43336</v>
      </c>
      <c r="P14" s="468">
        <v>43337</v>
      </c>
      <c r="Q14" s="468">
        <v>43367</v>
      </c>
      <c r="R14" s="468">
        <v>43368</v>
      </c>
      <c r="S14" s="468">
        <v>43520</v>
      </c>
      <c r="T14" s="468"/>
      <c r="U14" s="468"/>
      <c r="V14" s="468"/>
      <c r="W14" s="468"/>
      <c r="X14" s="476">
        <f ca="1">SUM(S14-NOW())</f>
        <v>247.61546296296</v>
      </c>
      <c r="Y14" s="468" t="str">
        <f ca="1" t="shared" ref="Y14:Y41" si="1">IF(X14&lt;=40,"WARNING","ACTIVE")</f>
        <v>ACTIVE</v>
      </c>
      <c r="Z14" s="207">
        <v>3648036</v>
      </c>
      <c r="AA14" s="207">
        <v>15000</v>
      </c>
      <c r="AB14" s="207"/>
      <c r="AC14" s="207"/>
      <c r="AD14" s="207" t="s">
        <v>11443</v>
      </c>
      <c r="AE14" s="432" t="s">
        <v>11444</v>
      </c>
      <c r="AF14" s="432" t="s">
        <v>11445</v>
      </c>
      <c r="AG14" s="1579" t="s">
        <v>11446</v>
      </c>
      <c r="AH14" s="599"/>
      <c r="AI14" s="1600" t="s">
        <v>11447</v>
      </c>
      <c r="AJ14" s="599"/>
      <c r="AK14" s="1600" t="s">
        <v>11448</v>
      </c>
      <c r="AL14" s="599" t="s">
        <v>11449</v>
      </c>
      <c r="AM14" s="649"/>
      <c r="AN14" s="221"/>
      <c r="AP14" s="653"/>
      <c r="BK14" s="490"/>
      <c r="BL14" s="491"/>
      <c r="BM14" s="533"/>
      <c r="BN14" s="91"/>
    </row>
    <row r="15" s="93" customFormat="1" ht="42" spans="1:66">
      <c r="A15" s="100">
        <f t="shared" si="0"/>
        <v>2</v>
      </c>
      <c r="B15" s="160" t="s">
        <v>11450</v>
      </c>
      <c r="C15" s="160" t="s">
        <v>11451</v>
      </c>
      <c r="D15" s="461" t="s">
        <v>11452</v>
      </c>
      <c r="E15" s="625">
        <v>26841</v>
      </c>
      <c r="F15" s="625" t="s">
        <v>43</v>
      </c>
      <c r="G15" s="102" t="s">
        <v>96</v>
      </c>
      <c r="H15" s="432" t="s">
        <v>1533</v>
      </c>
      <c r="I15" s="468">
        <v>42339</v>
      </c>
      <c r="J15" s="468">
        <v>43069</v>
      </c>
      <c r="K15" s="468"/>
      <c r="L15" s="531"/>
      <c r="M15" s="468">
        <v>43070</v>
      </c>
      <c r="N15" s="468">
        <v>43434</v>
      </c>
      <c r="O15" s="468"/>
      <c r="P15" s="468"/>
      <c r="Q15" s="468"/>
      <c r="R15" s="468"/>
      <c r="S15" s="468"/>
      <c r="T15" s="468"/>
      <c r="U15" s="468"/>
      <c r="V15" s="468"/>
      <c r="W15" s="468"/>
      <c r="X15" s="476">
        <f ca="1">SUM(N15-NOW())</f>
        <v>161.61546296296</v>
      </c>
      <c r="Y15" s="468" t="str">
        <f ca="1" t="shared" si="1"/>
        <v>ACTIVE</v>
      </c>
      <c r="Z15" s="207">
        <v>3648036</v>
      </c>
      <c r="AA15" s="207">
        <v>15000</v>
      </c>
      <c r="AB15" s="207"/>
      <c r="AC15" s="207"/>
      <c r="AD15" s="207" t="s">
        <v>11443</v>
      </c>
      <c r="AE15" s="432" t="s">
        <v>11444</v>
      </c>
      <c r="AF15" s="432" t="s">
        <v>11453</v>
      </c>
      <c r="AG15" s="122" t="s">
        <v>11454</v>
      </c>
      <c r="AH15" s="599"/>
      <c r="AI15" s="599"/>
      <c r="AJ15" s="599"/>
      <c r="AK15" s="1600" t="s">
        <v>11455</v>
      </c>
      <c r="AL15" s="599" t="s">
        <v>11456</v>
      </c>
      <c r="AM15" s="649"/>
      <c r="AN15" s="221"/>
      <c r="AP15" s="653"/>
      <c r="BK15" s="490"/>
      <c r="BL15" s="491"/>
      <c r="BM15" s="533"/>
      <c r="BN15" s="91"/>
    </row>
    <row r="16" s="93" customFormat="1" ht="31.5" spans="1:66">
      <c r="A16" s="100">
        <f t="shared" si="0"/>
        <v>3</v>
      </c>
      <c r="B16" s="160" t="s">
        <v>11457</v>
      </c>
      <c r="C16" s="160" t="s">
        <v>11441</v>
      </c>
      <c r="D16" s="461" t="s">
        <v>11458</v>
      </c>
      <c r="E16" s="625">
        <v>25887</v>
      </c>
      <c r="F16" s="625" t="s">
        <v>43</v>
      </c>
      <c r="G16" s="102" t="s">
        <v>254</v>
      </c>
      <c r="H16" s="432" t="s">
        <v>1533</v>
      </c>
      <c r="I16" s="468">
        <v>42529</v>
      </c>
      <c r="J16" s="468">
        <v>43258</v>
      </c>
      <c r="K16" s="468"/>
      <c r="L16" s="531"/>
      <c r="M16" s="469">
        <v>43259</v>
      </c>
      <c r="N16" s="469">
        <v>43623</v>
      </c>
      <c r="O16" s="468"/>
      <c r="P16" s="468"/>
      <c r="Q16" s="468"/>
      <c r="R16" s="468"/>
      <c r="S16" s="468"/>
      <c r="T16" s="468"/>
      <c r="U16" s="468"/>
      <c r="V16" s="468"/>
      <c r="W16" s="468"/>
      <c r="X16" s="476">
        <f ca="1">SUM(J16-NOW())</f>
        <v>-14.38453703704</v>
      </c>
      <c r="Y16" s="468" t="str">
        <f ca="1" t="shared" si="1"/>
        <v>WARNING</v>
      </c>
      <c r="Z16" s="207">
        <v>3648036</v>
      </c>
      <c r="AA16" s="207">
        <v>15000</v>
      </c>
      <c r="AB16" s="207"/>
      <c r="AC16" s="207"/>
      <c r="AD16" s="207" t="s">
        <v>11459</v>
      </c>
      <c r="AE16" s="432" t="s">
        <v>11444</v>
      </c>
      <c r="AF16" s="432" t="s">
        <v>11460</v>
      </c>
      <c r="AG16" s="122" t="s">
        <v>11461</v>
      </c>
      <c r="AH16" s="599"/>
      <c r="AI16" s="599"/>
      <c r="AJ16" s="599"/>
      <c r="AK16" s="1600" t="s">
        <v>11462</v>
      </c>
      <c r="AL16" s="599" t="s">
        <v>11463</v>
      </c>
      <c r="AM16" s="649"/>
      <c r="AN16" s="221"/>
      <c r="AP16" s="653"/>
      <c r="BK16" s="490"/>
      <c r="BL16" s="491"/>
      <c r="BM16" s="530"/>
      <c r="BN16" s="91"/>
    </row>
    <row r="17" s="93" customFormat="1" ht="31.5" spans="1:66">
      <c r="A17" s="100">
        <f t="shared" si="0"/>
        <v>4</v>
      </c>
      <c r="B17" s="160" t="s">
        <v>11464</v>
      </c>
      <c r="C17" s="160" t="s">
        <v>11441</v>
      </c>
      <c r="D17" s="461" t="s">
        <v>11465</v>
      </c>
      <c r="E17" s="625">
        <v>28502</v>
      </c>
      <c r="F17" s="625" t="s">
        <v>43</v>
      </c>
      <c r="G17" s="102" t="s">
        <v>96</v>
      </c>
      <c r="H17" s="432" t="s">
        <v>1533</v>
      </c>
      <c r="I17" s="468">
        <v>42491</v>
      </c>
      <c r="J17" s="531">
        <v>43220</v>
      </c>
      <c r="K17" s="531"/>
      <c r="L17" s="531"/>
      <c r="M17" s="631">
        <v>43221</v>
      </c>
      <c r="N17" s="631">
        <v>43585</v>
      </c>
      <c r="O17" s="531"/>
      <c r="P17" s="531"/>
      <c r="Q17" s="531"/>
      <c r="R17" s="531"/>
      <c r="S17" s="531"/>
      <c r="T17" s="531"/>
      <c r="U17" s="121"/>
      <c r="V17" s="531"/>
      <c r="W17" s="531"/>
      <c r="X17" s="476">
        <f ca="1">SUM(N17-NOW())</f>
        <v>312.61546296296</v>
      </c>
      <c r="Y17" s="468" t="str">
        <f ca="1" t="shared" si="1"/>
        <v>ACTIVE</v>
      </c>
      <c r="Z17" s="207">
        <v>3648036</v>
      </c>
      <c r="AA17" s="207">
        <v>15000</v>
      </c>
      <c r="AB17" s="207"/>
      <c r="AC17" s="207"/>
      <c r="AD17" s="207" t="s">
        <v>11466</v>
      </c>
      <c r="AE17" s="432" t="s">
        <v>11444</v>
      </c>
      <c r="AF17" s="432" t="s">
        <v>11467</v>
      </c>
      <c r="AG17" s="122" t="s">
        <v>11468</v>
      </c>
      <c r="AH17" s="599" t="s">
        <v>11469</v>
      </c>
      <c r="AI17" s="649" t="s">
        <v>11470</v>
      </c>
      <c r="AJ17" s="599"/>
      <c r="AK17" s="1600" t="s">
        <v>11471</v>
      </c>
      <c r="AL17" s="599" t="s">
        <v>11472</v>
      </c>
      <c r="AM17" s="649"/>
      <c r="AN17" s="221"/>
      <c r="AP17" s="653"/>
      <c r="BK17" s="490"/>
      <c r="BL17" s="491"/>
      <c r="BM17" s="530"/>
      <c r="BN17" s="91"/>
    </row>
    <row r="18" s="93" customFormat="1" ht="31.5" spans="1:66">
      <c r="A18" s="100">
        <f t="shared" si="0"/>
        <v>5</v>
      </c>
      <c r="B18" s="160" t="s">
        <v>11473</v>
      </c>
      <c r="C18" s="160" t="s">
        <v>11441</v>
      </c>
      <c r="D18" s="461" t="s">
        <v>11474</v>
      </c>
      <c r="E18" s="625">
        <v>21014</v>
      </c>
      <c r="F18" s="625" t="s">
        <v>43</v>
      </c>
      <c r="G18" s="102" t="s">
        <v>11475</v>
      </c>
      <c r="H18" s="432" t="s">
        <v>1533</v>
      </c>
      <c r="I18" s="531">
        <v>43024</v>
      </c>
      <c r="J18" s="531">
        <v>43388</v>
      </c>
      <c r="K18" s="531"/>
      <c r="L18" s="531"/>
      <c r="M18" s="531"/>
      <c r="N18" s="531"/>
      <c r="O18" s="531"/>
      <c r="P18" s="531"/>
      <c r="Q18" s="531"/>
      <c r="R18" s="531"/>
      <c r="S18" s="531"/>
      <c r="T18" s="531"/>
      <c r="U18" s="531"/>
      <c r="V18" s="531"/>
      <c r="W18" s="531"/>
      <c r="X18" s="476">
        <f ca="1" t="shared" ref="X18:X21" si="2">SUM(J18-NOW())</f>
        <v>115.61546296296</v>
      </c>
      <c r="Y18" s="468" t="str">
        <f ca="1" t="shared" si="1"/>
        <v>ACTIVE</v>
      </c>
      <c r="Z18" s="207">
        <v>3648036</v>
      </c>
      <c r="AA18" s="207">
        <v>25000</v>
      </c>
      <c r="AB18" s="207"/>
      <c r="AC18" s="207"/>
      <c r="AD18" s="207" t="s">
        <v>11476</v>
      </c>
      <c r="AE18" s="432" t="s">
        <v>11444</v>
      </c>
      <c r="AF18" s="432" t="s">
        <v>11477</v>
      </c>
      <c r="AG18" s="122" t="s">
        <v>11478</v>
      </c>
      <c r="AH18" s="599"/>
      <c r="AI18" s="649" t="s">
        <v>11479</v>
      </c>
      <c r="AJ18" s="599"/>
      <c r="AK18" s="1600" t="s">
        <v>11480</v>
      </c>
      <c r="AL18" s="599" t="s">
        <v>11481</v>
      </c>
      <c r="AM18" s="649"/>
      <c r="AN18" s="221" t="s">
        <v>11482</v>
      </c>
      <c r="AP18" s="653"/>
      <c r="BK18" s="490"/>
      <c r="BL18" s="491"/>
      <c r="BM18" s="530"/>
      <c r="BN18" s="91"/>
    </row>
    <row r="19" s="93" customFormat="1" ht="31.5" spans="1:66">
      <c r="A19" s="100">
        <f t="shared" si="0"/>
        <v>6</v>
      </c>
      <c r="B19" s="160" t="s">
        <v>11483</v>
      </c>
      <c r="C19" s="160" t="s">
        <v>11441</v>
      </c>
      <c r="D19" s="461" t="s">
        <v>11484</v>
      </c>
      <c r="E19" s="625">
        <v>26378</v>
      </c>
      <c r="F19" s="625" t="s">
        <v>43</v>
      </c>
      <c r="G19" s="102" t="s">
        <v>11475</v>
      </c>
      <c r="H19" s="432" t="s">
        <v>1533</v>
      </c>
      <c r="I19" s="531">
        <v>43082</v>
      </c>
      <c r="J19" s="531">
        <v>43385</v>
      </c>
      <c r="K19" s="531"/>
      <c r="L19" s="531"/>
      <c r="M19" s="531"/>
      <c r="N19" s="531"/>
      <c r="O19" s="531"/>
      <c r="P19" s="531"/>
      <c r="Q19" s="531"/>
      <c r="R19" s="531"/>
      <c r="S19" s="531"/>
      <c r="T19" s="531"/>
      <c r="U19" s="531"/>
      <c r="V19" s="531"/>
      <c r="W19" s="531"/>
      <c r="X19" s="476">
        <f ca="1" t="shared" si="2"/>
        <v>112.61546296296</v>
      </c>
      <c r="Y19" s="468" t="str">
        <f ca="1" t="shared" si="1"/>
        <v>ACTIVE</v>
      </c>
      <c r="Z19" s="207">
        <v>3648036</v>
      </c>
      <c r="AA19" s="207">
        <v>15000</v>
      </c>
      <c r="AB19" s="207"/>
      <c r="AC19" s="207"/>
      <c r="AD19" s="207" t="s">
        <v>11466</v>
      </c>
      <c r="AE19" s="432" t="s">
        <v>11444</v>
      </c>
      <c r="AF19" s="432" t="s">
        <v>11485</v>
      </c>
      <c r="AG19" s="122" t="s">
        <v>11486</v>
      </c>
      <c r="AH19" s="599"/>
      <c r="AI19" s="649" t="s">
        <v>11487</v>
      </c>
      <c r="AJ19" s="599"/>
      <c r="AK19" s="1600" t="s">
        <v>11488</v>
      </c>
      <c r="AL19" s="599" t="s">
        <v>11489</v>
      </c>
      <c r="AM19" s="649"/>
      <c r="AN19" s="221" t="s">
        <v>11482</v>
      </c>
      <c r="AP19" s="653"/>
      <c r="BK19" s="490"/>
      <c r="BL19" s="491"/>
      <c r="BM19" s="530"/>
      <c r="BN19" s="657"/>
    </row>
    <row r="20" s="93" customFormat="1" ht="31.5" spans="1:66">
      <c r="A20" s="100">
        <f t="shared" si="0"/>
        <v>7</v>
      </c>
      <c r="B20" s="160" t="s">
        <v>11490</v>
      </c>
      <c r="C20" s="160" t="s">
        <v>11441</v>
      </c>
      <c r="D20" s="461" t="s">
        <v>11491</v>
      </c>
      <c r="E20" s="625">
        <v>27443</v>
      </c>
      <c r="F20" s="625" t="s">
        <v>43</v>
      </c>
      <c r="G20" s="102" t="s">
        <v>11492</v>
      </c>
      <c r="H20" s="432" t="s">
        <v>2823</v>
      </c>
      <c r="I20" s="531">
        <v>43086</v>
      </c>
      <c r="J20" s="531">
        <v>43389</v>
      </c>
      <c r="K20" s="531"/>
      <c r="L20" s="531"/>
      <c r="M20" s="531"/>
      <c r="N20" s="531"/>
      <c r="O20" s="531"/>
      <c r="P20" s="531"/>
      <c r="Q20" s="531"/>
      <c r="R20" s="531"/>
      <c r="S20" s="531"/>
      <c r="T20" s="531"/>
      <c r="U20" s="531"/>
      <c r="V20" s="531"/>
      <c r="W20" s="531"/>
      <c r="X20" s="476">
        <f ca="1" t="shared" si="2"/>
        <v>116.61546296296</v>
      </c>
      <c r="Y20" s="468" t="str">
        <f ca="1" t="shared" si="1"/>
        <v>ACTIVE</v>
      </c>
      <c r="Z20" s="207">
        <v>3648036</v>
      </c>
      <c r="AA20" s="207">
        <v>15000</v>
      </c>
      <c r="AB20" s="207"/>
      <c r="AC20" s="207"/>
      <c r="AD20" s="207" t="s">
        <v>11466</v>
      </c>
      <c r="AE20" s="432" t="s">
        <v>11444</v>
      </c>
      <c r="AF20" s="432" t="s">
        <v>11493</v>
      </c>
      <c r="AG20" s="122" t="s">
        <v>11494</v>
      </c>
      <c r="AH20" s="599"/>
      <c r="AI20" s="649" t="s">
        <v>11495</v>
      </c>
      <c r="AJ20" s="599"/>
      <c r="AK20" s="1600" t="s">
        <v>11496</v>
      </c>
      <c r="AL20" s="599" t="s">
        <v>11497</v>
      </c>
      <c r="AM20" s="649"/>
      <c r="AN20" s="221" t="s">
        <v>11482</v>
      </c>
      <c r="AP20" s="653"/>
      <c r="BK20" s="490"/>
      <c r="BL20" s="491"/>
      <c r="BM20" s="530"/>
      <c r="BN20" s="657"/>
    </row>
    <row r="21" s="93" customFormat="1" ht="31.5" spans="1:66">
      <c r="A21" s="100">
        <f t="shared" si="0"/>
        <v>8</v>
      </c>
      <c r="B21" s="160" t="s">
        <v>11498</v>
      </c>
      <c r="C21" s="160" t="s">
        <v>11451</v>
      </c>
      <c r="D21" s="461" t="s">
        <v>11499</v>
      </c>
      <c r="E21" s="625">
        <v>28728</v>
      </c>
      <c r="F21" s="625" t="s">
        <v>125</v>
      </c>
      <c r="G21" s="102" t="s">
        <v>11475</v>
      </c>
      <c r="H21" s="432" t="s">
        <v>9398</v>
      </c>
      <c r="I21" s="531">
        <v>43081</v>
      </c>
      <c r="J21" s="531">
        <v>43384</v>
      </c>
      <c r="K21" s="531"/>
      <c r="L21" s="531"/>
      <c r="M21" s="531"/>
      <c r="N21" s="531"/>
      <c r="O21" s="531"/>
      <c r="P21" s="531"/>
      <c r="Q21" s="531"/>
      <c r="R21" s="531"/>
      <c r="S21" s="531"/>
      <c r="T21" s="531"/>
      <c r="U21" s="531"/>
      <c r="V21" s="531"/>
      <c r="W21" s="531"/>
      <c r="X21" s="476">
        <f ca="1" t="shared" si="2"/>
        <v>111.61546296296</v>
      </c>
      <c r="Y21" s="468" t="str">
        <f ca="1" t="shared" si="1"/>
        <v>ACTIVE</v>
      </c>
      <c r="Z21" s="207">
        <v>3648036</v>
      </c>
      <c r="AA21" s="207">
        <v>15000</v>
      </c>
      <c r="AB21" s="207"/>
      <c r="AC21" s="207"/>
      <c r="AD21" s="207" t="s">
        <v>11466</v>
      </c>
      <c r="AE21" s="432" t="s">
        <v>11444</v>
      </c>
      <c r="AF21" s="432" t="s">
        <v>11500</v>
      </c>
      <c r="AG21" s="122" t="s">
        <v>11501</v>
      </c>
      <c r="AH21" s="599"/>
      <c r="AI21" s="599"/>
      <c r="AJ21" s="599"/>
      <c r="AK21" s="1600" t="s">
        <v>11502</v>
      </c>
      <c r="AL21" s="599" t="s">
        <v>11503</v>
      </c>
      <c r="AM21" s="649"/>
      <c r="AN21" s="221" t="s">
        <v>11482</v>
      </c>
      <c r="AP21" s="653"/>
      <c r="BK21" s="490"/>
      <c r="BL21" s="491"/>
      <c r="BM21" s="530"/>
      <c r="BN21" s="657"/>
    </row>
    <row r="22" s="93" customFormat="1" ht="21" spans="1:66">
      <c r="A22" s="100">
        <f t="shared" si="0"/>
        <v>9</v>
      </c>
      <c r="B22" s="160" t="s">
        <v>11504</v>
      </c>
      <c r="C22" s="160" t="s">
        <v>11441</v>
      </c>
      <c r="D22" s="461" t="s">
        <v>9623</v>
      </c>
      <c r="E22" s="625">
        <v>30275</v>
      </c>
      <c r="F22" s="625" t="s">
        <v>43</v>
      </c>
      <c r="G22" s="102" t="s">
        <v>44</v>
      </c>
      <c r="H22" s="432" t="s">
        <v>2823</v>
      </c>
      <c r="I22" s="531">
        <v>41372</v>
      </c>
      <c r="J22" s="531">
        <v>41554</v>
      </c>
      <c r="K22" s="531">
        <v>41736</v>
      </c>
      <c r="L22" s="531">
        <v>42101</v>
      </c>
      <c r="M22" s="531">
        <v>42102</v>
      </c>
      <c r="N22" s="531">
        <v>42467</v>
      </c>
      <c r="O22" s="531"/>
      <c r="P22" s="531">
        <v>42468</v>
      </c>
      <c r="Q22" s="531">
        <v>42497</v>
      </c>
      <c r="R22" s="531">
        <v>42498</v>
      </c>
      <c r="S22" s="531">
        <v>43227</v>
      </c>
      <c r="T22" s="531"/>
      <c r="U22" s="531"/>
      <c r="V22" s="630">
        <v>43228</v>
      </c>
      <c r="W22" s="630">
        <v>43288</v>
      </c>
      <c r="X22" s="476">
        <f ca="1">SUM(W22-NOW())</f>
        <v>15.61546296296</v>
      </c>
      <c r="Y22" s="468" t="str">
        <f ca="1" t="shared" si="1"/>
        <v>WARNING</v>
      </c>
      <c r="Z22" s="207">
        <v>3648036</v>
      </c>
      <c r="AA22" s="207">
        <v>15000</v>
      </c>
      <c r="AB22" s="207"/>
      <c r="AC22" s="207"/>
      <c r="AD22" s="207" t="s">
        <v>11505</v>
      </c>
      <c r="AE22" s="432" t="s">
        <v>11444</v>
      </c>
      <c r="AF22" s="432" t="s">
        <v>11506</v>
      </c>
      <c r="AG22" s="122" t="s">
        <v>11507</v>
      </c>
      <c r="AH22" s="599"/>
      <c r="AI22" s="599"/>
      <c r="AJ22" s="599"/>
      <c r="AK22" s="1600" t="s">
        <v>11508</v>
      </c>
      <c r="AL22" s="599" t="s">
        <v>11509</v>
      </c>
      <c r="AM22" s="122"/>
      <c r="AN22" s="221"/>
      <c r="AP22" s="653"/>
      <c r="BK22" s="490"/>
      <c r="BL22" s="491"/>
      <c r="BM22" s="530"/>
      <c r="BN22" s="91"/>
    </row>
    <row r="23" s="93" customFormat="1" ht="21" spans="1:66">
      <c r="A23" s="100">
        <f t="shared" si="0"/>
        <v>10</v>
      </c>
      <c r="B23" s="160" t="s">
        <v>11504</v>
      </c>
      <c r="C23" s="160" t="s">
        <v>11441</v>
      </c>
      <c r="D23" s="461" t="s">
        <v>9623</v>
      </c>
      <c r="E23" s="625">
        <v>30275</v>
      </c>
      <c r="F23" s="625" t="s">
        <v>43</v>
      </c>
      <c r="G23" s="102" t="s">
        <v>44</v>
      </c>
      <c r="H23" s="432" t="s">
        <v>2823</v>
      </c>
      <c r="I23" s="630">
        <v>43289</v>
      </c>
      <c r="J23" s="630">
        <v>43592</v>
      </c>
      <c r="K23" s="531"/>
      <c r="L23" s="531"/>
      <c r="M23" s="531"/>
      <c r="N23" s="531"/>
      <c r="O23" s="531"/>
      <c r="P23" s="531"/>
      <c r="Q23" s="531"/>
      <c r="R23" s="531"/>
      <c r="S23" s="531"/>
      <c r="T23" s="531"/>
      <c r="U23" s="531"/>
      <c r="V23" s="531"/>
      <c r="W23" s="531"/>
      <c r="X23" s="476">
        <f ca="1">SUM(J23-NOW())</f>
        <v>319.61546296296</v>
      </c>
      <c r="Y23" s="468" t="str">
        <f ca="1" t="shared" ref="Y23" si="3">IF(X23&lt;=40,"WARNING","ACTIVE")</f>
        <v>ACTIVE</v>
      </c>
      <c r="Z23" s="207">
        <v>3648036</v>
      </c>
      <c r="AA23" s="207">
        <v>15000</v>
      </c>
      <c r="AB23" s="207"/>
      <c r="AC23" s="207"/>
      <c r="AD23" s="207" t="s">
        <v>11505</v>
      </c>
      <c r="AE23" s="432" t="s">
        <v>11444</v>
      </c>
      <c r="AF23" s="432" t="s">
        <v>11506</v>
      </c>
      <c r="AG23" s="122" t="s">
        <v>11507</v>
      </c>
      <c r="AH23" s="599"/>
      <c r="AI23" s="599"/>
      <c r="AJ23" s="599"/>
      <c r="AK23" s="1600" t="s">
        <v>11508</v>
      </c>
      <c r="AL23" s="599" t="s">
        <v>11509</v>
      </c>
      <c r="AM23" s="122"/>
      <c r="AN23" s="221" t="s">
        <v>11482</v>
      </c>
      <c r="AP23" s="653"/>
      <c r="BK23" s="490"/>
      <c r="BL23" s="491"/>
      <c r="BM23" s="530"/>
      <c r="BN23" s="91"/>
    </row>
    <row r="24" s="93" customFormat="1" ht="21" spans="1:66">
      <c r="A24" s="100">
        <f t="shared" si="0"/>
        <v>11</v>
      </c>
      <c r="B24" s="160" t="s">
        <v>11510</v>
      </c>
      <c r="C24" s="160" t="s">
        <v>11441</v>
      </c>
      <c r="D24" s="461" t="s">
        <v>11511</v>
      </c>
      <c r="E24" s="625">
        <v>25366</v>
      </c>
      <c r="F24" s="625" t="s">
        <v>43</v>
      </c>
      <c r="G24" s="102" t="s">
        <v>96</v>
      </c>
      <c r="H24" s="432" t="s">
        <v>1533</v>
      </c>
      <c r="I24" s="531">
        <v>41397</v>
      </c>
      <c r="J24" s="531">
        <v>41580</v>
      </c>
      <c r="K24" s="531">
        <v>41761</v>
      </c>
      <c r="L24" s="531">
        <v>42126</v>
      </c>
      <c r="M24" s="531">
        <v>42127</v>
      </c>
      <c r="N24" s="531">
        <v>42492</v>
      </c>
      <c r="O24" s="531"/>
      <c r="P24" s="531">
        <v>42493</v>
      </c>
      <c r="Q24" s="531">
        <v>42523</v>
      </c>
      <c r="R24" s="531">
        <v>42524</v>
      </c>
      <c r="S24" s="531">
        <v>43253</v>
      </c>
      <c r="T24" s="531"/>
      <c r="U24" s="531"/>
      <c r="V24" s="631">
        <v>43254</v>
      </c>
      <c r="W24" s="631">
        <v>43314</v>
      </c>
      <c r="X24" s="476">
        <f ca="1">SUM(W24-NOW())</f>
        <v>41.61546296296</v>
      </c>
      <c r="Y24" s="468" t="str">
        <f ca="1" t="shared" si="1"/>
        <v>ACTIVE</v>
      </c>
      <c r="Z24" s="207">
        <v>3648036</v>
      </c>
      <c r="AA24" s="207">
        <v>15000</v>
      </c>
      <c r="AB24" s="207"/>
      <c r="AC24" s="207"/>
      <c r="AD24" s="207" t="s">
        <v>11505</v>
      </c>
      <c r="AE24" s="432" t="s">
        <v>11444</v>
      </c>
      <c r="AF24" s="432" t="s">
        <v>11512</v>
      </c>
      <c r="AG24" s="122" t="s">
        <v>11513</v>
      </c>
      <c r="AH24" s="599"/>
      <c r="AI24" s="599" t="s">
        <v>11514</v>
      </c>
      <c r="AJ24" s="599"/>
      <c r="AK24" s="1600" t="s">
        <v>11515</v>
      </c>
      <c r="AL24" s="599" t="s">
        <v>11516</v>
      </c>
      <c r="AM24" s="122"/>
      <c r="AN24" s="221"/>
      <c r="AP24" s="653"/>
      <c r="BK24" s="490"/>
      <c r="BL24" s="491"/>
      <c r="BM24" s="530"/>
      <c r="BN24" s="657"/>
    </row>
    <row r="25" s="93" customFormat="1" ht="21" spans="1:66">
      <c r="A25" s="100">
        <f t="shared" si="0"/>
        <v>12</v>
      </c>
      <c r="B25" s="160" t="s">
        <v>11510</v>
      </c>
      <c r="C25" s="160" t="s">
        <v>11441</v>
      </c>
      <c r="D25" s="461" t="s">
        <v>11511</v>
      </c>
      <c r="E25" s="625">
        <v>25366</v>
      </c>
      <c r="F25" s="625" t="s">
        <v>43</v>
      </c>
      <c r="G25" s="102" t="s">
        <v>96</v>
      </c>
      <c r="H25" s="432" t="s">
        <v>1533</v>
      </c>
      <c r="I25" s="631">
        <v>43315</v>
      </c>
      <c r="J25" s="631">
        <v>43618</v>
      </c>
      <c r="K25" s="531"/>
      <c r="L25" s="531"/>
      <c r="M25" s="531"/>
      <c r="N25" s="531"/>
      <c r="O25" s="531"/>
      <c r="P25" s="531"/>
      <c r="Q25" s="531"/>
      <c r="R25" s="531"/>
      <c r="S25" s="531"/>
      <c r="T25" s="531"/>
      <c r="U25" s="531"/>
      <c r="V25" s="531"/>
      <c r="W25" s="531"/>
      <c r="X25" s="476">
        <f ca="1">SUM(J25-NOW())</f>
        <v>345.61546296296</v>
      </c>
      <c r="Y25" s="468" t="str">
        <f ca="1" t="shared" ref="Y25" si="4">IF(X25&lt;=40,"WARNING","ACTIVE")</f>
        <v>ACTIVE</v>
      </c>
      <c r="Z25" s="207">
        <v>3648036</v>
      </c>
      <c r="AA25" s="207">
        <v>15000</v>
      </c>
      <c r="AB25" s="207"/>
      <c r="AC25" s="207"/>
      <c r="AD25" s="207" t="s">
        <v>11505</v>
      </c>
      <c r="AE25" s="432" t="s">
        <v>11444</v>
      </c>
      <c r="AF25" s="432" t="s">
        <v>11512</v>
      </c>
      <c r="AG25" s="122" t="s">
        <v>11513</v>
      </c>
      <c r="AH25" s="599"/>
      <c r="AI25" s="599" t="s">
        <v>11514</v>
      </c>
      <c r="AJ25" s="599"/>
      <c r="AK25" s="1600" t="s">
        <v>11515</v>
      </c>
      <c r="AL25" s="599" t="s">
        <v>11516</v>
      </c>
      <c r="AM25" s="122"/>
      <c r="AN25" s="221" t="s">
        <v>11482</v>
      </c>
      <c r="AP25" s="653"/>
      <c r="BK25" s="490"/>
      <c r="BL25" s="491"/>
      <c r="BM25" s="530"/>
      <c r="BN25" s="657"/>
    </row>
    <row r="26" s="93" customFormat="1" ht="21" spans="1:66">
      <c r="A26" s="100">
        <f t="shared" si="0"/>
        <v>13</v>
      </c>
      <c r="B26" s="160" t="s">
        <v>11517</v>
      </c>
      <c r="C26" s="160" t="s">
        <v>11441</v>
      </c>
      <c r="D26" s="461" t="s">
        <v>11518</v>
      </c>
      <c r="E26" s="625" t="s">
        <v>11519</v>
      </c>
      <c r="F26" s="625" t="s">
        <v>43</v>
      </c>
      <c r="G26" s="102" t="s">
        <v>404</v>
      </c>
      <c r="H26" s="432" t="s">
        <v>1533</v>
      </c>
      <c r="I26" s="531">
        <v>41589</v>
      </c>
      <c r="J26" s="531">
        <v>41769</v>
      </c>
      <c r="K26" s="531">
        <v>42134</v>
      </c>
      <c r="L26" s="531">
        <v>42318</v>
      </c>
      <c r="M26" s="531">
        <v>42319</v>
      </c>
      <c r="N26" s="531">
        <v>42500</v>
      </c>
      <c r="O26" s="531">
        <v>42684</v>
      </c>
      <c r="P26" s="531">
        <v>42685</v>
      </c>
      <c r="Q26" s="531">
        <v>42714</v>
      </c>
      <c r="R26" s="531">
        <f t="shared" ref="R26:R28" si="5">Q26+1</f>
        <v>42715</v>
      </c>
      <c r="S26" s="531">
        <v>43444</v>
      </c>
      <c r="T26" s="531"/>
      <c r="U26" s="531"/>
      <c r="V26" s="531"/>
      <c r="W26" s="531"/>
      <c r="X26" s="476">
        <f ca="1" t="shared" ref="X26:X36" si="6">SUM(S26-NOW())</f>
        <v>171.61546296296</v>
      </c>
      <c r="Y26" s="468" t="str">
        <f ca="1" t="shared" si="1"/>
        <v>ACTIVE</v>
      </c>
      <c r="Z26" s="207">
        <v>3648036</v>
      </c>
      <c r="AA26" s="207">
        <v>15000</v>
      </c>
      <c r="AB26" s="207"/>
      <c r="AC26" s="207"/>
      <c r="AD26" s="207" t="s">
        <v>11505</v>
      </c>
      <c r="AE26" s="432" t="s">
        <v>11444</v>
      </c>
      <c r="AF26" s="432" t="s">
        <v>11520</v>
      </c>
      <c r="AG26" s="122" t="s">
        <v>11521</v>
      </c>
      <c r="AH26" s="599"/>
      <c r="AI26" s="599" t="s">
        <v>11522</v>
      </c>
      <c r="AJ26" s="599"/>
      <c r="AK26" s="1600" t="s">
        <v>11523</v>
      </c>
      <c r="AL26" s="652" t="s">
        <v>11524</v>
      </c>
      <c r="AM26" s="122"/>
      <c r="AN26" s="221"/>
      <c r="AP26" s="653"/>
      <c r="BK26" s="490"/>
      <c r="BL26" s="491"/>
      <c r="BM26" s="530"/>
      <c r="BN26" s="657"/>
    </row>
    <row r="27" s="93" customFormat="1" ht="21" spans="1:66">
      <c r="A27" s="100">
        <f t="shared" si="0"/>
        <v>14</v>
      </c>
      <c r="B27" s="160" t="s">
        <v>11525</v>
      </c>
      <c r="C27" s="160" t="s">
        <v>11441</v>
      </c>
      <c r="D27" s="461" t="s">
        <v>11526</v>
      </c>
      <c r="E27" s="625" t="s">
        <v>11527</v>
      </c>
      <c r="F27" s="625" t="s">
        <v>43</v>
      </c>
      <c r="G27" s="102" t="s">
        <v>254</v>
      </c>
      <c r="H27" s="432" t="s">
        <v>1533</v>
      </c>
      <c r="I27" s="531">
        <v>41589</v>
      </c>
      <c r="J27" s="531">
        <v>41769</v>
      </c>
      <c r="K27" s="531">
        <v>42134</v>
      </c>
      <c r="L27" s="531">
        <v>42318</v>
      </c>
      <c r="M27" s="531">
        <v>42319</v>
      </c>
      <c r="N27" s="531">
        <v>42500</v>
      </c>
      <c r="O27" s="531">
        <v>42684</v>
      </c>
      <c r="P27" s="531">
        <v>42685</v>
      </c>
      <c r="Q27" s="531">
        <v>42714</v>
      </c>
      <c r="R27" s="531">
        <f t="shared" si="5"/>
        <v>42715</v>
      </c>
      <c r="S27" s="531">
        <v>43444</v>
      </c>
      <c r="T27" s="531"/>
      <c r="U27" s="531"/>
      <c r="V27" s="531"/>
      <c r="W27" s="531"/>
      <c r="X27" s="476">
        <f ca="1" t="shared" si="6"/>
        <v>171.61546296296</v>
      </c>
      <c r="Y27" s="468" t="str">
        <f ca="1" t="shared" si="1"/>
        <v>ACTIVE</v>
      </c>
      <c r="Z27" s="207">
        <v>3648036</v>
      </c>
      <c r="AA27" s="207">
        <v>15000</v>
      </c>
      <c r="AB27" s="207"/>
      <c r="AC27" s="207"/>
      <c r="AD27" s="207" t="s">
        <v>11505</v>
      </c>
      <c r="AE27" s="432" t="s">
        <v>11444</v>
      </c>
      <c r="AF27" s="432" t="s">
        <v>11528</v>
      </c>
      <c r="AG27" s="122" t="s">
        <v>11529</v>
      </c>
      <c r="AH27" s="599"/>
      <c r="AI27" s="122" t="s">
        <v>11530</v>
      </c>
      <c r="AJ27" s="599"/>
      <c r="AK27" s="1600" t="s">
        <v>11531</v>
      </c>
      <c r="AL27" s="599" t="s">
        <v>11532</v>
      </c>
      <c r="AM27" s="122"/>
      <c r="AN27" s="221"/>
      <c r="AP27" s="653"/>
      <c r="BK27" s="490"/>
      <c r="BL27" s="491"/>
      <c r="BM27" s="530"/>
      <c r="BN27" s="657"/>
    </row>
    <row r="28" s="93" customFormat="1" ht="42" spans="1:66">
      <c r="A28" s="100">
        <f t="shared" si="0"/>
        <v>15</v>
      </c>
      <c r="B28" s="160" t="s">
        <v>11533</v>
      </c>
      <c r="C28" s="160" t="s">
        <v>11451</v>
      </c>
      <c r="D28" s="461" t="s">
        <v>11534</v>
      </c>
      <c r="E28" s="625" t="s">
        <v>11535</v>
      </c>
      <c r="F28" s="625" t="s">
        <v>43</v>
      </c>
      <c r="G28" s="102" t="s">
        <v>254</v>
      </c>
      <c r="H28" s="432" t="s">
        <v>9409</v>
      </c>
      <c r="I28" s="531">
        <v>41631</v>
      </c>
      <c r="J28" s="531">
        <v>41812</v>
      </c>
      <c r="K28" s="531">
        <v>42177</v>
      </c>
      <c r="L28" s="531">
        <v>42360</v>
      </c>
      <c r="M28" s="531">
        <v>42361</v>
      </c>
      <c r="N28" s="531">
        <v>42543</v>
      </c>
      <c r="O28" s="531">
        <v>42726</v>
      </c>
      <c r="P28" s="531">
        <v>42727</v>
      </c>
      <c r="Q28" s="531">
        <v>42757</v>
      </c>
      <c r="R28" s="531">
        <f t="shared" si="5"/>
        <v>42758</v>
      </c>
      <c r="S28" s="531">
        <v>43487</v>
      </c>
      <c r="T28" s="531"/>
      <c r="U28" s="531"/>
      <c r="V28" s="531"/>
      <c r="W28" s="531"/>
      <c r="X28" s="476">
        <f ca="1" t="shared" si="6"/>
        <v>214.61546296296</v>
      </c>
      <c r="Y28" s="468" t="str">
        <f ca="1" t="shared" si="1"/>
        <v>ACTIVE</v>
      </c>
      <c r="Z28" s="207">
        <v>3648036</v>
      </c>
      <c r="AA28" s="207">
        <v>15000</v>
      </c>
      <c r="AB28" s="207">
        <v>350000</v>
      </c>
      <c r="AC28" s="207"/>
      <c r="AD28" s="207" t="s">
        <v>11505</v>
      </c>
      <c r="AE28" s="432" t="s">
        <v>11444</v>
      </c>
      <c r="AF28" s="432" t="s">
        <v>11536</v>
      </c>
      <c r="AG28" s="122" t="s">
        <v>11537</v>
      </c>
      <c r="AH28" s="599"/>
      <c r="AI28" s="122" t="s">
        <v>11538</v>
      </c>
      <c r="AJ28" s="599"/>
      <c r="AK28" s="1600" t="s">
        <v>11539</v>
      </c>
      <c r="AL28" s="599" t="s">
        <v>11540</v>
      </c>
      <c r="AM28" s="122"/>
      <c r="AN28" s="221"/>
      <c r="AP28" s="653"/>
      <c r="BK28" s="490"/>
      <c r="BL28" s="491"/>
      <c r="BM28" s="530"/>
      <c r="BN28" s="657"/>
    </row>
    <row r="29" s="93" customFormat="1" ht="21" spans="1:66">
      <c r="A29" s="100">
        <f t="shared" si="0"/>
        <v>16</v>
      </c>
      <c r="B29" s="160" t="s">
        <v>11541</v>
      </c>
      <c r="C29" s="160" t="s">
        <v>11441</v>
      </c>
      <c r="D29" s="461" t="s">
        <v>11542</v>
      </c>
      <c r="E29" s="625" t="s">
        <v>11543</v>
      </c>
      <c r="F29" s="625" t="s">
        <v>43</v>
      </c>
      <c r="G29" s="102" t="s">
        <v>44</v>
      </c>
      <c r="H29" s="432" t="s">
        <v>11544</v>
      </c>
      <c r="I29" s="531">
        <v>41673</v>
      </c>
      <c r="J29" s="531">
        <v>42037</v>
      </c>
      <c r="K29" s="531">
        <v>42402</v>
      </c>
      <c r="L29" s="531"/>
      <c r="M29" s="531">
        <v>42403</v>
      </c>
      <c r="N29" s="531">
        <v>42768</v>
      </c>
      <c r="O29" s="531"/>
      <c r="P29" s="531">
        <v>42769</v>
      </c>
      <c r="Q29" s="531">
        <v>42796</v>
      </c>
      <c r="R29" s="531">
        <v>42797</v>
      </c>
      <c r="S29" s="531">
        <v>43161</v>
      </c>
      <c r="T29" s="631">
        <v>43526</v>
      </c>
      <c r="U29" s="531"/>
      <c r="V29" s="531"/>
      <c r="W29" s="531"/>
      <c r="X29" s="476">
        <f ca="1">SUM(T29-NOW())</f>
        <v>253.61546296296</v>
      </c>
      <c r="Y29" s="468" t="str">
        <f ca="1" t="shared" si="1"/>
        <v>ACTIVE</v>
      </c>
      <c r="Z29" s="207">
        <v>4000000</v>
      </c>
      <c r="AA29" s="207">
        <v>20000</v>
      </c>
      <c r="AB29" s="207"/>
      <c r="AC29" s="207"/>
      <c r="AD29" s="207" t="s">
        <v>11545</v>
      </c>
      <c r="AE29" s="432" t="s">
        <v>11546</v>
      </c>
      <c r="AF29" s="432" t="s">
        <v>11547</v>
      </c>
      <c r="AG29" s="122" t="s">
        <v>11548</v>
      </c>
      <c r="AH29" s="599"/>
      <c r="AI29" s="122" t="s">
        <v>11549</v>
      </c>
      <c r="AJ29" s="599"/>
      <c r="AK29" s="1600" t="s">
        <v>11550</v>
      </c>
      <c r="AL29" s="599" t="s">
        <v>11551</v>
      </c>
      <c r="AM29" s="604" t="s">
        <v>11552</v>
      </c>
      <c r="AN29" s="221"/>
      <c r="AP29" s="653"/>
      <c r="BK29" s="490"/>
      <c r="BL29" s="491"/>
      <c r="BM29" s="530"/>
      <c r="BN29" s="657"/>
    </row>
    <row r="30" s="93" customFormat="1" ht="24" spans="1:66">
      <c r="A30" s="100">
        <f t="shared" si="0"/>
        <v>17</v>
      </c>
      <c r="B30" s="160" t="s">
        <v>11553</v>
      </c>
      <c r="C30" s="160" t="s">
        <v>11451</v>
      </c>
      <c r="D30" s="461" t="s">
        <v>11554</v>
      </c>
      <c r="E30" s="625" t="s">
        <v>11555</v>
      </c>
      <c r="F30" s="625" t="s">
        <v>43</v>
      </c>
      <c r="G30" s="102" t="s">
        <v>254</v>
      </c>
      <c r="H30" s="432" t="s">
        <v>2823</v>
      </c>
      <c r="I30" s="531">
        <v>41795</v>
      </c>
      <c r="J30" s="531">
        <v>41977</v>
      </c>
      <c r="K30" s="531">
        <v>42342</v>
      </c>
      <c r="L30" s="531">
        <v>42525</v>
      </c>
      <c r="M30" s="531">
        <v>42526</v>
      </c>
      <c r="N30" s="531">
        <v>42890</v>
      </c>
      <c r="O30" s="531"/>
      <c r="P30" s="531">
        <v>42891</v>
      </c>
      <c r="Q30" s="531">
        <v>42920</v>
      </c>
      <c r="R30" s="531">
        <v>42921</v>
      </c>
      <c r="S30" s="531">
        <v>43073</v>
      </c>
      <c r="T30" s="531">
        <v>43438</v>
      </c>
      <c r="U30" s="531"/>
      <c r="V30" s="531"/>
      <c r="W30" s="531"/>
      <c r="X30" s="476">
        <f ca="1">SUM(T30-NOW())</f>
        <v>165.61546296296</v>
      </c>
      <c r="Y30" s="468" t="str">
        <f ca="1" t="shared" si="1"/>
        <v>ACTIVE</v>
      </c>
      <c r="Z30" s="207">
        <v>3648036</v>
      </c>
      <c r="AA30" s="207">
        <v>15000</v>
      </c>
      <c r="AB30" s="207"/>
      <c r="AC30" s="207"/>
      <c r="AD30" s="207" t="s">
        <v>11556</v>
      </c>
      <c r="AE30" s="432" t="s">
        <v>11444</v>
      </c>
      <c r="AF30" s="432" t="s">
        <v>11557</v>
      </c>
      <c r="AG30" s="122" t="s">
        <v>11558</v>
      </c>
      <c r="AH30" s="599"/>
      <c r="AI30" s="599"/>
      <c r="AJ30" s="599"/>
      <c r="AK30" s="1600" t="s">
        <v>11559</v>
      </c>
      <c r="AL30" s="599" t="s">
        <v>11560</v>
      </c>
      <c r="AM30" s="128" t="s">
        <v>11561</v>
      </c>
      <c r="AN30" s="221"/>
      <c r="AP30" s="653"/>
      <c r="BK30" s="490"/>
      <c r="BL30" s="491"/>
      <c r="BM30" s="530"/>
      <c r="BN30" s="657"/>
    </row>
    <row r="31" s="93" customFormat="1" ht="21" spans="1:66">
      <c r="A31" s="100">
        <f t="shared" si="0"/>
        <v>18</v>
      </c>
      <c r="B31" s="160" t="s">
        <v>11562</v>
      </c>
      <c r="C31" s="160" t="s">
        <v>11441</v>
      </c>
      <c r="D31" s="461" t="s">
        <v>11563</v>
      </c>
      <c r="E31" s="625" t="s">
        <v>11564</v>
      </c>
      <c r="F31" s="625" t="s">
        <v>125</v>
      </c>
      <c r="G31" s="102" t="s">
        <v>44</v>
      </c>
      <c r="H31" s="432" t="s">
        <v>11565</v>
      </c>
      <c r="I31" s="531">
        <v>41865</v>
      </c>
      <c r="J31" s="531">
        <v>42229</v>
      </c>
      <c r="K31" s="531">
        <v>42595</v>
      </c>
      <c r="L31" s="531"/>
      <c r="M31" s="531">
        <v>42596</v>
      </c>
      <c r="N31" s="531">
        <v>42960</v>
      </c>
      <c r="O31" s="531"/>
      <c r="P31" s="531">
        <v>42961</v>
      </c>
      <c r="Q31" s="531">
        <v>42991</v>
      </c>
      <c r="R31" s="531">
        <v>42992</v>
      </c>
      <c r="S31" s="531">
        <v>43356</v>
      </c>
      <c r="T31" s="531"/>
      <c r="U31" s="531"/>
      <c r="V31" s="531"/>
      <c r="W31" s="531"/>
      <c r="X31" s="476">
        <f ca="1">SUM(S31-NOW())</f>
        <v>83.61546296296</v>
      </c>
      <c r="Y31" s="468" t="str">
        <f ca="1" t="shared" si="1"/>
        <v>ACTIVE</v>
      </c>
      <c r="Z31" s="207">
        <v>4000000</v>
      </c>
      <c r="AA31" s="207">
        <v>20000</v>
      </c>
      <c r="AB31" s="207"/>
      <c r="AC31" s="207"/>
      <c r="AD31" s="207" t="s">
        <v>11566</v>
      </c>
      <c r="AE31" s="432" t="s">
        <v>11546</v>
      </c>
      <c r="AF31" s="432" t="s">
        <v>11567</v>
      </c>
      <c r="AG31" s="122" t="s">
        <v>11568</v>
      </c>
      <c r="AH31" s="122" t="s">
        <v>11569</v>
      </c>
      <c r="AI31" s="122" t="s">
        <v>11570</v>
      </c>
      <c r="AJ31" s="599"/>
      <c r="AK31" s="1600" t="s">
        <v>11571</v>
      </c>
      <c r="AL31" s="599" t="s">
        <v>11572</v>
      </c>
      <c r="AM31" s="122"/>
      <c r="AN31" s="221"/>
      <c r="AP31" s="653"/>
      <c r="BK31" s="490"/>
      <c r="BL31" s="491"/>
      <c r="BM31" s="530"/>
      <c r="BN31" s="657"/>
    </row>
    <row r="32" s="93" customFormat="1" ht="21" spans="1:66">
      <c r="A32" s="100">
        <f t="shared" si="0"/>
        <v>19</v>
      </c>
      <c r="B32" s="160" t="s">
        <v>11573</v>
      </c>
      <c r="C32" s="160" t="s">
        <v>11441</v>
      </c>
      <c r="D32" s="461" t="s">
        <v>11574</v>
      </c>
      <c r="E32" s="625" t="s">
        <v>11575</v>
      </c>
      <c r="F32" s="625" t="s">
        <v>125</v>
      </c>
      <c r="G32" s="102" t="s">
        <v>96</v>
      </c>
      <c r="H32" s="432" t="s">
        <v>11544</v>
      </c>
      <c r="I32" s="531">
        <v>41946</v>
      </c>
      <c r="J32" s="531">
        <v>42310</v>
      </c>
      <c r="K32" s="531">
        <v>42676</v>
      </c>
      <c r="L32" s="531"/>
      <c r="M32" s="531">
        <v>42677</v>
      </c>
      <c r="N32" s="531">
        <v>43041</v>
      </c>
      <c r="O32" s="531"/>
      <c r="P32" s="531">
        <v>43042</v>
      </c>
      <c r="Q32" s="531">
        <v>43071</v>
      </c>
      <c r="R32" s="531">
        <v>43072</v>
      </c>
      <c r="S32" s="531">
        <v>43406</v>
      </c>
      <c r="T32" s="531"/>
      <c r="U32" s="531"/>
      <c r="V32" s="531"/>
      <c r="W32" s="531"/>
      <c r="X32" s="476">
        <f ca="1" t="shared" si="6"/>
        <v>133.61546296296</v>
      </c>
      <c r="Y32" s="468" t="str">
        <f ca="1" t="shared" si="1"/>
        <v>ACTIVE</v>
      </c>
      <c r="Z32" s="207">
        <v>4000000</v>
      </c>
      <c r="AA32" s="207">
        <v>0</v>
      </c>
      <c r="AB32" s="207"/>
      <c r="AC32" s="207"/>
      <c r="AD32" s="207" t="s">
        <v>11576</v>
      </c>
      <c r="AE32" s="432" t="s">
        <v>11546</v>
      </c>
      <c r="AF32" s="432" t="s">
        <v>11577</v>
      </c>
      <c r="AG32" s="122" t="s">
        <v>11578</v>
      </c>
      <c r="AH32" s="122" t="s">
        <v>11579</v>
      </c>
      <c r="AI32" s="122" t="s">
        <v>11580</v>
      </c>
      <c r="AJ32" s="599"/>
      <c r="AK32" s="1600" t="s">
        <v>11581</v>
      </c>
      <c r="AL32" s="599" t="s">
        <v>11582</v>
      </c>
      <c r="AM32" s="604" t="s">
        <v>11583</v>
      </c>
      <c r="AN32" s="221"/>
      <c r="AP32" s="653"/>
      <c r="BK32" s="490"/>
      <c r="BL32" s="491"/>
      <c r="BM32" s="530"/>
      <c r="BN32" s="657"/>
    </row>
    <row r="33" s="93" customFormat="1" ht="21" spans="1:66">
      <c r="A33" s="100">
        <f t="shared" si="0"/>
        <v>20</v>
      </c>
      <c r="B33" s="160" t="s">
        <v>11584</v>
      </c>
      <c r="C33" s="160" t="s">
        <v>11441</v>
      </c>
      <c r="D33" s="461" t="s">
        <v>11585</v>
      </c>
      <c r="E33" s="625" t="s">
        <v>11586</v>
      </c>
      <c r="F33" s="625" t="s">
        <v>125</v>
      </c>
      <c r="G33" s="102" t="s">
        <v>254</v>
      </c>
      <c r="H33" s="432" t="s">
        <v>11544</v>
      </c>
      <c r="I33" s="531">
        <v>41946</v>
      </c>
      <c r="J33" s="531">
        <v>42310</v>
      </c>
      <c r="K33" s="531">
        <v>42676</v>
      </c>
      <c r="L33" s="531"/>
      <c r="M33" s="531">
        <v>42677</v>
      </c>
      <c r="N33" s="531">
        <v>43041</v>
      </c>
      <c r="O33" s="531"/>
      <c r="P33" s="531">
        <v>43042</v>
      </c>
      <c r="Q33" s="531">
        <v>43071</v>
      </c>
      <c r="R33" s="531">
        <v>43072</v>
      </c>
      <c r="S33" s="531">
        <v>43406</v>
      </c>
      <c r="T33" s="531"/>
      <c r="U33" s="531"/>
      <c r="V33" s="531"/>
      <c r="W33" s="531"/>
      <c r="X33" s="476">
        <f ca="1" t="shared" si="6"/>
        <v>133.61546296296</v>
      </c>
      <c r="Y33" s="468" t="str">
        <f ca="1" t="shared" si="1"/>
        <v>ACTIVE</v>
      </c>
      <c r="Z33" s="207">
        <v>4000000</v>
      </c>
      <c r="AA33" s="207">
        <v>0</v>
      </c>
      <c r="AB33" s="207"/>
      <c r="AC33" s="207"/>
      <c r="AD33" s="207" t="s">
        <v>11576</v>
      </c>
      <c r="AE33" s="432" t="s">
        <v>11546</v>
      </c>
      <c r="AF33" s="432" t="s">
        <v>11587</v>
      </c>
      <c r="AG33" s="122" t="s">
        <v>11588</v>
      </c>
      <c r="AH33" s="122" t="s">
        <v>11589</v>
      </c>
      <c r="AI33" s="122" t="s">
        <v>11590</v>
      </c>
      <c r="AJ33" s="599"/>
      <c r="AK33" s="1600" t="s">
        <v>11591</v>
      </c>
      <c r="AL33" s="599" t="s">
        <v>11592</v>
      </c>
      <c r="AM33" s="604" t="s">
        <v>11593</v>
      </c>
      <c r="AN33" s="221"/>
      <c r="AP33" s="653"/>
      <c r="BK33" s="490"/>
      <c r="BL33" s="491"/>
      <c r="BM33" s="530"/>
      <c r="BN33" s="657"/>
    </row>
    <row r="34" s="93" customFormat="1" ht="21" spans="1:66">
      <c r="A34" s="100">
        <f t="shared" si="0"/>
        <v>21</v>
      </c>
      <c r="B34" s="160" t="s">
        <v>11594</v>
      </c>
      <c r="C34" s="160" t="s">
        <v>11441</v>
      </c>
      <c r="D34" s="461" t="s">
        <v>11595</v>
      </c>
      <c r="E34" s="625" t="s">
        <v>11596</v>
      </c>
      <c r="F34" s="625" t="s">
        <v>43</v>
      </c>
      <c r="G34" s="102" t="s">
        <v>880</v>
      </c>
      <c r="H34" s="432" t="s">
        <v>11565</v>
      </c>
      <c r="I34" s="531">
        <v>41961</v>
      </c>
      <c r="J34" s="531">
        <v>42325</v>
      </c>
      <c r="K34" s="531">
        <v>42446</v>
      </c>
      <c r="L34" s="531">
        <v>42691</v>
      </c>
      <c r="M34" s="531">
        <v>42702</v>
      </c>
      <c r="N34" s="531">
        <v>43056</v>
      </c>
      <c r="O34" s="531"/>
      <c r="P34" s="531">
        <v>43057</v>
      </c>
      <c r="Q34" s="531">
        <v>43086</v>
      </c>
      <c r="R34" s="531">
        <v>43087</v>
      </c>
      <c r="S34" s="531">
        <v>43421</v>
      </c>
      <c r="T34" s="531"/>
      <c r="U34" s="531"/>
      <c r="V34" s="531"/>
      <c r="W34" s="531"/>
      <c r="X34" s="476">
        <f ca="1" t="shared" si="6"/>
        <v>148.61546296296</v>
      </c>
      <c r="Y34" s="468" t="str">
        <f ca="1" t="shared" si="1"/>
        <v>ACTIVE</v>
      </c>
      <c r="Z34" s="207">
        <v>8079289</v>
      </c>
      <c r="AA34" s="207">
        <v>0</v>
      </c>
      <c r="AB34" s="207"/>
      <c r="AC34" s="207"/>
      <c r="AD34" s="207"/>
      <c r="AE34" s="432" t="s">
        <v>11546</v>
      </c>
      <c r="AF34" s="432" t="s">
        <v>11597</v>
      </c>
      <c r="AG34" s="122" t="s">
        <v>11598</v>
      </c>
      <c r="AH34" s="122" t="s">
        <v>11599</v>
      </c>
      <c r="AI34" s="122" t="s">
        <v>11600</v>
      </c>
      <c r="AJ34" s="122" t="s">
        <v>11601</v>
      </c>
      <c r="AK34" s="1600" t="s">
        <v>11602</v>
      </c>
      <c r="AL34" s="599" t="s">
        <v>11603</v>
      </c>
      <c r="AM34" s="604" t="s">
        <v>11604</v>
      </c>
      <c r="AN34" s="221"/>
      <c r="AP34" s="653"/>
      <c r="BK34" s="490"/>
      <c r="BL34" s="491"/>
      <c r="BM34" s="530"/>
      <c r="BN34" s="657"/>
    </row>
    <row r="35" s="93" customFormat="1" ht="21" spans="1:66">
      <c r="A35" s="100">
        <f t="shared" si="0"/>
        <v>22</v>
      </c>
      <c r="B35" s="160" t="s">
        <v>11605</v>
      </c>
      <c r="C35" s="160" t="s">
        <v>11441</v>
      </c>
      <c r="D35" s="461" t="s">
        <v>11606</v>
      </c>
      <c r="E35" s="625" t="s">
        <v>11607</v>
      </c>
      <c r="F35" s="625" t="s">
        <v>43</v>
      </c>
      <c r="G35" s="102" t="s">
        <v>254</v>
      </c>
      <c r="H35" s="432" t="s">
        <v>11544</v>
      </c>
      <c r="I35" s="531">
        <v>42039</v>
      </c>
      <c r="J35" s="531">
        <v>42403</v>
      </c>
      <c r="K35" s="531">
        <v>42769</v>
      </c>
      <c r="L35" s="531"/>
      <c r="M35" s="531">
        <v>42770</v>
      </c>
      <c r="N35" s="531">
        <v>43134</v>
      </c>
      <c r="O35" s="531"/>
      <c r="P35" s="531">
        <v>43135</v>
      </c>
      <c r="Q35" s="531">
        <v>43162</v>
      </c>
      <c r="R35" s="531">
        <v>43163</v>
      </c>
      <c r="S35" s="531">
        <v>43499</v>
      </c>
      <c r="T35" s="531"/>
      <c r="U35" s="531"/>
      <c r="V35" s="531"/>
      <c r="W35" s="531"/>
      <c r="X35" s="476">
        <f ca="1" t="shared" si="6"/>
        <v>226.61546296296</v>
      </c>
      <c r="Y35" s="468" t="str">
        <f ca="1" t="shared" si="1"/>
        <v>ACTIVE</v>
      </c>
      <c r="Z35" s="207">
        <v>4000000</v>
      </c>
      <c r="AA35" s="207"/>
      <c r="AB35" s="207"/>
      <c r="AC35" s="207"/>
      <c r="AD35" s="207" t="s">
        <v>11608</v>
      </c>
      <c r="AE35" s="432" t="s">
        <v>11546</v>
      </c>
      <c r="AF35" s="432" t="s">
        <v>11609</v>
      </c>
      <c r="AG35" s="122" t="s">
        <v>11610</v>
      </c>
      <c r="AH35" s="122" t="s">
        <v>11611</v>
      </c>
      <c r="AI35" s="122" t="s">
        <v>11612</v>
      </c>
      <c r="AJ35" s="599"/>
      <c r="AK35" s="1600" t="s">
        <v>11613</v>
      </c>
      <c r="AL35" s="599" t="s">
        <v>11614</v>
      </c>
      <c r="AM35" s="122" t="s">
        <v>11615</v>
      </c>
      <c r="AN35" s="221"/>
      <c r="AP35" s="653"/>
      <c r="BK35" s="490"/>
      <c r="BL35" s="491"/>
      <c r="BM35" s="530"/>
      <c r="BN35" s="657"/>
    </row>
    <row r="36" s="93" customFormat="1" ht="21" spans="1:66">
      <c r="A36" s="100">
        <f t="shared" si="0"/>
        <v>23</v>
      </c>
      <c r="B36" s="100" t="s">
        <v>11616</v>
      </c>
      <c r="C36" s="100" t="s">
        <v>11441</v>
      </c>
      <c r="D36" s="463" t="s">
        <v>11617</v>
      </c>
      <c r="E36" s="626" t="s">
        <v>11618</v>
      </c>
      <c r="F36" s="626" t="s">
        <v>43</v>
      </c>
      <c r="G36" s="102" t="s">
        <v>2069</v>
      </c>
      <c r="H36" s="432" t="s">
        <v>1533</v>
      </c>
      <c r="I36" s="121">
        <v>42242</v>
      </c>
      <c r="J36" s="121">
        <v>42425</v>
      </c>
      <c r="K36" s="121">
        <v>42791</v>
      </c>
      <c r="L36" s="121">
        <v>42972</v>
      </c>
      <c r="M36" s="121">
        <v>42973</v>
      </c>
      <c r="N36" s="121">
        <v>43156</v>
      </c>
      <c r="O36" s="121">
        <v>43337</v>
      </c>
      <c r="P36" s="121">
        <v>43338</v>
      </c>
      <c r="Q36" s="121">
        <v>43368</v>
      </c>
      <c r="R36" s="121">
        <v>43369</v>
      </c>
      <c r="S36" s="121">
        <v>43521</v>
      </c>
      <c r="T36" s="121"/>
      <c r="U36" s="121"/>
      <c r="V36" s="121"/>
      <c r="W36" s="121"/>
      <c r="X36" s="476">
        <f ca="1" t="shared" si="6"/>
        <v>248.61546296296</v>
      </c>
      <c r="Y36" s="468" t="str">
        <f ca="1" t="shared" si="1"/>
        <v>ACTIVE</v>
      </c>
      <c r="Z36" s="207">
        <v>3648036</v>
      </c>
      <c r="AA36" s="116">
        <v>15000</v>
      </c>
      <c r="AB36" s="116"/>
      <c r="AC36" s="116"/>
      <c r="AD36" s="116" t="s">
        <v>11619</v>
      </c>
      <c r="AE36" s="432" t="s">
        <v>11444</v>
      </c>
      <c r="AF36" s="432" t="s">
        <v>11620</v>
      </c>
      <c r="AG36" s="122" t="s">
        <v>11621</v>
      </c>
      <c r="AH36" s="122"/>
      <c r="AI36" s="122"/>
      <c r="AJ36" s="122"/>
      <c r="AK36" s="1600" t="s">
        <v>11622</v>
      </c>
      <c r="AL36" s="122" t="s">
        <v>11623</v>
      </c>
      <c r="AM36" s="122"/>
      <c r="AN36" s="221"/>
      <c r="AP36" s="653"/>
      <c r="BK36" s="490"/>
      <c r="BL36" s="491"/>
      <c r="BM36" s="530"/>
      <c r="BN36" s="657"/>
    </row>
    <row r="37" s="204" customFormat="1" ht="31.5" spans="1:66">
      <c r="A37" s="100">
        <f t="shared" si="0"/>
        <v>24</v>
      </c>
      <c r="B37" s="432" t="s">
        <v>11624</v>
      </c>
      <c r="C37" s="618" t="s">
        <v>11441</v>
      </c>
      <c r="D37" s="463" t="s">
        <v>11625</v>
      </c>
      <c r="E37" s="618" t="s">
        <v>11626</v>
      </c>
      <c r="F37" s="618" t="s">
        <v>43</v>
      </c>
      <c r="G37" s="618" t="s">
        <v>96</v>
      </c>
      <c r="H37" s="618" t="s">
        <v>1533</v>
      </c>
      <c r="I37" s="627">
        <v>42394</v>
      </c>
      <c r="J37" s="627">
        <v>42575</v>
      </c>
      <c r="K37" s="632">
        <v>42759</v>
      </c>
      <c r="L37" s="121">
        <v>43124</v>
      </c>
      <c r="M37" s="121">
        <v>43125</v>
      </c>
      <c r="N37" s="121">
        <v>43489</v>
      </c>
      <c r="O37" s="618"/>
      <c r="P37" s="618"/>
      <c r="Q37" s="618"/>
      <c r="R37" s="618"/>
      <c r="S37" s="618"/>
      <c r="T37" s="637"/>
      <c r="U37" s="637"/>
      <c r="V37" s="637"/>
      <c r="W37" s="637"/>
      <c r="X37" s="476">
        <f ca="1">SUM(N37-NOW())</f>
        <v>216.61546296296</v>
      </c>
      <c r="Y37" s="468" t="str">
        <f ca="1" t="shared" si="1"/>
        <v>ACTIVE</v>
      </c>
      <c r="Z37" s="207">
        <v>3648036</v>
      </c>
      <c r="AA37" s="116">
        <v>15000</v>
      </c>
      <c r="AB37" s="116"/>
      <c r="AC37" s="116"/>
      <c r="AD37" s="116" t="s">
        <v>11627</v>
      </c>
      <c r="AE37" s="432" t="s">
        <v>11444</v>
      </c>
      <c r="AF37" s="432" t="s">
        <v>11628</v>
      </c>
      <c r="AG37" s="1579" t="s">
        <v>11629</v>
      </c>
      <c r="AH37" s="122" t="s">
        <v>11630</v>
      </c>
      <c r="AI37" s="122" t="s">
        <v>11631</v>
      </c>
      <c r="AJ37" s="122"/>
      <c r="AK37" s="599" t="s">
        <v>11632</v>
      </c>
      <c r="AL37" s="122" t="s">
        <v>11633</v>
      </c>
      <c r="AM37" s="604" t="s">
        <v>11634</v>
      </c>
      <c r="AN37" s="122"/>
      <c r="AO37" s="93"/>
      <c r="AP37" s="653"/>
      <c r="BK37" s="562"/>
      <c r="BL37" s="654"/>
      <c r="BM37" s="530"/>
      <c r="BN37" s="658"/>
    </row>
    <row r="38" s="93" customFormat="1" ht="21" spans="1:66">
      <c r="A38" s="100">
        <f t="shared" si="0"/>
        <v>25</v>
      </c>
      <c r="B38" s="432" t="s">
        <v>11635</v>
      </c>
      <c r="C38" s="618" t="s">
        <v>11441</v>
      </c>
      <c r="D38" s="463" t="s">
        <v>11636</v>
      </c>
      <c r="E38" s="618" t="s">
        <v>11637</v>
      </c>
      <c r="F38" s="618" t="s">
        <v>125</v>
      </c>
      <c r="G38" s="618" t="s">
        <v>44</v>
      </c>
      <c r="H38" s="618" t="s">
        <v>11638</v>
      </c>
      <c r="I38" s="627">
        <v>42597</v>
      </c>
      <c r="J38" s="627">
        <v>42780</v>
      </c>
      <c r="K38" s="632">
        <v>42869</v>
      </c>
      <c r="L38" s="632">
        <v>43326</v>
      </c>
      <c r="M38" s="618"/>
      <c r="N38" s="618"/>
      <c r="O38" s="618"/>
      <c r="P38" s="618"/>
      <c r="Q38" s="618"/>
      <c r="R38" s="618"/>
      <c r="S38" s="618"/>
      <c r="T38" s="637"/>
      <c r="U38" s="637"/>
      <c r="V38" s="637"/>
      <c r="W38" s="637"/>
      <c r="X38" s="640">
        <f ca="1">SUM(L38-NOW())</f>
        <v>53.61546296296</v>
      </c>
      <c r="Y38" s="468" t="str">
        <f ca="1" t="shared" si="1"/>
        <v>ACTIVE</v>
      </c>
      <c r="Z38" s="207">
        <v>4000000</v>
      </c>
      <c r="AA38" s="116">
        <v>20000</v>
      </c>
      <c r="AB38" s="116"/>
      <c r="AC38" s="116"/>
      <c r="AD38" s="116" t="s">
        <v>11639</v>
      </c>
      <c r="AE38" s="432" t="s">
        <v>11546</v>
      </c>
      <c r="AF38" s="432" t="s">
        <v>11640</v>
      </c>
      <c r="AG38" s="1579" t="s">
        <v>11641</v>
      </c>
      <c r="AH38" s="122" t="s">
        <v>11642</v>
      </c>
      <c r="AI38" s="122" t="s">
        <v>11643</v>
      </c>
      <c r="AJ38" s="122"/>
      <c r="AK38" s="1601" t="s">
        <v>11644</v>
      </c>
      <c r="AL38" s="122" t="s">
        <v>11645</v>
      </c>
      <c r="AM38" s="604" t="s">
        <v>11646</v>
      </c>
      <c r="AN38" s="122"/>
      <c r="BK38" s="490"/>
      <c r="BL38" s="491"/>
      <c r="BM38" s="530"/>
      <c r="BN38" s="657"/>
    </row>
    <row r="39" s="93" customFormat="1" ht="24" spans="1:66">
      <c r="A39" s="100">
        <f t="shared" si="0"/>
        <v>26</v>
      </c>
      <c r="B39" s="432" t="s">
        <v>11647</v>
      </c>
      <c r="C39" s="618" t="s">
        <v>11441</v>
      </c>
      <c r="D39" s="463" t="s">
        <v>11648</v>
      </c>
      <c r="E39" s="618" t="s">
        <v>11649</v>
      </c>
      <c r="F39" s="618" t="s">
        <v>125</v>
      </c>
      <c r="G39" s="618" t="s">
        <v>254</v>
      </c>
      <c r="H39" s="618" t="s">
        <v>11650</v>
      </c>
      <c r="I39" s="627">
        <v>42705</v>
      </c>
      <c r="J39" s="627">
        <v>43069</v>
      </c>
      <c r="K39" s="627">
        <v>43434</v>
      </c>
      <c r="L39" s="618"/>
      <c r="M39" s="618"/>
      <c r="N39" s="618"/>
      <c r="O39" s="618"/>
      <c r="P39" s="618"/>
      <c r="Q39" s="618"/>
      <c r="R39" s="618"/>
      <c r="S39" s="618"/>
      <c r="T39" s="637"/>
      <c r="U39" s="637"/>
      <c r="V39" s="637"/>
      <c r="W39" s="637"/>
      <c r="X39" s="640">
        <f ca="1" t="shared" ref="X39:X42" si="7">SUM(K39-NOW())</f>
        <v>161.61546296296</v>
      </c>
      <c r="Y39" s="468" t="str">
        <f ca="1" t="shared" si="1"/>
        <v>ACTIVE</v>
      </c>
      <c r="Z39" s="207">
        <v>4000000</v>
      </c>
      <c r="AA39" s="116"/>
      <c r="AB39" s="116"/>
      <c r="AC39" s="116"/>
      <c r="AD39" s="116" t="s">
        <v>11651</v>
      </c>
      <c r="AE39" s="432" t="s">
        <v>11546</v>
      </c>
      <c r="AF39" s="432" t="s">
        <v>11652</v>
      </c>
      <c r="AG39" s="1579" t="s">
        <v>11653</v>
      </c>
      <c r="AH39" s="122" t="s">
        <v>11654</v>
      </c>
      <c r="AI39" s="122" t="s">
        <v>11655</v>
      </c>
      <c r="AJ39" s="122"/>
      <c r="AK39" s="649"/>
      <c r="AL39" s="1601" t="s">
        <v>11656</v>
      </c>
      <c r="AM39" s="130" t="s">
        <v>11657</v>
      </c>
      <c r="AN39" s="122"/>
      <c r="BK39" s="490"/>
      <c r="BL39" s="491"/>
      <c r="BM39" s="530"/>
      <c r="BN39" s="657"/>
    </row>
    <row r="40" s="93" customFormat="1" ht="14.1" customHeight="1" spans="1:66">
      <c r="A40" s="100">
        <f t="shared" si="0"/>
        <v>27</v>
      </c>
      <c r="B40" s="432" t="s">
        <v>11658</v>
      </c>
      <c r="C40" s="618"/>
      <c r="D40" s="463" t="s">
        <v>11659</v>
      </c>
      <c r="E40" s="618" t="s">
        <v>11660</v>
      </c>
      <c r="F40" s="618" t="s">
        <v>43</v>
      </c>
      <c r="G40" s="618"/>
      <c r="H40" s="618" t="s">
        <v>2823</v>
      </c>
      <c r="I40" s="627">
        <v>42979</v>
      </c>
      <c r="J40" s="627">
        <v>43159</v>
      </c>
      <c r="K40" s="627">
        <v>43524</v>
      </c>
      <c r="L40" s="618"/>
      <c r="M40" s="618"/>
      <c r="N40" s="618"/>
      <c r="O40" s="618"/>
      <c r="P40" s="618"/>
      <c r="Q40" s="618"/>
      <c r="R40" s="618"/>
      <c r="S40" s="618"/>
      <c r="T40" s="637"/>
      <c r="U40" s="637"/>
      <c r="V40" s="637"/>
      <c r="W40" s="637"/>
      <c r="X40" s="640">
        <f ca="1" t="shared" si="7"/>
        <v>251.61546296296</v>
      </c>
      <c r="Y40" s="468" t="str">
        <f ca="1" t="shared" si="1"/>
        <v>ACTIVE</v>
      </c>
      <c r="Z40" s="207">
        <v>3648036</v>
      </c>
      <c r="AA40" s="116">
        <v>15000</v>
      </c>
      <c r="AB40" s="116"/>
      <c r="AC40" s="116"/>
      <c r="AD40" s="116" t="s">
        <v>11661</v>
      </c>
      <c r="AE40" s="432" t="s">
        <v>11546</v>
      </c>
      <c r="AF40" s="432" t="s">
        <v>11662</v>
      </c>
      <c r="AG40" s="1579" t="s">
        <v>11663</v>
      </c>
      <c r="AH40" s="122" t="s">
        <v>11664</v>
      </c>
      <c r="AI40" s="122"/>
      <c r="AJ40" s="122"/>
      <c r="AK40" s="649"/>
      <c r="AL40" s="1601" t="s">
        <v>11665</v>
      </c>
      <c r="AM40" s="130"/>
      <c r="AN40" s="122"/>
      <c r="BK40" s="490"/>
      <c r="BL40" s="491"/>
      <c r="BM40" s="530"/>
      <c r="BN40" s="657"/>
    </row>
    <row r="41" s="93" customFormat="1" ht="14.1" customHeight="1" spans="1:40">
      <c r="A41" s="100">
        <f t="shared" si="0"/>
        <v>28</v>
      </c>
      <c r="B41" s="432" t="s">
        <v>11666</v>
      </c>
      <c r="C41" s="618"/>
      <c r="D41" s="463" t="s">
        <v>11667</v>
      </c>
      <c r="E41" s="618" t="s">
        <v>11668</v>
      </c>
      <c r="F41" s="618" t="s">
        <v>125</v>
      </c>
      <c r="G41" s="618" t="s">
        <v>44</v>
      </c>
      <c r="H41" s="618" t="s">
        <v>11638</v>
      </c>
      <c r="I41" s="627">
        <v>42940</v>
      </c>
      <c r="J41" s="627">
        <v>43123</v>
      </c>
      <c r="K41" s="627">
        <v>43488</v>
      </c>
      <c r="L41" s="618"/>
      <c r="M41" s="618"/>
      <c r="N41" s="618"/>
      <c r="O41" s="618"/>
      <c r="P41" s="618"/>
      <c r="Q41" s="618"/>
      <c r="R41" s="618"/>
      <c r="S41" s="618"/>
      <c r="T41" s="637"/>
      <c r="U41" s="637"/>
      <c r="V41" s="637"/>
      <c r="W41" s="637"/>
      <c r="X41" s="640">
        <f ca="1" t="shared" si="7"/>
        <v>215.61546296296</v>
      </c>
      <c r="Y41" s="468" t="str">
        <f ca="1" t="shared" si="1"/>
        <v>ACTIVE</v>
      </c>
      <c r="Z41" s="207">
        <v>4000000</v>
      </c>
      <c r="AA41" s="116">
        <v>20000</v>
      </c>
      <c r="AB41" s="116"/>
      <c r="AC41" s="116"/>
      <c r="AD41" s="116" t="s">
        <v>11669</v>
      </c>
      <c r="AE41" s="432" t="s">
        <v>11546</v>
      </c>
      <c r="AF41" s="432" t="s">
        <v>11670</v>
      </c>
      <c r="AG41" s="1579" t="s">
        <v>11671</v>
      </c>
      <c r="AH41" s="122" t="s">
        <v>11672</v>
      </c>
      <c r="AI41" s="122"/>
      <c r="AJ41" s="122"/>
      <c r="AK41" s="649"/>
      <c r="AL41" s="1601" t="s">
        <v>11673</v>
      </c>
      <c r="AM41" s="127" t="s">
        <v>11674</v>
      </c>
      <c r="AN41" s="122"/>
    </row>
    <row r="42" s="459" customFormat="1" ht="14.1" customHeight="1" spans="1:66">
      <c r="A42" s="100">
        <f t="shared" si="0"/>
        <v>29</v>
      </c>
      <c r="B42" s="432" t="s">
        <v>11675</v>
      </c>
      <c r="C42" s="618"/>
      <c r="D42" s="463" t="s">
        <v>11676</v>
      </c>
      <c r="E42" s="627" t="s">
        <v>11677</v>
      </c>
      <c r="F42" s="618" t="s">
        <v>125</v>
      </c>
      <c r="G42" s="618" t="s">
        <v>44</v>
      </c>
      <c r="H42" s="618" t="s">
        <v>7940</v>
      </c>
      <c r="I42" s="627">
        <v>43006</v>
      </c>
      <c r="J42" s="627">
        <v>43096</v>
      </c>
      <c r="K42" s="627">
        <v>43461</v>
      </c>
      <c r="L42" s="618"/>
      <c r="M42" s="618"/>
      <c r="N42" s="618"/>
      <c r="O42" s="618"/>
      <c r="P42" s="618"/>
      <c r="Q42" s="618"/>
      <c r="R42" s="618"/>
      <c r="S42" s="618"/>
      <c r="T42" s="637"/>
      <c r="U42" s="637"/>
      <c r="V42" s="637"/>
      <c r="W42" s="637"/>
      <c r="X42" s="640">
        <f ca="1" t="shared" si="7"/>
        <v>188.61546296296</v>
      </c>
      <c r="Y42" s="468" t="str">
        <f ca="1" t="shared" ref="Y42:Y48" si="8">IF(X42&lt;=46,"WARNING","ACTIVE")</f>
        <v>ACTIVE</v>
      </c>
      <c r="Z42" s="207">
        <v>3648036</v>
      </c>
      <c r="AA42" s="116">
        <v>15000</v>
      </c>
      <c r="AB42" s="116"/>
      <c r="AC42" s="116"/>
      <c r="AD42" s="116" t="s">
        <v>11678</v>
      </c>
      <c r="AE42" s="432" t="s">
        <v>11679</v>
      </c>
      <c r="AF42" s="432" t="s">
        <v>11680</v>
      </c>
      <c r="AG42" s="1579" t="s">
        <v>11681</v>
      </c>
      <c r="AH42" s="122" t="s">
        <v>11682</v>
      </c>
      <c r="AI42" s="122" t="s">
        <v>11683</v>
      </c>
      <c r="AJ42" s="122"/>
      <c r="AK42" s="649"/>
      <c r="AL42" s="1601" t="s">
        <v>11684</v>
      </c>
      <c r="AM42" s="127" t="s">
        <v>11685</v>
      </c>
      <c r="AN42" s="122"/>
      <c r="BK42" s="655"/>
      <c r="BL42" s="656"/>
      <c r="BM42" s="659"/>
      <c r="BN42" s="660"/>
    </row>
    <row r="43" s="93" customFormat="1" ht="14.1" customHeight="1" spans="1:40">
      <c r="A43" s="100">
        <f t="shared" si="0"/>
        <v>30</v>
      </c>
      <c r="B43" s="432" t="s">
        <v>11686</v>
      </c>
      <c r="C43" s="618"/>
      <c r="D43" s="463" t="s">
        <v>11687</v>
      </c>
      <c r="E43" s="627" t="s">
        <v>11688</v>
      </c>
      <c r="F43" s="618" t="s">
        <v>43</v>
      </c>
      <c r="G43" s="618" t="s">
        <v>60</v>
      </c>
      <c r="H43" s="618" t="s">
        <v>1533</v>
      </c>
      <c r="I43" s="627">
        <v>43040</v>
      </c>
      <c r="J43" s="627">
        <v>43404</v>
      </c>
      <c r="K43" s="632"/>
      <c r="L43" s="618"/>
      <c r="M43" s="618"/>
      <c r="N43" s="618"/>
      <c r="O43" s="618"/>
      <c r="P43" s="618"/>
      <c r="Q43" s="618"/>
      <c r="R43" s="618"/>
      <c r="S43" s="618"/>
      <c r="T43" s="637"/>
      <c r="U43" s="637"/>
      <c r="V43" s="637"/>
      <c r="W43" s="637"/>
      <c r="X43" s="640">
        <f ca="1" t="shared" ref="X43:X45" si="9">SUM(J43-NOW())</f>
        <v>131.61546296296</v>
      </c>
      <c r="Y43" s="468" t="str">
        <f ca="1" t="shared" si="8"/>
        <v>ACTIVE</v>
      </c>
      <c r="Z43" s="207">
        <v>3648036</v>
      </c>
      <c r="AA43" s="116">
        <v>20000</v>
      </c>
      <c r="AB43" s="116"/>
      <c r="AC43" s="116"/>
      <c r="AD43" s="116" t="s">
        <v>11661</v>
      </c>
      <c r="AE43" s="432" t="s">
        <v>11679</v>
      </c>
      <c r="AF43" s="432" t="s">
        <v>11689</v>
      </c>
      <c r="AG43" s="122"/>
      <c r="AH43" s="122" t="s">
        <v>11690</v>
      </c>
      <c r="AI43" s="122" t="s">
        <v>11691</v>
      </c>
      <c r="AJ43" s="122"/>
      <c r="AK43" s="649"/>
      <c r="AL43" s="1601" t="s">
        <v>11692</v>
      </c>
      <c r="AM43" s="127"/>
      <c r="AN43" s="122"/>
    </row>
    <row r="44" s="459" customFormat="1" ht="14.1" customHeight="1" spans="1:40">
      <c r="A44" s="161">
        <f t="shared" si="0"/>
        <v>31</v>
      </c>
      <c r="B44" s="180" t="s">
        <v>11693</v>
      </c>
      <c r="C44" s="619"/>
      <c r="D44" s="166" t="s">
        <v>11694</v>
      </c>
      <c r="E44" s="628" t="s">
        <v>11695</v>
      </c>
      <c r="F44" s="619" t="s">
        <v>125</v>
      </c>
      <c r="G44" s="619" t="s">
        <v>44</v>
      </c>
      <c r="H44" s="619" t="s">
        <v>11696</v>
      </c>
      <c r="I44" s="628">
        <v>43199</v>
      </c>
      <c r="J44" s="628">
        <v>43259</v>
      </c>
      <c r="K44" s="633"/>
      <c r="L44" s="619"/>
      <c r="M44" s="619"/>
      <c r="N44" s="619"/>
      <c r="O44" s="619"/>
      <c r="P44" s="619"/>
      <c r="Q44" s="619"/>
      <c r="R44" s="619"/>
      <c r="S44" s="619"/>
      <c r="T44" s="638"/>
      <c r="U44" s="638"/>
      <c r="V44" s="638"/>
      <c r="W44" s="638"/>
      <c r="X44" s="641">
        <f ca="1" t="shared" si="9"/>
        <v>-13.38453703704</v>
      </c>
      <c r="Y44" s="182" t="str">
        <f ca="1" t="shared" si="8"/>
        <v>WARNING</v>
      </c>
      <c r="Z44" s="642">
        <v>3000000</v>
      </c>
      <c r="AA44" s="179"/>
      <c r="AB44" s="179"/>
      <c r="AC44" s="179"/>
      <c r="AD44" s="179"/>
      <c r="AE44" s="180"/>
      <c r="AF44" s="180" t="s">
        <v>11697</v>
      </c>
      <c r="AG44" s="1581" t="s">
        <v>11698</v>
      </c>
      <c r="AH44" s="224" t="s">
        <v>11699</v>
      </c>
      <c r="AI44" s="224"/>
      <c r="AJ44" s="224"/>
      <c r="AK44" s="1602" t="s">
        <v>11700</v>
      </c>
      <c r="AL44" s="1602" t="s">
        <v>11701</v>
      </c>
      <c r="AM44" s="229" t="s">
        <v>11702</v>
      </c>
      <c r="AN44" s="224" t="s">
        <v>11703</v>
      </c>
    </row>
    <row r="45" s="93" customFormat="1" ht="14.1" customHeight="1" spans="1:40">
      <c r="A45" s="100">
        <f t="shared" si="0"/>
        <v>32</v>
      </c>
      <c r="B45" s="432" t="s">
        <v>11704</v>
      </c>
      <c r="C45" s="618"/>
      <c r="D45" s="463" t="s">
        <v>11705</v>
      </c>
      <c r="E45" s="627" t="s">
        <v>11706</v>
      </c>
      <c r="F45" s="618" t="s">
        <v>125</v>
      </c>
      <c r="G45" s="618" t="s">
        <v>44</v>
      </c>
      <c r="H45" s="618" t="s">
        <v>11707</v>
      </c>
      <c r="I45" s="627">
        <v>43150</v>
      </c>
      <c r="J45" s="627">
        <v>43328</v>
      </c>
      <c r="K45" s="632"/>
      <c r="L45" s="618"/>
      <c r="M45" s="618"/>
      <c r="N45" s="618"/>
      <c r="O45" s="618"/>
      <c r="P45" s="618"/>
      <c r="Q45" s="618"/>
      <c r="R45" s="618"/>
      <c r="S45" s="618"/>
      <c r="T45" s="637"/>
      <c r="U45" s="637"/>
      <c r="V45" s="637"/>
      <c r="W45" s="637"/>
      <c r="X45" s="640">
        <f ca="1" t="shared" si="9"/>
        <v>55.61546296296</v>
      </c>
      <c r="Y45" s="468" t="str">
        <f ca="1" t="shared" si="8"/>
        <v>ACTIVE</v>
      </c>
      <c r="Z45" s="643">
        <v>5000000</v>
      </c>
      <c r="AA45" s="116">
        <v>20000</v>
      </c>
      <c r="AB45" s="116"/>
      <c r="AC45" s="116"/>
      <c r="AD45" s="116"/>
      <c r="AE45" s="432"/>
      <c r="AF45" s="432" t="s">
        <v>11708</v>
      </c>
      <c r="AG45" s="1579" t="s">
        <v>11709</v>
      </c>
      <c r="AH45" s="122" t="s">
        <v>11710</v>
      </c>
      <c r="AI45" s="122"/>
      <c r="AJ45" s="122"/>
      <c r="AK45" s="649"/>
      <c r="AL45" s="1601" t="s">
        <v>11711</v>
      </c>
      <c r="AM45" s="127" t="s">
        <v>11712</v>
      </c>
      <c r="AN45" s="122"/>
    </row>
    <row r="46" s="459" customFormat="1" ht="24" spans="1:40">
      <c r="A46" s="161">
        <f t="shared" si="0"/>
        <v>33</v>
      </c>
      <c r="B46" s="180" t="s">
        <v>11713</v>
      </c>
      <c r="C46" s="620" t="s">
        <v>11714</v>
      </c>
      <c r="D46" s="166" t="s">
        <v>11715</v>
      </c>
      <c r="E46" s="628" t="s">
        <v>11716</v>
      </c>
      <c r="F46" s="619" t="s">
        <v>125</v>
      </c>
      <c r="G46" s="619" t="s">
        <v>44</v>
      </c>
      <c r="H46" s="619" t="s">
        <v>7814</v>
      </c>
      <c r="I46" s="628">
        <v>43206</v>
      </c>
      <c r="J46" s="628">
        <v>43296</v>
      </c>
      <c r="K46" s="633"/>
      <c r="L46" s="619"/>
      <c r="M46" s="619"/>
      <c r="N46" s="619"/>
      <c r="O46" s="619"/>
      <c r="P46" s="619"/>
      <c r="Q46" s="619"/>
      <c r="R46" s="619"/>
      <c r="S46" s="619"/>
      <c r="T46" s="638"/>
      <c r="U46" s="638"/>
      <c r="V46" s="638"/>
      <c r="W46" s="638"/>
      <c r="X46" s="641">
        <v>94.2807230324106</v>
      </c>
      <c r="Y46" s="182" t="str">
        <f ca="1" t="shared" si="8"/>
        <v>ACTIVE</v>
      </c>
      <c r="Z46" s="642">
        <v>4000000</v>
      </c>
      <c r="AA46" s="179">
        <v>20000</v>
      </c>
      <c r="AB46" s="179"/>
      <c r="AC46" s="179"/>
      <c r="AD46" s="179"/>
      <c r="AE46" s="180" t="s">
        <v>11546</v>
      </c>
      <c r="AF46" s="180" t="s">
        <v>11717</v>
      </c>
      <c r="AG46" s="1581" t="s">
        <v>11718</v>
      </c>
      <c r="AH46" s="224" t="s">
        <v>11719</v>
      </c>
      <c r="AI46" s="224" t="s">
        <v>11720</v>
      </c>
      <c r="AJ46" s="1581" t="s">
        <v>11721</v>
      </c>
      <c r="AK46" s="1602" t="s">
        <v>11722</v>
      </c>
      <c r="AL46" s="1602" t="s">
        <v>11723</v>
      </c>
      <c r="AM46" s="229" t="s">
        <v>11724</v>
      </c>
      <c r="AN46" s="224" t="s">
        <v>11725</v>
      </c>
    </row>
    <row r="47" s="93" customFormat="1" ht="14.1" customHeight="1" spans="1:40">
      <c r="A47" s="100">
        <f t="shared" si="0"/>
        <v>34</v>
      </c>
      <c r="B47" s="432" t="s">
        <v>11726</v>
      </c>
      <c r="C47" s="621" t="s">
        <v>11727</v>
      </c>
      <c r="D47" s="463" t="s">
        <v>11728</v>
      </c>
      <c r="E47" s="627" t="s">
        <v>11729</v>
      </c>
      <c r="F47" s="618" t="s">
        <v>125</v>
      </c>
      <c r="G47" s="618" t="s">
        <v>44</v>
      </c>
      <c r="H47" s="618" t="s">
        <v>11730</v>
      </c>
      <c r="I47" s="627">
        <v>43238</v>
      </c>
      <c r="J47" s="627">
        <v>43328</v>
      </c>
      <c r="K47" s="632"/>
      <c r="L47" s="618"/>
      <c r="M47" s="618"/>
      <c r="N47" s="618"/>
      <c r="O47" s="618"/>
      <c r="P47" s="618"/>
      <c r="Q47" s="618"/>
      <c r="R47" s="618"/>
      <c r="S47" s="618"/>
      <c r="T47" s="637"/>
      <c r="U47" s="637"/>
      <c r="V47" s="637"/>
      <c r="W47" s="637"/>
      <c r="X47" s="640">
        <v>94.2807230324106</v>
      </c>
      <c r="Y47" s="468" t="str">
        <f ca="1" t="shared" si="8"/>
        <v>ACTIVE</v>
      </c>
      <c r="Z47" s="643">
        <v>3000000</v>
      </c>
      <c r="AA47" s="116" t="s">
        <v>583</v>
      </c>
      <c r="AB47" s="116" t="s">
        <v>583</v>
      </c>
      <c r="AC47" s="116"/>
      <c r="AD47" s="116"/>
      <c r="AE47" s="432" t="s">
        <v>11731</v>
      </c>
      <c r="AF47" s="432" t="s">
        <v>11732</v>
      </c>
      <c r="AG47" s="1579" t="s">
        <v>11733</v>
      </c>
      <c r="AH47" s="1579" t="s">
        <v>11734</v>
      </c>
      <c r="AI47" s="122"/>
      <c r="AJ47" s="122"/>
      <c r="AK47" s="649"/>
      <c r="AL47" s="1601" t="s">
        <v>11735</v>
      </c>
      <c r="AM47" s="127" t="s">
        <v>11736</v>
      </c>
      <c r="AN47" s="122"/>
    </row>
    <row r="48" s="93" customFormat="1" ht="14.1" customHeight="1" spans="1:40">
      <c r="A48" s="100">
        <f t="shared" si="0"/>
        <v>35</v>
      </c>
      <c r="B48" s="432" t="s">
        <v>11737</v>
      </c>
      <c r="C48" s="618"/>
      <c r="D48" s="463" t="s">
        <v>11738</v>
      </c>
      <c r="E48" s="627" t="s">
        <v>11739</v>
      </c>
      <c r="F48" s="618" t="s">
        <v>43</v>
      </c>
      <c r="G48" s="618" t="s">
        <v>44</v>
      </c>
      <c r="H48" s="618" t="s">
        <v>11707</v>
      </c>
      <c r="I48" s="627">
        <v>43234</v>
      </c>
      <c r="J48" s="627">
        <v>43417</v>
      </c>
      <c r="K48" s="632"/>
      <c r="L48" s="618"/>
      <c r="M48" s="618"/>
      <c r="N48" s="618"/>
      <c r="O48" s="618"/>
      <c r="P48" s="618"/>
      <c r="Q48" s="618"/>
      <c r="R48" s="618"/>
      <c r="S48" s="618"/>
      <c r="T48" s="637"/>
      <c r="U48" s="637"/>
      <c r="V48" s="637"/>
      <c r="W48" s="637"/>
      <c r="X48" s="640">
        <v>94.2807230324106</v>
      </c>
      <c r="Y48" s="468" t="str">
        <f ca="1" t="shared" si="8"/>
        <v>ACTIVE</v>
      </c>
      <c r="Z48" s="643">
        <v>5000000</v>
      </c>
      <c r="AA48" s="116">
        <v>20000</v>
      </c>
      <c r="AB48" s="116"/>
      <c r="AC48" s="116"/>
      <c r="AD48" s="116"/>
      <c r="AE48" s="432" t="s">
        <v>11731</v>
      </c>
      <c r="AF48" s="432" t="s">
        <v>11740</v>
      </c>
      <c r="AG48" s="1579" t="s">
        <v>11741</v>
      </c>
      <c r="AH48" s="1579" t="s">
        <v>11742</v>
      </c>
      <c r="AI48" s="1579" t="s">
        <v>11743</v>
      </c>
      <c r="AJ48" s="122"/>
      <c r="AK48" s="649"/>
      <c r="AL48" s="1601" t="s">
        <v>11744</v>
      </c>
      <c r="AM48" s="127" t="s">
        <v>11745</v>
      </c>
      <c r="AN48" s="122"/>
    </row>
    <row r="49" s="93" customFormat="1" ht="14.1" customHeight="1" spans="3:40">
      <c r="C49" s="622"/>
      <c r="D49" s="622"/>
      <c r="E49" s="622"/>
      <c r="F49" s="622"/>
      <c r="G49" s="622"/>
      <c r="H49" s="622"/>
      <c r="I49" s="622"/>
      <c r="J49" s="622"/>
      <c r="K49" s="622"/>
      <c r="L49" s="622"/>
      <c r="M49" s="622"/>
      <c r="N49" s="622"/>
      <c r="O49" s="622"/>
      <c r="P49" s="622"/>
      <c r="Q49" s="639"/>
      <c r="Z49" s="639"/>
      <c r="AA49" s="639"/>
      <c r="AB49" s="639"/>
      <c r="AC49" s="639"/>
      <c r="AF49" s="639"/>
      <c r="AG49" s="570"/>
      <c r="AH49" s="570"/>
      <c r="AI49" s="570"/>
      <c r="AJ49" s="570"/>
      <c r="AK49" s="570"/>
      <c r="AL49" s="570"/>
      <c r="AM49" s="570"/>
      <c r="AN49" s="570"/>
    </row>
    <row r="50" s="93" customFormat="1" ht="14.1" customHeight="1" spans="3:40">
      <c r="C50" s="622"/>
      <c r="D50" s="622"/>
      <c r="E50" s="622"/>
      <c r="F50" s="622"/>
      <c r="G50" s="622"/>
      <c r="H50" s="622"/>
      <c r="I50" s="622"/>
      <c r="J50" s="622"/>
      <c r="K50" s="622"/>
      <c r="L50" s="622"/>
      <c r="M50" s="622"/>
      <c r="N50" s="622"/>
      <c r="O50" s="622"/>
      <c r="P50" s="622"/>
      <c r="Q50" s="639"/>
      <c r="Z50" s="639"/>
      <c r="AA50" s="639"/>
      <c r="AB50" s="639"/>
      <c r="AC50" s="639"/>
      <c r="AF50" s="639"/>
      <c r="AG50" s="570"/>
      <c r="AH50" s="570"/>
      <c r="AI50" s="570"/>
      <c r="AJ50" s="570"/>
      <c r="AK50" s="570"/>
      <c r="AL50" s="570"/>
      <c r="AM50" s="570"/>
      <c r="AN50" s="570"/>
    </row>
    <row r="51" s="93" customFormat="1" ht="14.1" customHeight="1" spans="3:40">
      <c r="C51" s="622"/>
      <c r="D51" s="622"/>
      <c r="E51" s="622"/>
      <c r="F51" s="622"/>
      <c r="G51" s="622"/>
      <c r="H51" s="622"/>
      <c r="I51" s="622"/>
      <c r="J51" s="622"/>
      <c r="K51" s="622"/>
      <c r="L51" s="622"/>
      <c r="M51" s="622"/>
      <c r="N51" s="622"/>
      <c r="O51" s="622"/>
      <c r="P51" s="622"/>
      <c r="Q51" s="639"/>
      <c r="Z51" s="639"/>
      <c r="AA51" s="639"/>
      <c r="AB51" s="639"/>
      <c r="AC51" s="639"/>
      <c r="AF51" s="639"/>
      <c r="AG51" s="570"/>
      <c r="AH51" s="570"/>
      <c r="AI51" s="570"/>
      <c r="AJ51" s="570"/>
      <c r="AK51" s="570"/>
      <c r="AL51" s="570"/>
      <c r="AM51" s="570"/>
      <c r="AN51" s="570"/>
    </row>
    <row r="52" s="93" customFormat="1" ht="14.1" customHeight="1" spans="3:40">
      <c r="C52" s="622"/>
      <c r="D52" s="622"/>
      <c r="E52" s="622"/>
      <c r="F52" s="622"/>
      <c r="G52" s="622"/>
      <c r="H52" s="622"/>
      <c r="I52" s="622"/>
      <c r="J52" s="622"/>
      <c r="K52" s="622"/>
      <c r="L52" s="622"/>
      <c r="M52" s="622"/>
      <c r="N52" s="622"/>
      <c r="O52" s="622"/>
      <c r="P52" s="622"/>
      <c r="Q52" s="639"/>
      <c r="Z52" s="639"/>
      <c r="AA52" s="639"/>
      <c r="AB52" s="639"/>
      <c r="AC52" s="639"/>
      <c r="AF52" s="639"/>
      <c r="AG52" s="570"/>
      <c r="AH52" s="570"/>
      <c r="AI52" s="570"/>
      <c r="AJ52" s="570"/>
      <c r="AK52" s="570"/>
      <c r="AL52" s="570"/>
      <c r="AM52" s="570"/>
      <c r="AN52" s="570"/>
    </row>
    <row r="53" s="93" customFormat="1" ht="14.1" customHeight="1" spans="3:40">
      <c r="C53" s="622"/>
      <c r="D53" s="622"/>
      <c r="E53" s="622"/>
      <c r="F53" s="622"/>
      <c r="G53" s="622"/>
      <c r="H53" s="622"/>
      <c r="I53" s="622"/>
      <c r="J53" s="622"/>
      <c r="K53" s="622"/>
      <c r="L53" s="622"/>
      <c r="M53" s="622"/>
      <c r="N53" s="622"/>
      <c r="O53" s="622"/>
      <c r="P53" s="622"/>
      <c r="Q53" s="639"/>
      <c r="Z53" s="639"/>
      <c r="AA53" s="639"/>
      <c r="AB53" s="639"/>
      <c r="AC53" s="639"/>
      <c r="AF53" s="639"/>
      <c r="AG53" s="570"/>
      <c r="AH53" s="570"/>
      <c r="AI53" s="570"/>
      <c r="AJ53" s="570"/>
      <c r="AK53" s="570"/>
      <c r="AL53" s="570"/>
      <c r="AM53" s="570"/>
      <c r="AN53" s="570"/>
    </row>
    <row r="54" s="93" customFormat="1" ht="14.1" customHeight="1" spans="3:40">
      <c r="C54" s="622"/>
      <c r="D54" s="622"/>
      <c r="E54" s="622"/>
      <c r="F54" s="622"/>
      <c r="G54" s="622"/>
      <c r="H54" s="622"/>
      <c r="I54" s="622"/>
      <c r="J54" s="622"/>
      <c r="K54" s="622"/>
      <c r="L54" s="622"/>
      <c r="M54" s="622"/>
      <c r="N54" s="622"/>
      <c r="O54" s="622"/>
      <c r="P54" s="622"/>
      <c r="Q54" s="639"/>
      <c r="Z54" s="639"/>
      <c r="AA54" s="639"/>
      <c r="AB54" s="639"/>
      <c r="AC54" s="639"/>
      <c r="AF54" s="639"/>
      <c r="AG54" s="570"/>
      <c r="AH54" s="570"/>
      <c r="AI54" s="570"/>
      <c r="AJ54" s="570"/>
      <c r="AK54" s="570"/>
      <c r="AL54" s="570"/>
      <c r="AM54" s="570"/>
      <c r="AN54" s="570"/>
    </row>
    <row r="55" s="93" customFormat="1" ht="14.1" customHeight="1" spans="1:40">
      <c r="A55" s="464" t="s">
        <v>2552</v>
      </c>
      <c r="B55" s="586"/>
      <c r="C55" s="623"/>
      <c r="AG55" s="570"/>
      <c r="AH55" s="570"/>
      <c r="AI55" s="570"/>
      <c r="AJ55" s="570"/>
      <c r="AK55" s="570"/>
      <c r="AL55" s="570"/>
      <c r="AM55" s="570"/>
      <c r="AN55" s="570"/>
    </row>
    <row r="56" s="93" customFormat="1" ht="14.1" customHeight="1" spans="1:40">
      <c r="A56" s="161">
        <f t="shared" si="0"/>
        <v>43</v>
      </c>
      <c r="B56" s="180" t="s">
        <v>11746</v>
      </c>
      <c r="C56" s="619" t="s">
        <v>11441</v>
      </c>
      <c r="D56" s="166" t="s">
        <v>11747</v>
      </c>
      <c r="E56" s="619" t="s">
        <v>11748</v>
      </c>
      <c r="F56" s="619" t="s">
        <v>125</v>
      </c>
      <c r="G56" s="619" t="s">
        <v>44</v>
      </c>
      <c r="H56" s="619" t="s">
        <v>11730</v>
      </c>
      <c r="I56" s="628" t="s">
        <v>11749</v>
      </c>
      <c r="J56" s="628">
        <v>42930</v>
      </c>
      <c r="K56" s="633"/>
      <c r="L56" s="619"/>
      <c r="M56" s="619"/>
      <c r="N56" s="619"/>
      <c r="O56" s="619"/>
      <c r="P56" s="619"/>
      <c r="Q56" s="619"/>
      <c r="R56" s="619"/>
      <c r="S56" s="619"/>
      <c r="T56" s="638"/>
      <c r="U56" s="638"/>
      <c r="V56" s="638"/>
      <c r="W56" s="638"/>
      <c r="X56" s="641">
        <f ca="1">SUM(J56-NOW())</f>
        <v>-342.38453703704</v>
      </c>
      <c r="Y56" s="182" t="str">
        <f ca="1" t="shared" ref="Y56:Y63" si="10">IF(X56&lt;=40,"WARNING","ACTIVE")</f>
        <v>WARNING</v>
      </c>
      <c r="Z56" s="642">
        <v>7500000</v>
      </c>
      <c r="AA56" s="179"/>
      <c r="AB56" s="179"/>
      <c r="AC56" s="179"/>
      <c r="AD56" s="179" t="s">
        <v>11750</v>
      </c>
      <c r="AE56" s="180" t="s">
        <v>11751</v>
      </c>
      <c r="AF56" s="180" t="s">
        <v>11752</v>
      </c>
      <c r="AG56" s="224">
        <v>8157031308</v>
      </c>
      <c r="AH56" s="224" t="s">
        <v>11753</v>
      </c>
      <c r="AI56" s="224" t="s">
        <v>11754</v>
      </c>
      <c r="AJ56" s="224"/>
      <c r="AK56" s="225" t="s">
        <v>11755</v>
      </c>
      <c r="AL56" s="225" t="s">
        <v>11756</v>
      </c>
      <c r="AM56" s="229" t="s">
        <v>11757</v>
      </c>
      <c r="AN56" s="224" t="s">
        <v>11758</v>
      </c>
    </row>
    <row r="57" s="93" customFormat="1" ht="14.1" customHeight="1" spans="1:40">
      <c r="A57" s="161">
        <f t="shared" si="0"/>
        <v>44</v>
      </c>
      <c r="B57" s="162" t="s">
        <v>11759</v>
      </c>
      <c r="C57" s="162" t="s">
        <v>11451</v>
      </c>
      <c r="D57" s="167" t="s">
        <v>11760</v>
      </c>
      <c r="E57" s="629" t="s">
        <v>11761</v>
      </c>
      <c r="F57" s="629"/>
      <c r="G57" s="173" t="s">
        <v>44</v>
      </c>
      <c r="H57" s="180" t="s">
        <v>7940</v>
      </c>
      <c r="I57" s="590">
        <v>41772</v>
      </c>
      <c r="J57" s="590">
        <v>41955</v>
      </c>
      <c r="K57" s="590">
        <v>42320</v>
      </c>
      <c r="L57" s="590">
        <v>42502</v>
      </c>
      <c r="M57" s="590">
        <f>L57+1</f>
        <v>42503</v>
      </c>
      <c r="N57" s="590">
        <v>42867</v>
      </c>
      <c r="O57" s="590"/>
      <c r="P57" s="590">
        <f>N57+1</f>
        <v>42868</v>
      </c>
      <c r="Q57" s="590">
        <v>42947</v>
      </c>
      <c r="R57" s="590"/>
      <c r="S57" s="590"/>
      <c r="T57" s="590"/>
      <c r="U57" s="590"/>
      <c r="V57" s="590"/>
      <c r="W57" s="590"/>
      <c r="X57" s="477">
        <f ca="1">SUM(Q57-NOW())</f>
        <v>-325.38453703704</v>
      </c>
      <c r="Y57" s="182" t="str">
        <f ca="1" t="shared" si="10"/>
        <v>WARNING</v>
      </c>
      <c r="Z57" s="181">
        <v>3500000</v>
      </c>
      <c r="AA57" s="181">
        <v>15000</v>
      </c>
      <c r="AB57" s="181"/>
      <c r="AC57" s="181"/>
      <c r="AD57" s="181" t="s">
        <v>11762</v>
      </c>
      <c r="AE57" s="180" t="s">
        <v>11444</v>
      </c>
      <c r="AF57" s="180" t="s">
        <v>11763</v>
      </c>
      <c r="AG57" s="224" t="s">
        <v>11764</v>
      </c>
      <c r="AH57" s="600"/>
      <c r="AI57" s="224" t="s">
        <v>11765</v>
      </c>
      <c r="AJ57" s="600"/>
      <c r="AK57" s="1598" t="s">
        <v>11766</v>
      </c>
      <c r="AL57" s="600" t="s">
        <v>11767</v>
      </c>
      <c r="AM57" s="224" t="s">
        <v>11768</v>
      </c>
      <c r="AN57" s="222" t="s">
        <v>11769</v>
      </c>
    </row>
    <row r="58" s="459" customFormat="1" ht="14.1" customHeight="1" spans="1:40">
      <c r="A58" s="161">
        <f t="shared" si="0"/>
        <v>45</v>
      </c>
      <c r="B58" s="162" t="s">
        <v>11440</v>
      </c>
      <c r="C58" s="162" t="s">
        <v>11441</v>
      </c>
      <c r="D58" s="167" t="s">
        <v>11442</v>
      </c>
      <c r="E58" s="629">
        <v>30057</v>
      </c>
      <c r="F58" s="629"/>
      <c r="G58" s="173" t="s">
        <v>60</v>
      </c>
      <c r="H58" s="180" t="s">
        <v>2823</v>
      </c>
      <c r="I58" s="590">
        <v>40323</v>
      </c>
      <c r="J58" s="590">
        <v>41053</v>
      </c>
      <c r="K58" s="590"/>
      <c r="L58" s="590"/>
      <c r="M58" s="182">
        <v>41054</v>
      </c>
      <c r="N58" s="182">
        <v>41418</v>
      </c>
      <c r="O58" s="182"/>
      <c r="P58" s="182"/>
      <c r="Q58" s="182"/>
      <c r="R58" s="182">
        <v>41450</v>
      </c>
      <c r="S58" s="182">
        <v>42179</v>
      </c>
      <c r="T58" s="182"/>
      <c r="U58" s="182"/>
      <c r="V58" s="182">
        <v>42180</v>
      </c>
      <c r="W58" s="182">
        <v>42240</v>
      </c>
      <c r="X58" s="477" t="e">
        <f ca="1">SUM(#REF!-NOW())</f>
        <v>#REF!</v>
      </c>
      <c r="Y58" s="182" t="e">
        <f ca="1" t="shared" si="10"/>
        <v>#REF!</v>
      </c>
      <c r="Z58" s="181">
        <v>3355750</v>
      </c>
      <c r="AA58" s="181">
        <v>15000</v>
      </c>
      <c r="AB58" s="181"/>
      <c r="AC58" s="181"/>
      <c r="AD58" s="181" t="s">
        <v>11770</v>
      </c>
      <c r="AE58" s="180" t="s">
        <v>11444</v>
      </c>
      <c r="AF58" s="180" t="s">
        <v>11445</v>
      </c>
      <c r="AG58" s="1581" t="s">
        <v>11446</v>
      </c>
      <c r="AH58" s="600"/>
      <c r="AI58" s="1598" t="s">
        <v>11447</v>
      </c>
      <c r="AJ58" s="600"/>
      <c r="AK58" s="1598" t="s">
        <v>11448</v>
      </c>
      <c r="AL58" s="600" t="s">
        <v>11449</v>
      </c>
      <c r="AM58" s="225"/>
      <c r="AN58" s="222" t="s">
        <v>7715</v>
      </c>
    </row>
    <row r="59" s="459" customFormat="1" ht="14.1" customHeight="1" spans="1:40">
      <c r="A59" s="161">
        <f t="shared" si="0"/>
        <v>46</v>
      </c>
      <c r="B59" s="162" t="s">
        <v>11450</v>
      </c>
      <c r="C59" s="162" t="s">
        <v>11451</v>
      </c>
      <c r="D59" s="167" t="s">
        <v>11452</v>
      </c>
      <c r="E59" s="629">
        <v>26841</v>
      </c>
      <c r="F59" s="629"/>
      <c r="G59" s="173" t="s">
        <v>96</v>
      </c>
      <c r="H59" s="180" t="s">
        <v>1533</v>
      </c>
      <c r="I59" s="590">
        <v>40422</v>
      </c>
      <c r="J59" s="590">
        <v>41152</v>
      </c>
      <c r="K59" s="590"/>
      <c r="L59" s="590"/>
      <c r="M59" s="182">
        <v>41153</v>
      </c>
      <c r="N59" s="182">
        <v>41517</v>
      </c>
      <c r="O59" s="182"/>
      <c r="P59" s="182"/>
      <c r="Q59" s="182"/>
      <c r="R59" s="182">
        <v>41548</v>
      </c>
      <c r="S59" s="182">
        <v>42277</v>
      </c>
      <c r="T59" s="182"/>
      <c r="U59" s="182"/>
      <c r="V59" s="182">
        <v>42278</v>
      </c>
      <c r="W59" s="182">
        <v>42338</v>
      </c>
      <c r="X59" s="477" t="e">
        <f ca="1">SUM(#REF!-NOW())</f>
        <v>#REF!</v>
      </c>
      <c r="Y59" s="182" t="e">
        <f ca="1" t="shared" si="10"/>
        <v>#REF!</v>
      </c>
      <c r="Z59" s="181">
        <v>3355750</v>
      </c>
      <c r="AA59" s="181">
        <v>15000</v>
      </c>
      <c r="AB59" s="181"/>
      <c r="AC59" s="181"/>
      <c r="AD59" s="181" t="s">
        <v>11770</v>
      </c>
      <c r="AE59" s="180" t="s">
        <v>11444</v>
      </c>
      <c r="AF59" s="180" t="s">
        <v>11453</v>
      </c>
      <c r="AG59" s="224" t="s">
        <v>11454</v>
      </c>
      <c r="AH59" s="600"/>
      <c r="AI59" s="600"/>
      <c r="AJ59" s="600"/>
      <c r="AK59" s="1598" t="s">
        <v>11455</v>
      </c>
      <c r="AL59" s="600" t="s">
        <v>11456</v>
      </c>
      <c r="AM59" s="225"/>
      <c r="AN59" s="222" t="s">
        <v>7715</v>
      </c>
    </row>
    <row r="60" s="459" customFormat="1" ht="14.1" customHeight="1" spans="1:40">
      <c r="A60" s="161">
        <f t="shared" si="0"/>
        <v>47</v>
      </c>
      <c r="B60" s="162" t="s">
        <v>11457</v>
      </c>
      <c r="C60" s="162" t="s">
        <v>11441</v>
      </c>
      <c r="D60" s="167" t="s">
        <v>11458</v>
      </c>
      <c r="E60" s="629">
        <v>25887</v>
      </c>
      <c r="F60" s="629"/>
      <c r="G60" s="173" t="s">
        <v>254</v>
      </c>
      <c r="H60" s="180" t="s">
        <v>1533</v>
      </c>
      <c r="I60" s="590">
        <v>40610</v>
      </c>
      <c r="J60" s="590">
        <v>40975</v>
      </c>
      <c r="K60" s="590">
        <v>41340</v>
      </c>
      <c r="L60" s="590"/>
      <c r="M60" s="182">
        <v>41341</v>
      </c>
      <c r="N60" s="182">
        <v>41705</v>
      </c>
      <c r="O60" s="182"/>
      <c r="P60" s="182"/>
      <c r="Q60" s="182"/>
      <c r="R60" s="182">
        <v>41737</v>
      </c>
      <c r="S60" s="182">
        <v>42101</v>
      </c>
      <c r="T60" s="182">
        <v>42467</v>
      </c>
      <c r="U60" s="182"/>
      <c r="V60" s="182">
        <v>42468</v>
      </c>
      <c r="W60" s="182">
        <v>42528</v>
      </c>
      <c r="X60" s="477" t="e">
        <f ca="1">SUM(#REF!-NOW())</f>
        <v>#REF!</v>
      </c>
      <c r="Y60" s="182" t="e">
        <f ca="1" t="shared" si="10"/>
        <v>#REF!</v>
      </c>
      <c r="Z60" s="181">
        <v>3355750</v>
      </c>
      <c r="AA60" s="181">
        <v>15000</v>
      </c>
      <c r="AB60" s="181"/>
      <c r="AC60" s="181"/>
      <c r="AD60" s="181" t="s">
        <v>11771</v>
      </c>
      <c r="AE60" s="180" t="s">
        <v>11444</v>
      </c>
      <c r="AF60" s="180" t="s">
        <v>11460</v>
      </c>
      <c r="AG60" s="224" t="s">
        <v>11461</v>
      </c>
      <c r="AH60" s="600"/>
      <c r="AI60" s="600"/>
      <c r="AJ60" s="600"/>
      <c r="AK60" s="1598" t="s">
        <v>11462</v>
      </c>
      <c r="AL60" s="600" t="s">
        <v>11463</v>
      </c>
      <c r="AM60" s="225"/>
      <c r="AN60" s="222" t="s">
        <v>7715</v>
      </c>
    </row>
    <row r="61" s="459" customFormat="1" ht="14.1" customHeight="1" spans="1:40">
      <c r="A61" s="161">
        <f t="shared" si="0"/>
        <v>48</v>
      </c>
      <c r="B61" s="162" t="s">
        <v>11772</v>
      </c>
      <c r="C61" s="162" t="s">
        <v>11441</v>
      </c>
      <c r="D61" s="167" t="s">
        <v>11773</v>
      </c>
      <c r="E61" s="629">
        <v>20556</v>
      </c>
      <c r="F61" s="629"/>
      <c r="G61" s="173" t="s">
        <v>96</v>
      </c>
      <c r="H61" s="180" t="s">
        <v>1533</v>
      </c>
      <c r="I61" s="590">
        <v>40645</v>
      </c>
      <c r="J61" s="590">
        <v>41010</v>
      </c>
      <c r="K61" s="590">
        <v>41375</v>
      </c>
      <c r="L61" s="590"/>
      <c r="M61" s="182">
        <v>41376</v>
      </c>
      <c r="N61" s="182">
        <v>41740</v>
      </c>
      <c r="O61" s="182"/>
      <c r="P61" s="182"/>
      <c r="Q61" s="182"/>
      <c r="R61" s="182">
        <v>41771</v>
      </c>
      <c r="S61" s="182">
        <v>42135</v>
      </c>
      <c r="T61" s="182">
        <v>42501</v>
      </c>
      <c r="U61" s="182"/>
      <c r="V61" s="182">
        <v>42502</v>
      </c>
      <c r="W61" s="182">
        <v>42562</v>
      </c>
      <c r="X61" s="477" t="e">
        <f ca="1">SUM(#REF!-NOW())</f>
        <v>#REF!</v>
      </c>
      <c r="Y61" s="182" t="e">
        <f ca="1" t="shared" si="10"/>
        <v>#REF!</v>
      </c>
      <c r="Z61" s="181">
        <v>3355750</v>
      </c>
      <c r="AA61" s="181">
        <v>30000</v>
      </c>
      <c r="AB61" s="181"/>
      <c r="AC61" s="181"/>
      <c r="AD61" s="181" t="s">
        <v>11774</v>
      </c>
      <c r="AE61" s="180" t="s">
        <v>11444</v>
      </c>
      <c r="AF61" s="180" t="s">
        <v>11775</v>
      </c>
      <c r="AG61" s="1581" t="s">
        <v>11776</v>
      </c>
      <c r="AH61" s="600"/>
      <c r="AI61" s="225" t="s">
        <v>11777</v>
      </c>
      <c r="AJ61" s="600"/>
      <c r="AK61" s="1598" t="s">
        <v>11778</v>
      </c>
      <c r="AL61" s="600" t="s">
        <v>11779</v>
      </c>
      <c r="AM61" s="225"/>
      <c r="AN61" s="222" t="s">
        <v>7715</v>
      </c>
    </row>
    <row r="62" s="459" customFormat="1" ht="14.1" customHeight="1" spans="1:40">
      <c r="A62" s="161">
        <f t="shared" si="0"/>
        <v>49</v>
      </c>
      <c r="B62" s="162" t="s">
        <v>11464</v>
      </c>
      <c r="C62" s="162" t="s">
        <v>11441</v>
      </c>
      <c r="D62" s="167" t="s">
        <v>11465</v>
      </c>
      <c r="E62" s="629">
        <v>28502</v>
      </c>
      <c r="F62" s="629"/>
      <c r="G62" s="173" t="s">
        <v>96</v>
      </c>
      <c r="H62" s="180" t="s">
        <v>1533</v>
      </c>
      <c r="I62" s="590">
        <v>40940</v>
      </c>
      <c r="J62" s="590">
        <v>41305</v>
      </c>
      <c r="K62" s="590"/>
      <c r="L62" s="590"/>
      <c r="M62" s="590">
        <v>41306</v>
      </c>
      <c r="N62" s="590">
        <v>41670</v>
      </c>
      <c r="O62" s="590"/>
      <c r="P62" s="590"/>
      <c r="Q62" s="590"/>
      <c r="R62" s="590">
        <v>41699</v>
      </c>
      <c r="S62" s="590">
        <v>42063</v>
      </c>
      <c r="T62" s="590">
        <v>42429</v>
      </c>
      <c r="U62" s="187"/>
      <c r="V62" s="590">
        <v>42430</v>
      </c>
      <c r="W62" s="590">
        <v>42490</v>
      </c>
      <c r="X62" s="477" t="e">
        <f ca="1">SUM(#REF!-NOW())</f>
        <v>#REF!</v>
      </c>
      <c r="Y62" s="182" t="e">
        <f ca="1" t="shared" si="10"/>
        <v>#REF!</v>
      </c>
      <c r="Z62" s="181">
        <v>3355750</v>
      </c>
      <c r="AA62" s="181">
        <v>15000</v>
      </c>
      <c r="AB62" s="181"/>
      <c r="AC62" s="181"/>
      <c r="AD62" s="181" t="s">
        <v>11780</v>
      </c>
      <c r="AE62" s="180" t="s">
        <v>11444</v>
      </c>
      <c r="AF62" s="180" t="s">
        <v>11467</v>
      </c>
      <c r="AG62" s="224" t="s">
        <v>11468</v>
      </c>
      <c r="AH62" s="600" t="s">
        <v>11469</v>
      </c>
      <c r="AI62" s="225" t="s">
        <v>11470</v>
      </c>
      <c r="AJ62" s="600"/>
      <c r="AK62" s="1598" t="s">
        <v>11471</v>
      </c>
      <c r="AL62" s="600" t="s">
        <v>11472</v>
      </c>
      <c r="AM62" s="225"/>
      <c r="AN62" s="222" t="s">
        <v>7715</v>
      </c>
    </row>
    <row r="63" s="93" customFormat="1" ht="14.1" customHeight="1" spans="1:40">
      <c r="A63" s="161">
        <f t="shared" si="0"/>
        <v>50</v>
      </c>
      <c r="B63" s="162" t="s">
        <v>11781</v>
      </c>
      <c r="C63" s="162" t="s">
        <v>11441</v>
      </c>
      <c r="D63" s="167" t="s">
        <v>11782</v>
      </c>
      <c r="E63" s="629" t="s">
        <v>11783</v>
      </c>
      <c r="F63" s="629" t="s">
        <v>125</v>
      </c>
      <c r="G63" s="173" t="s">
        <v>44</v>
      </c>
      <c r="H63" s="180" t="s">
        <v>11638</v>
      </c>
      <c r="I63" s="590">
        <v>41519</v>
      </c>
      <c r="J63" s="590">
        <v>41883</v>
      </c>
      <c r="K63" s="590">
        <v>42248</v>
      </c>
      <c r="L63" s="590"/>
      <c r="M63" s="590">
        <v>42249</v>
      </c>
      <c r="N63" s="590">
        <v>42614</v>
      </c>
      <c r="O63" s="590"/>
      <c r="P63" s="590">
        <v>42615</v>
      </c>
      <c r="Q63" s="590">
        <v>42644</v>
      </c>
      <c r="R63" s="590">
        <v>42645</v>
      </c>
      <c r="S63" s="590">
        <v>43374</v>
      </c>
      <c r="T63" s="590"/>
      <c r="U63" s="590"/>
      <c r="V63" s="590"/>
      <c r="W63" s="590"/>
      <c r="X63" s="477">
        <f ca="1">SUM(S63-NOW())</f>
        <v>101.61546296296</v>
      </c>
      <c r="Y63" s="182" t="str">
        <f ca="1" t="shared" si="10"/>
        <v>ACTIVE</v>
      </c>
      <c r="Z63" s="181">
        <v>3500000</v>
      </c>
      <c r="AA63" s="181">
        <v>20000</v>
      </c>
      <c r="AB63" s="181"/>
      <c r="AC63" s="181"/>
      <c r="AD63" s="181" t="s">
        <v>11784</v>
      </c>
      <c r="AE63" s="180" t="s">
        <v>11546</v>
      </c>
      <c r="AF63" s="180" t="s">
        <v>11785</v>
      </c>
      <c r="AG63" s="224" t="s">
        <v>11786</v>
      </c>
      <c r="AH63" s="650"/>
      <c r="AI63" s="224" t="s">
        <v>11787</v>
      </c>
      <c r="AJ63" s="650"/>
      <c r="AK63" s="1598" t="s">
        <v>11788</v>
      </c>
      <c r="AL63" s="650" t="s">
        <v>11789</v>
      </c>
      <c r="AM63" s="232" t="s">
        <v>11790</v>
      </c>
      <c r="AN63" s="222" t="s">
        <v>11791</v>
      </c>
    </row>
    <row r="64" s="93" customFormat="1" ht="14.1" customHeight="1" spans="1:40">
      <c r="A64" s="100">
        <v>4</v>
      </c>
      <c r="B64" s="162" t="s">
        <v>11772</v>
      </c>
      <c r="C64" s="162" t="s">
        <v>11441</v>
      </c>
      <c r="D64" s="167" t="s">
        <v>11773</v>
      </c>
      <c r="E64" s="629">
        <v>20556</v>
      </c>
      <c r="F64" s="629" t="s">
        <v>43</v>
      </c>
      <c r="G64" s="173" t="s">
        <v>96</v>
      </c>
      <c r="H64" s="180" t="s">
        <v>1533</v>
      </c>
      <c r="I64" s="182">
        <v>42563</v>
      </c>
      <c r="J64" s="182">
        <v>43292</v>
      </c>
      <c r="K64" s="182">
        <v>42978</v>
      </c>
      <c r="L64" s="590"/>
      <c r="M64" s="182"/>
      <c r="N64" s="182"/>
      <c r="O64" s="182"/>
      <c r="P64" s="182"/>
      <c r="Q64" s="182"/>
      <c r="R64" s="182"/>
      <c r="S64" s="182"/>
      <c r="T64" s="182"/>
      <c r="U64" s="182"/>
      <c r="V64" s="182"/>
      <c r="W64" s="182"/>
      <c r="X64" s="476">
        <v>-22.5917486111139</v>
      </c>
      <c r="Y64" s="182" t="s">
        <v>2569</v>
      </c>
      <c r="Z64" s="181">
        <v>3355750</v>
      </c>
      <c r="AA64" s="181">
        <v>30000</v>
      </c>
      <c r="AB64" s="181"/>
      <c r="AC64" s="181"/>
      <c r="AD64" s="181" t="s">
        <v>11774</v>
      </c>
      <c r="AE64" s="180" t="s">
        <v>11444</v>
      </c>
      <c r="AF64" s="180" t="s">
        <v>11775</v>
      </c>
      <c r="AG64" s="1581" t="s">
        <v>11776</v>
      </c>
      <c r="AH64" s="600"/>
      <c r="AI64" s="225" t="s">
        <v>11777</v>
      </c>
      <c r="AJ64" s="600"/>
      <c r="AK64" s="1598" t="s">
        <v>11778</v>
      </c>
      <c r="AL64" s="600" t="s">
        <v>11779</v>
      </c>
      <c r="AM64" s="225"/>
      <c r="AN64" s="222" t="s">
        <v>11792</v>
      </c>
    </row>
    <row r="65" s="93" customFormat="1" ht="14.1" customHeight="1" spans="1:40">
      <c r="A65" s="100">
        <v>25</v>
      </c>
      <c r="B65" s="180" t="s">
        <v>11793</v>
      </c>
      <c r="C65" s="619" t="s">
        <v>11794</v>
      </c>
      <c r="D65" s="166" t="s">
        <v>11795</v>
      </c>
      <c r="E65" s="619" t="s">
        <v>11796</v>
      </c>
      <c r="F65" s="619" t="s">
        <v>43</v>
      </c>
      <c r="G65" s="619" t="s">
        <v>60</v>
      </c>
      <c r="H65" s="619" t="s">
        <v>1533</v>
      </c>
      <c r="I65" s="628">
        <v>42628</v>
      </c>
      <c r="J65" s="628">
        <v>42808</v>
      </c>
      <c r="K65" s="628">
        <v>43173</v>
      </c>
      <c r="L65" s="182">
        <v>42978</v>
      </c>
      <c r="M65" s="619"/>
      <c r="N65" s="619"/>
      <c r="O65" s="619"/>
      <c r="P65" s="619"/>
      <c r="Q65" s="619"/>
      <c r="R65" s="619"/>
      <c r="S65" s="619"/>
      <c r="T65" s="638"/>
      <c r="U65" s="638"/>
      <c r="V65" s="638"/>
      <c r="W65" s="638"/>
      <c r="X65" s="641">
        <v>172.408251388886</v>
      </c>
      <c r="Y65" s="182" t="s">
        <v>745</v>
      </c>
      <c r="Z65" s="181">
        <v>3355750</v>
      </c>
      <c r="AA65" s="179">
        <v>15000</v>
      </c>
      <c r="AB65" s="179"/>
      <c r="AC65" s="179"/>
      <c r="AD65" s="179" t="s">
        <v>11797</v>
      </c>
      <c r="AE65" s="180" t="s">
        <v>11798</v>
      </c>
      <c r="AF65" s="180" t="s">
        <v>11799</v>
      </c>
      <c r="AG65" s="1581" t="s">
        <v>11800</v>
      </c>
      <c r="AH65" s="224" t="s">
        <v>11801</v>
      </c>
      <c r="AI65" s="1581" t="s">
        <v>11802</v>
      </c>
      <c r="AJ65" s="224"/>
      <c r="AK65" s="600"/>
      <c r="AL65" s="224" t="s">
        <v>11803</v>
      </c>
      <c r="AM65" s="232"/>
      <c r="AN65" s="222" t="s">
        <v>11792</v>
      </c>
    </row>
    <row r="66" s="93" customFormat="1" ht="14.1" customHeight="1" spans="1:40">
      <c r="A66" s="100">
        <v>30</v>
      </c>
      <c r="B66" s="180"/>
      <c r="C66" s="619"/>
      <c r="D66" s="166" t="s">
        <v>11804</v>
      </c>
      <c r="E66" s="619" t="s">
        <v>11805</v>
      </c>
      <c r="F66" s="619" t="s">
        <v>125</v>
      </c>
      <c r="G66" s="619"/>
      <c r="H66" s="619" t="s">
        <v>11806</v>
      </c>
      <c r="I66" s="628">
        <v>42948</v>
      </c>
      <c r="J66" s="628">
        <v>42978</v>
      </c>
      <c r="K66" s="633"/>
      <c r="L66" s="619"/>
      <c r="M66" s="619"/>
      <c r="N66" s="619"/>
      <c r="O66" s="619"/>
      <c r="P66" s="619"/>
      <c r="Q66" s="619"/>
      <c r="R66" s="619"/>
      <c r="S66" s="619"/>
      <c r="T66" s="638"/>
      <c r="U66" s="638"/>
      <c r="V66" s="638"/>
      <c r="W66" s="638"/>
      <c r="X66" s="641">
        <v>-22.5917486111139</v>
      </c>
      <c r="Y66" s="182" t="s">
        <v>2569</v>
      </c>
      <c r="Z66" s="642">
        <v>3400000</v>
      </c>
      <c r="AA66" s="179"/>
      <c r="AB66" s="179"/>
      <c r="AC66" s="179"/>
      <c r="AD66" s="179"/>
      <c r="AE66" s="180" t="s">
        <v>11546</v>
      </c>
      <c r="AF66" s="180" t="s">
        <v>11807</v>
      </c>
      <c r="AG66" s="224"/>
      <c r="AH66" s="224"/>
      <c r="AI66" s="224"/>
      <c r="AJ66" s="224"/>
      <c r="AK66" s="225"/>
      <c r="AL66" s="225"/>
      <c r="AM66" s="229"/>
      <c r="AN66" s="224" t="s">
        <v>2828</v>
      </c>
    </row>
    <row r="67" s="93" customFormat="1" ht="14.1" customHeight="1" spans="1:40">
      <c r="A67" s="161">
        <f>ROW()-13</f>
        <v>54</v>
      </c>
      <c r="B67" s="162" t="s">
        <v>11473</v>
      </c>
      <c r="C67" s="162" t="s">
        <v>11441</v>
      </c>
      <c r="D67" s="167" t="s">
        <v>11474</v>
      </c>
      <c r="E67" s="629">
        <v>21014</v>
      </c>
      <c r="F67" s="629" t="s">
        <v>43</v>
      </c>
      <c r="G67" s="173" t="s">
        <v>11475</v>
      </c>
      <c r="H67" s="180" t="s">
        <v>1533</v>
      </c>
      <c r="I67" s="590">
        <v>41106</v>
      </c>
      <c r="J67" s="590">
        <v>41470</v>
      </c>
      <c r="K67" s="590">
        <v>41835</v>
      </c>
      <c r="L67" s="590"/>
      <c r="M67" s="590">
        <v>41836</v>
      </c>
      <c r="N67" s="590">
        <v>42200</v>
      </c>
      <c r="O67" s="590"/>
      <c r="P67" s="590"/>
      <c r="Q67" s="590"/>
      <c r="R67" s="590">
        <v>42232</v>
      </c>
      <c r="S67" s="590">
        <v>42597</v>
      </c>
      <c r="T67" s="590">
        <v>42962</v>
      </c>
      <c r="U67" s="590"/>
      <c r="V67" s="590">
        <v>42963</v>
      </c>
      <c r="W67" s="590">
        <v>43023</v>
      </c>
      <c r="X67" s="477">
        <f ca="1" t="shared" ref="X67:X72" si="11">SUM(W67-NOW())</f>
        <v>-249.38453703704</v>
      </c>
      <c r="Y67" s="182" t="str">
        <f ca="1" t="shared" ref="Y67:Y72" si="12">IF(X67&lt;=40,"WARNING","ACTIVE")</f>
        <v>WARNING</v>
      </c>
      <c r="Z67" s="181">
        <v>3355750</v>
      </c>
      <c r="AA67" s="181">
        <v>25000</v>
      </c>
      <c r="AB67" s="181"/>
      <c r="AC67" s="181"/>
      <c r="AD67" s="181" t="s">
        <v>11808</v>
      </c>
      <c r="AE67" s="180" t="s">
        <v>11444</v>
      </c>
      <c r="AF67" s="180" t="s">
        <v>11477</v>
      </c>
      <c r="AG67" s="224" t="s">
        <v>11478</v>
      </c>
      <c r="AH67" s="600"/>
      <c r="AI67" s="225" t="s">
        <v>11479</v>
      </c>
      <c r="AJ67" s="600"/>
      <c r="AK67" s="1598" t="s">
        <v>11480</v>
      </c>
      <c r="AL67" s="600" t="s">
        <v>11481</v>
      </c>
      <c r="AM67" s="225"/>
      <c r="AN67" s="222"/>
    </row>
    <row r="68" s="93" customFormat="1" ht="14.1" customHeight="1" spans="1:40">
      <c r="A68" s="161">
        <f t="shared" si="0"/>
        <v>55</v>
      </c>
      <c r="B68" s="180" t="s">
        <v>11809</v>
      </c>
      <c r="C68" s="619" t="s">
        <v>11441</v>
      </c>
      <c r="D68" s="166" t="s">
        <v>11810</v>
      </c>
      <c r="E68" s="619" t="s">
        <v>11811</v>
      </c>
      <c r="F68" s="619" t="s">
        <v>43</v>
      </c>
      <c r="G68" s="619" t="s">
        <v>44</v>
      </c>
      <c r="H68" s="619" t="s">
        <v>11812</v>
      </c>
      <c r="I68" s="628">
        <v>42709</v>
      </c>
      <c r="J68" s="628">
        <v>42890</v>
      </c>
      <c r="K68" s="628">
        <v>43073</v>
      </c>
      <c r="L68" s="619"/>
      <c r="M68" s="619"/>
      <c r="N68" s="619"/>
      <c r="O68" s="619"/>
      <c r="P68" s="619"/>
      <c r="Q68" s="619"/>
      <c r="R68" s="619"/>
      <c r="S68" s="619"/>
      <c r="T68" s="638"/>
      <c r="U68" s="638"/>
      <c r="V68" s="638"/>
      <c r="W68" s="638"/>
      <c r="X68" s="641">
        <f ca="1">SUM(K68-NOW())</f>
        <v>-199.38453703704</v>
      </c>
      <c r="Y68" s="182" t="str">
        <f ca="1" t="shared" si="12"/>
        <v>WARNING</v>
      </c>
      <c r="Z68" s="642">
        <v>5000000</v>
      </c>
      <c r="AA68" s="179">
        <v>20000</v>
      </c>
      <c r="AB68" s="179"/>
      <c r="AC68" s="179"/>
      <c r="AD68" s="179" t="s">
        <v>11813</v>
      </c>
      <c r="AE68" s="180" t="s">
        <v>11546</v>
      </c>
      <c r="AF68" s="180" t="s">
        <v>11814</v>
      </c>
      <c r="AG68" s="1581" t="s">
        <v>11815</v>
      </c>
      <c r="AH68" s="224" t="s">
        <v>11816</v>
      </c>
      <c r="AI68" s="224" t="s">
        <v>11817</v>
      </c>
      <c r="AJ68" s="224"/>
      <c r="AK68" s="225"/>
      <c r="AL68" s="224">
        <v>7104101938</v>
      </c>
      <c r="AM68" s="232" t="s">
        <v>11818</v>
      </c>
      <c r="AN68" s="224" t="s">
        <v>11819</v>
      </c>
    </row>
    <row r="69" s="93" customFormat="1" ht="14.1" customHeight="1" spans="1:40">
      <c r="A69" s="100">
        <f t="shared" si="0"/>
        <v>56</v>
      </c>
      <c r="B69" s="180" t="s">
        <v>11820</v>
      </c>
      <c r="C69" s="619"/>
      <c r="D69" s="166" t="s">
        <v>11821</v>
      </c>
      <c r="E69" s="619" t="s">
        <v>11822</v>
      </c>
      <c r="F69" s="619" t="s">
        <v>125</v>
      </c>
      <c r="G69" s="619" t="s">
        <v>404</v>
      </c>
      <c r="H69" s="619" t="s">
        <v>7940</v>
      </c>
      <c r="I69" s="628">
        <v>42947</v>
      </c>
      <c r="J69" s="628">
        <v>43038</v>
      </c>
      <c r="K69" s="633"/>
      <c r="L69" s="619"/>
      <c r="M69" s="619"/>
      <c r="N69" s="619"/>
      <c r="O69" s="619"/>
      <c r="P69" s="619"/>
      <c r="Q69" s="619"/>
      <c r="R69" s="619"/>
      <c r="S69" s="619"/>
      <c r="T69" s="638"/>
      <c r="U69" s="638"/>
      <c r="V69" s="638"/>
      <c r="W69" s="638"/>
      <c r="X69" s="641">
        <f ca="1">SUM(J69-NOW())</f>
        <v>-234.38453703704</v>
      </c>
      <c r="Y69" s="182" t="str">
        <f ca="1">IF(X69&lt;=46,"WARNING","ACTIVE")</f>
        <v>WARNING</v>
      </c>
      <c r="Z69" s="642">
        <v>3500000</v>
      </c>
      <c r="AA69" s="179">
        <v>15000</v>
      </c>
      <c r="AB69" s="179"/>
      <c r="AC69" s="179"/>
      <c r="AD69" s="179"/>
      <c r="AE69" s="180" t="s">
        <v>11546</v>
      </c>
      <c r="AF69" s="180" t="s">
        <v>11823</v>
      </c>
      <c r="AG69" s="224">
        <v>82233982828</v>
      </c>
      <c r="AH69" s="224" t="s">
        <v>11824</v>
      </c>
      <c r="AI69" s="224" t="s">
        <v>11825</v>
      </c>
      <c r="AJ69" s="1581" t="s">
        <v>11826</v>
      </c>
      <c r="AK69" s="225"/>
      <c r="AL69" s="1602" t="s">
        <v>11827</v>
      </c>
      <c r="AM69" s="229" t="s">
        <v>11828</v>
      </c>
      <c r="AN69" s="224" t="s">
        <v>11829</v>
      </c>
    </row>
    <row r="70" s="93" customFormat="1" ht="14.1" customHeight="1" spans="1:40">
      <c r="A70" s="161">
        <f t="shared" si="0"/>
        <v>57</v>
      </c>
      <c r="B70" s="162" t="s">
        <v>11483</v>
      </c>
      <c r="C70" s="162" t="s">
        <v>11441</v>
      </c>
      <c r="D70" s="167" t="s">
        <v>11484</v>
      </c>
      <c r="E70" s="629">
        <v>26378</v>
      </c>
      <c r="F70" s="629" t="s">
        <v>43</v>
      </c>
      <c r="G70" s="173" t="s">
        <v>11475</v>
      </c>
      <c r="H70" s="180" t="s">
        <v>1533</v>
      </c>
      <c r="I70" s="590">
        <v>41165</v>
      </c>
      <c r="J70" s="590">
        <v>41529</v>
      </c>
      <c r="K70" s="590">
        <v>41894</v>
      </c>
      <c r="L70" s="590"/>
      <c r="M70" s="590">
        <v>41895</v>
      </c>
      <c r="N70" s="590">
        <v>42259</v>
      </c>
      <c r="O70" s="590"/>
      <c r="P70" s="590"/>
      <c r="Q70" s="590"/>
      <c r="R70" s="590">
        <v>42290</v>
      </c>
      <c r="S70" s="590">
        <v>42655</v>
      </c>
      <c r="T70" s="590">
        <v>43020</v>
      </c>
      <c r="U70" s="590"/>
      <c r="V70" s="590">
        <v>43021</v>
      </c>
      <c r="W70" s="590">
        <v>43081</v>
      </c>
      <c r="X70" s="477">
        <f ca="1" t="shared" si="11"/>
        <v>-191.38453703704</v>
      </c>
      <c r="Y70" s="182" t="str">
        <f ca="1" t="shared" si="12"/>
        <v>WARNING</v>
      </c>
      <c r="Z70" s="181">
        <v>3355750</v>
      </c>
      <c r="AA70" s="181">
        <v>15000</v>
      </c>
      <c r="AB70" s="181"/>
      <c r="AC70" s="181"/>
      <c r="AD70" s="181" t="s">
        <v>11780</v>
      </c>
      <c r="AE70" s="180" t="s">
        <v>11444</v>
      </c>
      <c r="AF70" s="180" t="s">
        <v>11485</v>
      </c>
      <c r="AG70" s="224" t="s">
        <v>11486</v>
      </c>
      <c r="AH70" s="600"/>
      <c r="AI70" s="225" t="s">
        <v>11487</v>
      </c>
      <c r="AJ70" s="600"/>
      <c r="AK70" s="1598" t="s">
        <v>11488</v>
      </c>
      <c r="AL70" s="600" t="s">
        <v>11489</v>
      </c>
      <c r="AM70" s="225"/>
      <c r="AN70" s="222" t="s">
        <v>11482</v>
      </c>
    </row>
    <row r="71" s="93" customFormat="1" ht="14.1" customHeight="1" spans="1:40">
      <c r="A71" s="161">
        <f t="shared" si="0"/>
        <v>58</v>
      </c>
      <c r="B71" s="162" t="s">
        <v>11490</v>
      </c>
      <c r="C71" s="162" t="s">
        <v>11441</v>
      </c>
      <c r="D71" s="167" t="s">
        <v>11491</v>
      </c>
      <c r="E71" s="629">
        <v>27443</v>
      </c>
      <c r="F71" s="629" t="s">
        <v>43</v>
      </c>
      <c r="G71" s="173" t="s">
        <v>11492</v>
      </c>
      <c r="H71" s="180" t="s">
        <v>2823</v>
      </c>
      <c r="I71" s="590">
        <v>41169</v>
      </c>
      <c r="J71" s="590">
        <v>41533</v>
      </c>
      <c r="K71" s="590">
        <v>41898</v>
      </c>
      <c r="L71" s="590"/>
      <c r="M71" s="590">
        <v>41899</v>
      </c>
      <c r="N71" s="590">
        <v>42263</v>
      </c>
      <c r="O71" s="590"/>
      <c r="P71" s="590"/>
      <c r="Q71" s="590"/>
      <c r="R71" s="590">
        <v>42294</v>
      </c>
      <c r="S71" s="590">
        <v>42476</v>
      </c>
      <c r="T71" s="590">
        <v>43024</v>
      </c>
      <c r="U71" s="590"/>
      <c r="V71" s="590">
        <v>43025</v>
      </c>
      <c r="W71" s="590">
        <v>43085</v>
      </c>
      <c r="X71" s="477">
        <f ca="1" t="shared" si="11"/>
        <v>-187.38453703704</v>
      </c>
      <c r="Y71" s="182" t="str">
        <f ca="1" t="shared" si="12"/>
        <v>WARNING</v>
      </c>
      <c r="Z71" s="181">
        <v>3355750</v>
      </c>
      <c r="AA71" s="181">
        <v>15000</v>
      </c>
      <c r="AB71" s="181"/>
      <c r="AC71" s="181"/>
      <c r="AD71" s="181" t="s">
        <v>11780</v>
      </c>
      <c r="AE71" s="180" t="s">
        <v>11444</v>
      </c>
      <c r="AF71" s="180" t="s">
        <v>11493</v>
      </c>
      <c r="AG71" s="224" t="s">
        <v>11494</v>
      </c>
      <c r="AH71" s="600"/>
      <c r="AI71" s="225" t="s">
        <v>11495</v>
      </c>
      <c r="AJ71" s="600"/>
      <c r="AK71" s="1598" t="s">
        <v>11496</v>
      </c>
      <c r="AL71" s="600" t="s">
        <v>11497</v>
      </c>
      <c r="AM71" s="225"/>
      <c r="AN71" s="222" t="s">
        <v>11482</v>
      </c>
    </row>
    <row r="72" s="93" customFormat="1" ht="14.1" customHeight="1" spans="1:40">
      <c r="A72" s="161">
        <f t="shared" si="0"/>
        <v>59</v>
      </c>
      <c r="B72" s="162" t="s">
        <v>11498</v>
      </c>
      <c r="C72" s="162" t="s">
        <v>11451</v>
      </c>
      <c r="D72" s="167" t="s">
        <v>11499</v>
      </c>
      <c r="E72" s="629">
        <v>28728</v>
      </c>
      <c r="F72" s="629" t="s">
        <v>125</v>
      </c>
      <c r="G72" s="173" t="s">
        <v>11475</v>
      </c>
      <c r="H72" s="180" t="s">
        <v>9398</v>
      </c>
      <c r="I72" s="590">
        <v>41164</v>
      </c>
      <c r="J72" s="590">
        <v>41344</v>
      </c>
      <c r="K72" s="590">
        <v>41893</v>
      </c>
      <c r="L72" s="590"/>
      <c r="M72" s="590">
        <v>41894</v>
      </c>
      <c r="N72" s="590">
        <v>42258</v>
      </c>
      <c r="O72" s="590"/>
      <c r="P72" s="590"/>
      <c r="Q72" s="590"/>
      <c r="R72" s="590">
        <v>42289</v>
      </c>
      <c r="S72" s="590">
        <v>42471</v>
      </c>
      <c r="T72" s="590">
        <v>43019</v>
      </c>
      <c r="U72" s="590"/>
      <c r="V72" s="590">
        <v>43020</v>
      </c>
      <c r="W72" s="590">
        <v>43080</v>
      </c>
      <c r="X72" s="477">
        <f ca="1" t="shared" si="11"/>
        <v>-192.38453703704</v>
      </c>
      <c r="Y72" s="182" t="str">
        <f ca="1" t="shared" si="12"/>
        <v>WARNING</v>
      </c>
      <c r="Z72" s="181">
        <v>3355750</v>
      </c>
      <c r="AA72" s="181">
        <v>15000</v>
      </c>
      <c r="AB72" s="181"/>
      <c r="AC72" s="181"/>
      <c r="AD72" s="181" t="s">
        <v>11780</v>
      </c>
      <c r="AE72" s="180" t="s">
        <v>11444</v>
      </c>
      <c r="AF72" s="180" t="s">
        <v>11500</v>
      </c>
      <c r="AG72" s="224" t="s">
        <v>11501</v>
      </c>
      <c r="AH72" s="600"/>
      <c r="AI72" s="600"/>
      <c r="AJ72" s="600"/>
      <c r="AK72" s="1598" t="s">
        <v>11502</v>
      </c>
      <c r="AL72" s="600" t="s">
        <v>11503</v>
      </c>
      <c r="AM72" s="225"/>
      <c r="AN72" s="222" t="s">
        <v>11482</v>
      </c>
    </row>
    <row r="73" s="93" customFormat="1" ht="14.1" customHeight="1" spans="1:40">
      <c r="A73" s="161">
        <f t="shared" si="0"/>
        <v>60</v>
      </c>
      <c r="B73" s="180" t="s">
        <v>11830</v>
      </c>
      <c r="C73" s="619"/>
      <c r="D73" s="166" t="s">
        <v>11831</v>
      </c>
      <c r="E73" s="628" t="s">
        <v>11832</v>
      </c>
      <c r="F73" s="619" t="s">
        <v>125</v>
      </c>
      <c r="G73" s="619" t="s">
        <v>44</v>
      </c>
      <c r="H73" s="619" t="s">
        <v>11707</v>
      </c>
      <c r="I73" s="628">
        <v>43045</v>
      </c>
      <c r="J73" s="628">
        <v>43225</v>
      </c>
      <c r="K73" s="633"/>
      <c r="L73" s="619"/>
      <c r="M73" s="619"/>
      <c r="N73" s="619"/>
      <c r="O73" s="619"/>
      <c r="P73" s="619"/>
      <c r="Q73" s="619"/>
      <c r="R73" s="619"/>
      <c r="S73" s="619"/>
      <c r="T73" s="638"/>
      <c r="U73" s="638"/>
      <c r="V73" s="638"/>
      <c r="W73" s="638"/>
      <c r="X73" s="641">
        <f ca="1">SUM(J73-NOW())</f>
        <v>-47.38453703704</v>
      </c>
      <c r="Y73" s="182" t="str">
        <f ca="1">IF(X73&lt;=46,"WARNING","ACTIVE")</f>
        <v>WARNING</v>
      </c>
      <c r="Z73" s="642">
        <v>5000000</v>
      </c>
      <c r="AA73" s="179">
        <v>20000</v>
      </c>
      <c r="AB73" s="179"/>
      <c r="AC73" s="179"/>
      <c r="AD73" s="179"/>
      <c r="AE73" s="180" t="s">
        <v>11546</v>
      </c>
      <c r="AF73" s="180" t="s">
        <v>11833</v>
      </c>
      <c r="AG73" s="1581" t="s">
        <v>11834</v>
      </c>
      <c r="AH73" s="224" t="s">
        <v>11835</v>
      </c>
      <c r="AI73" s="224" t="s">
        <v>11836</v>
      </c>
      <c r="AJ73" s="224"/>
      <c r="AK73" s="225"/>
      <c r="AL73" s="1602" t="s">
        <v>11837</v>
      </c>
      <c r="AM73" s="229" t="s">
        <v>11838</v>
      </c>
      <c r="AN73" s="224" t="s">
        <v>11839</v>
      </c>
    </row>
    <row r="74" s="93" customFormat="1" ht="14.1" customHeight="1" spans="1:40">
      <c r="A74" s="161">
        <v>29</v>
      </c>
      <c r="B74" s="180" t="s">
        <v>11840</v>
      </c>
      <c r="C74" s="619"/>
      <c r="D74" s="166" t="s">
        <v>11841</v>
      </c>
      <c r="E74" s="628" t="s">
        <v>11842</v>
      </c>
      <c r="F74" s="619" t="s">
        <v>125</v>
      </c>
      <c r="G74" s="619" t="s">
        <v>44</v>
      </c>
      <c r="H74" s="619" t="s">
        <v>11843</v>
      </c>
      <c r="I74" s="628">
        <v>43045</v>
      </c>
      <c r="J74" s="628">
        <v>43136</v>
      </c>
      <c r="K74" s="633"/>
      <c r="L74" s="619"/>
      <c r="M74" s="619"/>
      <c r="N74" s="619"/>
      <c r="O74" s="619"/>
      <c r="P74" s="619"/>
      <c r="Q74" s="619"/>
      <c r="R74" s="619"/>
      <c r="S74" s="619"/>
      <c r="T74" s="638"/>
      <c r="U74" s="638"/>
      <c r="V74" s="638"/>
      <c r="W74" s="638"/>
      <c r="X74" s="641">
        <v>-29.7046435185184</v>
      </c>
      <c r="Y74" s="182" t="s">
        <v>2569</v>
      </c>
      <c r="Z74" s="642">
        <v>4500000</v>
      </c>
      <c r="AA74" s="179">
        <v>20000</v>
      </c>
      <c r="AB74" s="179"/>
      <c r="AC74" s="179"/>
      <c r="AD74" s="179"/>
      <c r="AE74" s="180" t="s">
        <v>11546</v>
      </c>
      <c r="AF74" s="180" t="s">
        <v>11844</v>
      </c>
      <c r="AG74" s="1581" t="s">
        <v>11845</v>
      </c>
      <c r="AH74" s="224" t="s">
        <v>11846</v>
      </c>
      <c r="AI74" s="224" t="s">
        <v>11847</v>
      </c>
      <c r="AJ74" s="224"/>
      <c r="AK74" s="1602" t="s">
        <v>11848</v>
      </c>
      <c r="AL74" s="1602" t="s">
        <v>11849</v>
      </c>
      <c r="AM74" s="229" t="s">
        <v>11850</v>
      </c>
      <c r="AN74" s="224" t="s">
        <v>11851</v>
      </c>
    </row>
    <row r="75" s="93" customFormat="1" ht="14.1" customHeight="1" spans="1:40">
      <c r="A75" s="161">
        <v>31</v>
      </c>
      <c r="B75" s="180" t="s">
        <v>11852</v>
      </c>
      <c r="C75" s="619"/>
      <c r="D75" s="166" t="s">
        <v>11853</v>
      </c>
      <c r="E75" s="628" t="s">
        <v>11854</v>
      </c>
      <c r="F75" s="619" t="s">
        <v>125</v>
      </c>
      <c r="G75" s="619" t="s">
        <v>44</v>
      </c>
      <c r="H75" s="619" t="s">
        <v>11707</v>
      </c>
      <c r="I75" s="628">
        <v>43066</v>
      </c>
      <c r="J75" s="628">
        <v>43246</v>
      </c>
      <c r="K75" s="633"/>
      <c r="L75" s="619"/>
      <c r="M75" s="619"/>
      <c r="N75" s="619"/>
      <c r="O75" s="619"/>
      <c r="P75" s="619"/>
      <c r="Q75" s="619"/>
      <c r="R75" s="619"/>
      <c r="S75" s="619"/>
      <c r="T75" s="638"/>
      <c r="U75" s="638"/>
      <c r="V75" s="638"/>
      <c r="W75" s="638"/>
      <c r="X75" s="641">
        <v>80.2953564814816</v>
      </c>
      <c r="Y75" s="182" t="s">
        <v>745</v>
      </c>
      <c r="Z75" s="642">
        <v>5500000</v>
      </c>
      <c r="AA75" s="179">
        <v>20000</v>
      </c>
      <c r="AB75" s="179"/>
      <c r="AC75" s="179"/>
      <c r="AD75" s="179"/>
      <c r="AE75" s="180" t="s">
        <v>11546</v>
      </c>
      <c r="AF75" s="180" t="s">
        <v>11855</v>
      </c>
      <c r="AG75" s="224"/>
      <c r="AH75" s="224" t="s">
        <v>11856</v>
      </c>
      <c r="AI75" s="224" t="s">
        <v>11857</v>
      </c>
      <c r="AJ75" s="224"/>
      <c r="AK75" s="225"/>
      <c r="AL75" s="1602" t="s">
        <v>11858</v>
      </c>
      <c r="AM75" s="229" t="s">
        <v>11859</v>
      </c>
      <c r="AN75" s="224" t="s">
        <v>11860</v>
      </c>
    </row>
    <row r="76" s="459" customFormat="1" ht="14.1" customHeight="1" spans="1:40">
      <c r="A76" s="161">
        <f t="shared" ref="A76:A79" si="13">ROW()-13</f>
        <v>63</v>
      </c>
      <c r="B76" s="180" t="s">
        <v>11861</v>
      </c>
      <c r="C76" s="619"/>
      <c r="D76" s="166" t="s">
        <v>11862</v>
      </c>
      <c r="E76" s="628" t="s">
        <v>11863</v>
      </c>
      <c r="F76" s="619" t="s">
        <v>43</v>
      </c>
      <c r="G76" s="619" t="s">
        <v>44</v>
      </c>
      <c r="H76" s="619" t="s">
        <v>11696</v>
      </c>
      <c r="I76" s="628">
        <v>43103</v>
      </c>
      <c r="J76" s="628">
        <v>43189</v>
      </c>
      <c r="K76" s="633"/>
      <c r="L76" s="619"/>
      <c r="M76" s="619"/>
      <c r="N76" s="619"/>
      <c r="O76" s="619"/>
      <c r="P76" s="619"/>
      <c r="Q76" s="619"/>
      <c r="R76" s="619"/>
      <c r="S76" s="619"/>
      <c r="T76" s="638"/>
      <c r="U76" s="638"/>
      <c r="V76" s="638"/>
      <c r="W76" s="638"/>
      <c r="X76" s="641">
        <f ca="1" t="shared" ref="X76:X79" si="14">SUM(J76-NOW())</f>
        <v>-83.38453703704</v>
      </c>
      <c r="Y76" s="182" t="str">
        <f ca="1" t="shared" ref="Y76:Y79" si="15">IF(X76&lt;=46,"WARNING","ACTIVE")</f>
        <v>WARNING</v>
      </c>
      <c r="Z76" s="642">
        <v>3000000</v>
      </c>
      <c r="AA76" s="179"/>
      <c r="AB76" s="179"/>
      <c r="AC76" s="179"/>
      <c r="AD76" s="179"/>
      <c r="AE76" s="180"/>
      <c r="AF76" s="180" t="s">
        <v>11864</v>
      </c>
      <c r="AG76" s="1581" t="s">
        <v>11865</v>
      </c>
      <c r="AH76" s="224" t="s">
        <v>11866</v>
      </c>
      <c r="AI76" s="224" t="s">
        <v>11867</v>
      </c>
      <c r="AJ76" s="224"/>
      <c r="AK76" s="1602" t="s">
        <v>11868</v>
      </c>
      <c r="AL76" s="1602" t="s">
        <v>11869</v>
      </c>
      <c r="AM76" s="229" t="s">
        <v>11870</v>
      </c>
      <c r="AN76" s="224" t="s">
        <v>11871</v>
      </c>
    </row>
    <row r="77" s="459" customFormat="1" ht="14.1" customHeight="1" spans="1:40">
      <c r="A77" s="161">
        <f t="shared" si="13"/>
        <v>64</v>
      </c>
      <c r="B77" s="180" t="s">
        <v>11872</v>
      </c>
      <c r="C77" s="619"/>
      <c r="D77" s="166" t="s">
        <v>11873</v>
      </c>
      <c r="E77" s="628" t="s">
        <v>11874</v>
      </c>
      <c r="F77" s="619" t="s">
        <v>125</v>
      </c>
      <c r="G77" s="619" t="s">
        <v>44</v>
      </c>
      <c r="H77" s="619" t="s">
        <v>11696</v>
      </c>
      <c r="I77" s="628">
        <v>43103</v>
      </c>
      <c r="J77" s="628">
        <v>43189</v>
      </c>
      <c r="K77" s="633"/>
      <c r="L77" s="619"/>
      <c r="M77" s="619"/>
      <c r="N77" s="619"/>
      <c r="O77" s="619"/>
      <c r="P77" s="619"/>
      <c r="Q77" s="619"/>
      <c r="R77" s="619"/>
      <c r="S77" s="619"/>
      <c r="T77" s="638"/>
      <c r="U77" s="638"/>
      <c r="V77" s="638"/>
      <c r="W77" s="638"/>
      <c r="X77" s="641">
        <f ca="1" t="shared" si="14"/>
        <v>-83.38453703704</v>
      </c>
      <c r="Y77" s="182" t="str">
        <f ca="1" t="shared" si="15"/>
        <v>WARNING</v>
      </c>
      <c r="Z77" s="642">
        <v>3000000</v>
      </c>
      <c r="AA77" s="179"/>
      <c r="AB77" s="179"/>
      <c r="AC77" s="179"/>
      <c r="AD77" s="179"/>
      <c r="AE77" s="180"/>
      <c r="AF77" s="180" t="s">
        <v>11875</v>
      </c>
      <c r="AG77" s="1581" t="s">
        <v>11876</v>
      </c>
      <c r="AH77" s="224" t="s">
        <v>11877</v>
      </c>
      <c r="AI77" s="224" t="s">
        <v>11878</v>
      </c>
      <c r="AJ77" s="224"/>
      <c r="AK77" s="1602" t="s">
        <v>11879</v>
      </c>
      <c r="AL77" s="1602" t="s">
        <v>11880</v>
      </c>
      <c r="AM77" s="229" t="s">
        <v>11881</v>
      </c>
      <c r="AN77" s="224" t="s">
        <v>11871</v>
      </c>
    </row>
    <row r="78" s="459" customFormat="1" ht="14.1" customHeight="1" spans="1:40">
      <c r="A78" s="161">
        <f t="shared" si="13"/>
        <v>65</v>
      </c>
      <c r="B78" s="180" t="s">
        <v>11693</v>
      </c>
      <c r="C78" s="619"/>
      <c r="D78" s="166" t="s">
        <v>11694</v>
      </c>
      <c r="E78" s="628" t="s">
        <v>11695</v>
      </c>
      <c r="F78" s="619" t="s">
        <v>125</v>
      </c>
      <c r="G78" s="619" t="s">
        <v>44</v>
      </c>
      <c r="H78" s="619" t="s">
        <v>11696</v>
      </c>
      <c r="I78" s="628">
        <v>43103</v>
      </c>
      <c r="J78" s="628">
        <v>43189</v>
      </c>
      <c r="K78" s="633"/>
      <c r="L78" s="619"/>
      <c r="M78" s="619"/>
      <c r="N78" s="619"/>
      <c r="O78" s="619"/>
      <c r="P78" s="619"/>
      <c r="Q78" s="619"/>
      <c r="R78" s="619"/>
      <c r="S78" s="619"/>
      <c r="T78" s="638"/>
      <c r="U78" s="638"/>
      <c r="V78" s="638"/>
      <c r="W78" s="638"/>
      <c r="X78" s="641">
        <f ca="1" t="shared" si="14"/>
        <v>-83.38453703704</v>
      </c>
      <c r="Y78" s="182" t="str">
        <f ca="1" t="shared" si="15"/>
        <v>WARNING</v>
      </c>
      <c r="Z78" s="642">
        <v>3000000</v>
      </c>
      <c r="AA78" s="179"/>
      <c r="AB78" s="179"/>
      <c r="AC78" s="179"/>
      <c r="AD78" s="179"/>
      <c r="AE78" s="180"/>
      <c r="AF78" s="180" t="s">
        <v>11697</v>
      </c>
      <c r="AG78" s="1581" t="s">
        <v>11698</v>
      </c>
      <c r="AH78" s="224" t="s">
        <v>11699</v>
      </c>
      <c r="AI78" s="224"/>
      <c r="AJ78" s="224"/>
      <c r="AK78" s="1602" t="s">
        <v>11700</v>
      </c>
      <c r="AL78" s="1602" t="s">
        <v>11701</v>
      </c>
      <c r="AM78" s="229" t="s">
        <v>11702</v>
      </c>
      <c r="AN78" s="224" t="s">
        <v>11871</v>
      </c>
    </row>
    <row r="79" s="459" customFormat="1" ht="14.1" customHeight="1" spans="1:40">
      <c r="A79" s="161">
        <f t="shared" si="13"/>
        <v>66</v>
      </c>
      <c r="B79" s="180" t="s">
        <v>11882</v>
      </c>
      <c r="C79" s="619"/>
      <c r="D79" s="166" t="s">
        <v>11883</v>
      </c>
      <c r="E79" s="628" t="s">
        <v>11884</v>
      </c>
      <c r="F79" s="619" t="s">
        <v>125</v>
      </c>
      <c r="G79" s="619" t="s">
        <v>44</v>
      </c>
      <c r="H79" s="619" t="s">
        <v>11696</v>
      </c>
      <c r="I79" s="628">
        <v>43103</v>
      </c>
      <c r="J79" s="628">
        <v>43189</v>
      </c>
      <c r="K79" s="633"/>
      <c r="L79" s="619"/>
      <c r="M79" s="619"/>
      <c r="N79" s="619"/>
      <c r="O79" s="619"/>
      <c r="P79" s="619"/>
      <c r="Q79" s="619"/>
      <c r="R79" s="619"/>
      <c r="S79" s="619"/>
      <c r="T79" s="638"/>
      <c r="U79" s="638"/>
      <c r="V79" s="638"/>
      <c r="W79" s="638"/>
      <c r="X79" s="641">
        <f ca="1" t="shared" si="14"/>
        <v>-83.38453703704</v>
      </c>
      <c r="Y79" s="182" t="str">
        <f ca="1" t="shared" si="15"/>
        <v>WARNING</v>
      </c>
      <c r="Z79" s="642">
        <v>3000000</v>
      </c>
      <c r="AA79" s="179"/>
      <c r="AB79" s="179"/>
      <c r="AC79" s="179"/>
      <c r="AD79" s="179"/>
      <c r="AE79" s="180"/>
      <c r="AF79" s="180" t="s">
        <v>11885</v>
      </c>
      <c r="AG79" s="1581" t="s">
        <v>11886</v>
      </c>
      <c r="AH79" s="224" t="s">
        <v>11887</v>
      </c>
      <c r="AI79" s="224" t="s">
        <v>11888</v>
      </c>
      <c r="AJ79" s="224"/>
      <c r="AK79" s="1602" t="s">
        <v>11889</v>
      </c>
      <c r="AL79" s="1602" t="s">
        <v>11890</v>
      </c>
      <c r="AM79" s="229" t="s">
        <v>11891</v>
      </c>
      <c r="AN79" s="224" t="s">
        <v>11871</v>
      </c>
    </row>
    <row r="80" s="93" customFormat="1" ht="14.1" customHeight="1" spans="1:40">
      <c r="A80" s="100">
        <v>30</v>
      </c>
      <c r="B80" s="180"/>
      <c r="C80" s="619"/>
      <c r="D80" s="166" t="s">
        <v>11804</v>
      </c>
      <c r="E80" s="619" t="s">
        <v>11805</v>
      </c>
      <c r="F80" s="619" t="s">
        <v>125</v>
      </c>
      <c r="G80" s="619"/>
      <c r="H80" s="619" t="s">
        <v>11806</v>
      </c>
      <c r="I80" s="628">
        <v>43122</v>
      </c>
      <c r="J80" s="628">
        <v>43153</v>
      </c>
      <c r="K80" s="633"/>
      <c r="L80" s="619"/>
      <c r="M80" s="619"/>
      <c r="N80" s="619"/>
      <c r="O80" s="619"/>
      <c r="P80" s="619"/>
      <c r="Q80" s="619"/>
      <c r="R80" s="619"/>
      <c r="S80" s="619"/>
      <c r="T80" s="638"/>
      <c r="U80" s="638"/>
      <c r="V80" s="638"/>
      <c r="W80" s="638"/>
      <c r="X80" s="641">
        <v>-22.5917486111139</v>
      </c>
      <c r="Y80" s="182" t="s">
        <v>2569</v>
      </c>
      <c r="Z80" s="642">
        <v>3400000</v>
      </c>
      <c r="AA80" s="179"/>
      <c r="AB80" s="179"/>
      <c r="AC80" s="179"/>
      <c r="AD80" s="179"/>
      <c r="AE80" s="180" t="s">
        <v>11546</v>
      </c>
      <c r="AF80" s="180" t="s">
        <v>11807</v>
      </c>
      <c r="AG80" s="224"/>
      <c r="AH80" s="224"/>
      <c r="AI80" s="224"/>
      <c r="AJ80" s="224"/>
      <c r="AK80" s="225"/>
      <c r="AL80" s="225"/>
      <c r="AM80" s="229"/>
      <c r="AN80" s="224" t="s">
        <v>2828</v>
      </c>
    </row>
    <row r="81" s="515" customFormat="1" ht="14.1" customHeight="1" spans="1:66">
      <c r="A81" s="161">
        <f t="shared" ref="A81" si="16">ROW()-13</f>
        <v>68</v>
      </c>
      <c r="B81" s="180" t="s">
        <v>11892</v>
      </c>
      <c r="C81" s="619"/>
      <c r="D81" s="166" t="s">
        <v>11893</v>
      </c>
      <c r="E81" s="628">
        <v>35379</v>
      </c>
      <c r="F81" s="619" t="s">
        <v>43</v>
      </c>
      <c r="G81" s="619" t="s">
        <v>44</v>
      </c>
      <c r="H81" s="619" t="s">
        <v>11894</v>
      </c>
      <c r="I81" s="628">
        <v>42996</v>
      </c>
      <c r="J81" s="628">
        <v>43176</v>
      </c>
      <c r="K81" s="661">
        <v>43190</v>
      </c>
      <c r="L81" s="619"/>
      <c r="M81" s="619"/>
      <c r="N81" s="619"/>
      <c r="O81" s="619"/>
      <c r="P81" s="619"/>
      <c r="Q81" s="619"/>
      <c r="R81" s="619"/>
      <c r="S81" s="619"/>
      <c r="T81" s="638"/>
      <c r="U81" s="638"/>
      <c r="V81" s="638"/>
      <c r="W81" s="638"/>
      <c r="X81" s="641">
        <f ca="1">SUM(J81-NOW())</f>
        <v>-96.38453703704</v>
      </c>
      <c r="Y81" s="182" t="str">
        <f ca="1" t="shared" ref="Y81" si="17">IF(X81&lt;=46,"WARNING","ACTIVE")</f>
        <v>WARNING</v>
      </c>
      <c r="Z81" s="642">
        <v>4500000</v>
      </c>
      <c r="AA81" s="179">
        <v>20000</v>
      </c>
      <c r="AB81" s="179"/>
      <c r="AC81" s="179"/>
      <c r="AD81" s="179"/>
      <c r="AE81" s="180" t="s">
        <v>11546</v>
      </c>
      <c r="AF81" s="180" t="s">
        <v>11895</v>
      </c>
      <c r="AG81" s="1581" t="s">
        <v>11896</v>
      </c>
      <c r="AH81" s="224" t="s">
        <v>11897</v>
      </c>
      <c r="AI81" s="224" t="s">
        <v>11898</v>
      </c>
      <c r="AJ81" s="224"/>
      <c r="AK81" s="225"/>
      <c r="AL81" s="1602" t="s">
        <v>11899</v>
      </c>
      <c r="AM81" s="229" t="s">
        <v>11900</v>
      </c>
      <c r="AN81" s="224" t="s">
        <v>11901</v>
      </c>
      <c r="BK81" s="563"/>
      <c r="BL81" s="662"/>
      <c r="BM81" s="659"/>
      <c r="BN81" s="663"/>
    </row>
    <row r="82" s="93" customFormat="1" spans="33:40">
      <c r="AG82" s="570"/>
      <c r="AH82" s="570"/>
      <c r="AI82" s="570"/>
      <c r="AJ82" s="570"/>
      <c r="AK82" s="570"/>
      <c r="AL82" s="570"/>
      <c r="AM82" s="570"/>
      <c r="AN82" s="570"/>
    </row>
    <row r="83" s="93" customFormat="1" spans="33:40">
      <c r="AG83" s="570"/>
      <c r="AH83" s="570"/>
      <c r="AI83" s="570"/>
      <c r="AJ83" s="570"/>
      <c r="AK83" s="570"/>
      <c r="AL83" s="570"/>
      <c r="AM83" s="570"/>
      <c r="AN83" s="570"/>
    </row>
    <row r="84" s="93" customFormat="1" spans="33:40">
      <c r="AG84" s="570"/>
      <c r="AH84" s="570"/>
      <c r="AI84" s="570"/>
      <c r="AJ84" s="570"/>
      <c r="AK84" s="570"/>
      <c r="AL84" s="570"/>
      <c r="AM84" s="570"/>
      <c r="AN84" s="570"/>
    </row>
    <row r="85" s="93" customFormat="1" spans="33:40">
      <c r="AG85" s="570"/>
      <c r="AH85" s="570"/>
      <c r="AI85" s="570"/>
      <c r="AJ85" s="570"/>
      <c r="AK85" s="570"/>
      <c r="AL85" s="570"/>
      <c r="AM85" s="570"/>
      <c r="AN85" s="570"/>
    </row>
    <row r="86" s="93" customFormat="1" spans="33:40">
      <c r="AG86" s="570"/>
      <c r="AH86" s="570"/>
      <c r="AI86" s="570"/>
      <c r="AJ86" s="570"/>
      <c r="AK86" s="570"/>
      <c r="AL86" s="570"/>
      <c r="AM86" s="570"/>
      <c r="AN86" s="570"/>
    </row>
    <row r="87" s="93" customFormat="1" spans="33:40">
      <c r="AG87" s="570"/>
      <c r="AH87" s="570"/>
      <c r="AI87" s="570"/>
      <c r="AJ87" s="570"/>
      <c r="AK87" s="570"/>
      <c r="AL87" s="570"/>
      <c r="AM87" s="570"/>
      <c r="AN87" s="570"/>
    </row>
    <row r="88" s="93" customFormat="1" spans="33:40">
      <c r="AG88" s="570"/>
      <c r="AH88" s="570"/>
      <c r="AI88" s="570"/>
      <c r="AJ88" s="570"/>
      <c r="AK88" s="570"/>
      <c r="AL88" s="570"/>
      <c r="AM88" s="570"/>
      <c r="AN88" s="570"/>
    </row>
    <row r="89" s="93" customFormat="1" spans="33:40">
      <c r="AG89" s="570"/>
      <c r="AH89" s="570"/>
      <c r="AI89" s="570"/>
      <c r="AJ89" s="570"/>
      <c r="AK89" s="570"/>
      <c r="AL89" s="570"/>
      <c r="AM89" s="570"/>
      <c r="AN89" s="570"/>
    </row>
    <row r="90" s="93" customFormat="1" spans="33:40">
      <c r="AG90" s="570"/>
      <c r="AH90" s="570"/>
      <c r="AI90" s="570"/>
      <c r="AJ90" s="570"/>
      <c r="AK90" s="570"/>
      <c r="AL90" s="570"/>
      <c r="AM90" s="570"/>
      <c r="AN90" s="570"/>
    </row>
    <row r="91" s="93" customFormat="1" spans="33:40">
      <c r="AG91" s="570"/>
      <c r="AH91" s="570"/>
      <c r="AI91" s="570"/>
      <c r="AJ91" s="570"/>
      <c r="AK91" s="570"/>
      <c r="AL91" s="570"/>
      <c r="AM91" s="570"/>
      <c r="AN91" s="570"/>
    </row>
    <row r="92" s="93" customFormat="1" spans="33:40">
      <c r="AG92" s="570"/>
      <c r="AH92" s="570"/>
      <c r="AI92" s="570"/>
      <c r="AJ92" s="570"/>
      <c r="AK92" s="570"/>
      <c r="AL92" s="570"/>
      <c r="AM92" s="570"/>
      <c r="AN92" s="570"/>
    </row>
    <row r="93" s="93" customFormat="1" spans="33:40">
      <c r="AG93" s="570"/>
      <c r="AH93" s="570"/>
      <c r="AI93" s="570"/>
      <c r="AJ93" s="570"/>
      <c r="AK93" s="570"/>
      <c r="AL93" s="570"/>
      <c r="AM93" s="570"/>
      <c r="AN93" s="570"/>
    </row>
    <row r="94" s="93" customFormat="1" spans="33:40">
      <c r="AG94" s="570"/>
      <c r="AH94" s="570"/>
      <c r="AI94" s="570"/>
      <c r="AJ94" s="570"/>
      <c r="AK94" s="570"/>
      <c r="AL94" s="570"/>
      <c r="AM94" s="570"/>
      <c r="AN94" s="570"/>
    </row>
    <row r="95" s="93" customFormat="1" spans="33:40">
      <c r="AG95" s="570"/>
      <c r="AH95" s="570"/>
      <c r="AI95" s="570"/>
      <c r="AJ95" s="570"/>
      <c r="AK95" s="570"/>
      <c r="AL95" s="570"/>
      <c r="AM95" s="570"/>
      <c r="AN95" s="570"/>
    </row>
    <row r="96" s="93" customFormat="1" spans="33:40">
      <c r="AG96" s="570"/>
      <c r="AH96" s="570"/>
      <c r="AI96" s="570"/>
      <c r="AJ96" s="570"/>
      <c r="AK96" s="570"/>
      <c r="AL96" s="570"/>
      <c r="AM96" s="570"/>
      <c r="AN96" s="570"/>
    </row>
    <row r="97" s="93" customFormat="1" spans="33:40">
      <c r="AG97" s="570"/>
      <c r="AH97" s="570"/>
      <c r="AI97" s="570"/>
      <c r="AJ97" s="570"/>
      <c r="AK97" s="570"/>
      <c r="AL97" s="570"/>
      <c r="AM97" s="570"/>
      <c r="AN97" s="570"/>
    </row>
    <row r="98" s="93" customFormat="1" spans="33:40">
      <c r="AG98" s="570"/>
      <c r="AH98" s="570"/>
      <c r="AI98" s="570"/>
      <c r="AJ98" s="570"/>
      <c r="AK98" s="570"/>
      <c r="AL98" s="570"/>
      <c r="AM98" s="570"/>
      <c r="AN98" s="570"/>
    </row>
    <row r="99" s="93" customFormat="1" spans="33:40">
      <c r="AG99" s="570"/>
      <c r="AH99" s="570"/>
      <c r="AI99" s="570"/>
      <c r="AJ99" s="570"/>
      <c r="AK99" s="570"/>
      <c r="AL99" s="570"/>
      <c r="AM99" s="570"/>
      <c r="AN99" s="570"/>
    </row>
    <row r="100" s="93" customFormat="1" spans="33:40">
      <c r="AG100" s="570"/>
      <c r="AH100" s="570"/>
      <c r="AI100" s="570"/>
      <c r="AJ100" s="570"/>
      <c r="AK100" s="570"/>
      <c r="AL100" s="570"/>
      <c r="AM100" s="570"/>
      <c r="AN100" s="570"/>
    </row>
    <row r="101" s="93" customFormat="1" spans="33:40">
      <c r="AG101" s="570"/>
      <c r="AH101" s="570"/>
      <c r="AI101" s="570"/>
      <c r="AJ101" s="570"/>
      <c r="AK101" s="570"/>
      <c r="AL101" s="570"/>
      <c r="AM101" s="570"/>
      <c r="AN101" s="570"/>
    </row>
    <row r="102" s="93" customFormat="1" spans="33:40">
      <c r="AG102" s="570"/>
      <c r="AH102" s="570"/>
      <c r="AI102" s="570"/>
      <c r="AJ102" s="570"/>
      <c r="AK102" s="570"/>
      <c r="AL102" s="570"/>
      <c r="AM102" s="570"/>
      <c r="AN102" s="570"/>
    </row>
    <row r="103" s="93" customFormat="1" spans="33:40">
      <c r="AG103" s="570"/>
      <c r="AH103" s="570"/>
      <c r="AI103" s="570"/>
      <c r="AJ103" s="570"/>
      <c r="AK103" s="570"/>
      <c r="AL103" s="570"/>
      <c r="AM103" s="570"/>
      <c r="AN103" s="570"/>
    </row>
    <row r="104" s="93" customFormat="1" spans="33:40">
      <c r="AG104" s="570"/>
      <c r="AH104" s="570"/>
      <c r="AI104" s="570"/>
      <c r="AJ104" s="570"/>
      <c r="AK104" s="570"/>
      <c r="AL104" s="570"/>
      <c r="AM104" s="570"/>
      <c r="AN104" s="570"/>
    </row>
    <row r="105" s="93" customFormat="1" spans="33:40">
      <c r="AG105" s="570"/>
      <c r="AH105" s="570"/>
      <c r="AI105" s="570"/>
      <c r="AJ105" s="570"/>
      <c r="AK105" s="570"/>
      <c r="AL105" s="570"/>
      <c r="AM105" s="570"/>
      <c r="AN105" s="570"/>
    </row>
    <row r="106" s="93" customFormat="1" spans="33:40">
      <c r="AG106" s="570"/>
      <c r="AH106" s="570"/>
      <c r="AI106" s="570"/>
      <c r="AJ106" s="570"/>
      <c r="AK106" s="570"/>
      <c r="AL106" s="570"/>
      <c r="AM106" s="570"/>
      <c r="AN106" s="570"/>
    </row>
    <row r="107" s="93" customFormat="1" spans="33:40">
      <c r="AG107" s="570"/>
      <c r="AH107" s="570"/>
      <c r="AI107" s="570"/>
      <c r="AJ107" s="570"/>
      <c r="AK107" s="570"/>
      <c r="AL107" s="570"/>
      <c r="AM107" s="570"/>
      <c r="AN107" s="570"/>
    </row>
    <row r="108" s="93" customFormat="1" spans="33:40">
      <c r="AG108" s="570"/>
      <c r="AH108" s="570"/>
      <c r="AI108" s="570"/>
      <c r="AJ108" s="570"/>
      <c r="AK108" s="570"/>
      <c r="AL108" s="570"/>
      <c r="AM108" s="570"/>
      <c r="AN108" s="570"/>
    </row>
    <row r="109" s="93" customFormat="1" spans="33:40">
      <c r="AG109" s="570"/>
      <c r="AH109" s="570"/>
      <c r="AI109" s="570"/>
      <c r="AJ109" s="570"/>
      <c r="AK109" s="570"/>
      <c r="AL109" s="570"/>
      <c r="AM109" s="570"/>
      <c r="AN109" s="570"/>
    </row>
    <row r="110" s="93" customFormat="1" spans="33:40">
      <c r="AG110" s="570"/>
      <c r="AH110" s="570"/>
      <c r="AI110" s="570"/>
      <c r="AJ110" s="570"/>
      <c r="AK110" s="570"/>
      <c r="AL110" s="570"/>
      <c r="AM110" s="570"/>
      <c r="AN110" s="570"/>
    </row>
    <row r="111" s="93" customFormat="1" spans="33:40">
      <c r="AG111" s="570"/>
      <c r="AH111" s="570"/>
      <c r="AI111" s="570"/>
      <c r="AJ111" s="570"/>
      <c r="AK111" s="570"/>
      <c r="AL111" s="570"/>
      <c r="AM111" s="570"/>
      <c r="AN111" s="570"/>
    </row>
    <row r="112" s="93" customFormat="1" spans="33:40">
      <c r="AG112" s="570"/>
      <c r="AH112" s="570"/>
      <c r="AI112" s="570"/>
      <c r="AJ112" s="570"/>
      <c r="AK112" s="570"/>
      <c r="AL112" s="570"/>
      <c r="AM112" s="570"/>
      <c r="AN112" s="570"/>
    </row>
    <row r="113" s="93" customFormat="1" spans="33:40">
      <c r="AG113" s="570"/>
      <c r="AH113" s="570"/>
      <c r="AI113" s="570"/>
      <c r="AJ113" s="570"/>
      <c r="AK113" s="570"/>
      <c r="AL113" s="570"/>
      <c r="AM113" s="570"/>
      <c r="AN113" s="570"/>
    </row>
    <row r="114" s="93" customFormat="1" spans="33:40">
      <c r="AG114" s="570"/>
      <c r="AH114" s="570"/>
      <c r="AI114" s="570"/>
      <c r="AJ114" s="570"/>
      <c r="AK114" s="570"/>
      <c r="AL114" s="570"/>
      <c r="AM114" s="570"/>
      <c r="AN114" s="570"/>
    </row>
    <row r="115" s="93" customFormat="1" spans="33:40">
      <c r="AG115" s="570"/>
      <c r="AH115" s="570"/>
      <c r="AI115" s="570"/>
      <c r="AJ115" s="570"/>
      <c r="AK115" s="570"/>
      <c r="AL115" s="570"/>
      <c r="AM115" s="570"/>
      <c r="AN115" s="570"/>
    </row>
    <row r="116" s="93" customFormat="1" spans="33:40">
      <c r="AG116" s="570"/>
      <c r="AH116" s="570"/>
      <c r="AI116" s="570"/>
      <c r="AJ116" s="570"/>
      <c r="AK116" s="570"/>
      <c r="AL116" s="570"/>
      <c r="AM116" s="570"/>
      <c r="AN116" s="570"/>
    </row>
    <row r="117" s="93" customFormat="1" spans="33:40">
      <c r="AG117" s="570"/>
      <c r="AH117" s="570"/>
      <c r="AI117" s="570"/>
      <c r="AJ117" s="570"/>
      <c r="AK117" s="570"/>
      <c r="AL117" s="570"/>
      <c r="AM117" s="570"/>
      <c r="AN117" s="570"/>
    </row>
    <row r="118" s="93" customFormat="1" spans="33:40">
      <c r="AG118" s="570"/>
      <c r="AH118" s="570"/>
      <c r="AI118" s="570"/>
      <c r="AJ118" s="570"/>
      <c r="AK118" s="570"/>
      <c r="AL118" s="570"/>
      <c r="AM118" s="570"/>
      <c r="AN118" s="570"/>
    </row>
    <row r="119" s="93" customFormat="1" spans="33:40">
      <c r="AG119" s="570"/>
      <c r="AH119" s="570"/>
      <c r="AI119" s="570"/>
      <c r="AJ119" s="570"/>
      <c r="AK119" s="570"/>
      <c r="AL119" s="570"/>
      <c r="AM119" s="570"/>
      <c r="AN119" s="570"/>
    </row>
    <row r="120" s="93" customFormat="1" spans="33:40">
      <c r="AG120" s="570"/>
      <c r="AH120" s="570"/>
      <c r="AI120" s="570"/>
      <c r="AJ120" s="570"/>
      <c r="AK120" s="570"/>
      <c r="AL120" s="570"/>
      <c r="AM120" s="570"/>
      <c r="AN120" s="570"/>
    </row>
    <row r="121" s="93" customFormat="1" spans="33:40">
      <c r="AG121" s="570"/>
      <c r="AH121" s="570"/>
      <c r="AI121" s="570"/>
      <c r="AJ121" s="570"/>
      <c r="AK121" s="570"/>
      <c r="AL121" s="570"/>
      <c r="AM121" s="570"/>
      <c r="AN121" s="570"/>
    </row>
    <row r="122" s="93" customFormat="1" spans="33:40">
      <c r="AG122" s="570"/>
      <c r="AH122" s="570"/>
      <c r="AI122" s="570"/>
      <c r="AJ122" s="570"/>
      <c r="AK122" s="570"/>
      <c r="AL122" s="570"/>
      <c r="AM122" s="570"/>
      <c r="AN122" s="570"/>
    </row>
    <row r="123" s="93" customFormat="1" spans="33:40">
      <c r="AG123" s="570"/>
      <c r="AH123" s="570"/>
      <c r="AI123" s="570"/>
      <c r="AJ123" s="570"/>
      <c r="AK123" s="570"/>
      <c r="AL123" s="570"/>
      <c r="AM123" s="570"/>
      <c r="AN123" s="570"/>
    </row>
    <row r="124" s="93" customFormat="1" spans="33:40">
      <c r="AG124" s="570"/>
      <c r="AH124" s="570"/>
      <c r="AI124" s="570"/>
      <c r="AJ124" s="570"/>
      <c r="AK124" s="570"/>
      <c r="AL124" s="570"/>
      <c r="AM124" s="570"/>
      <c r="AN124" s="570"/>
    </row>
    <row r="125" s="93" customFormat="1" spans="33:40">
      <c r="AG125" s="570"/>
      <c r="AH125" s="570"/>
      <c r="AI125" s="570"/>
      <c r="AJ125" s="570"/>
      <c r="AK125" s="570"/>
      <c r="AL125" s="570"/>
      <c r="AM125" s="570"/>
      <c r="AN125" s="570"/>
    </row>
    <row r="126" s="93" customFormat="1" spans="33:40">
      <c r="AG126" s="570"/>
      <c r="AH126" s="570"/>
      <c r="AI126" s="570"/>
      <c r="AJ126" s="570"/>
      <c r="AK126" s="570"/>
      <c r="AL126" s="570"/>
      <c r="AM126" s="570"/>
      <c r="AN126" s="570"/>
    </row>
    <row r="127" s="93" customFormat="1" spans="33:40">
      <c r="AG127" s="570"/>
      <c r="AH127" s="570"/>
      <c r="AI127" s="570"/>
      <c r="AJ127" s="570"/>
      <c r="AK127" s="570"/>
      <c r="AL127" s="570"/>
      <c r="AM127" s="570"/>
      <c r="AN127" s="570"/>
    </row>
    <row r="128" s="93" customFormat="1" spans="33:40">
      <c r="AG128" s="570"/>
      <c r="AH128" s="570"/>
      <c r="AI128" s="570"/>
      <c r="AJ128" s="570"/>
      <c r="AK128" s="570"/>
      <c r="AL128" s="570"/>
      <c r="AM128" s="570"/>
      <c r="AN128" s="570"/>
    </row>
    <row r="129" s="93" customFormat="1" spans="33:40">
      <c r="AG129" s="570"/>
      <c r="AH129" s="570"/>
      <c r="AI129" s="570"/>
      <c r="AJ129" s="570"/>
      <c r="AK129" s="570"/>
      <c r="AL129" s="570"/>
      <c r="AM129" s="570"/>
      <c r="AN129" s="570"/>
    </row>
    <row r="130" s="93" customFormat="1" spans="33:40">
      <c r="AG130" s="570"/>
      <c r="AH130" s="570"/>
      <c r="AI130" s="570"/>
      <c r="AJ130" s="570"/>
      <c r="AK130" s="570"/>
      <c r="AL130" s="570"/>
      <c r="AM130" s="570"/>
      <c r="AN130" s="570"/>
    </row>
    <row r="131" s="93" customFormat="1" spans="33:40">
      <c r="AG131" s="570"/>
      <c r="AH131" s="570"/>
      <c r="AI131" s="570"/>
      <c r="AJ131" s="570"/>
      <c r="AK131" s="570"/>
      <c r="AL131" s="570"/>
      <c r="AM131" s="570"/>
      <c r="AN131" s="570"/>
    </row>
    <row r="132" s="93" customFormat="1" spans="33:40">
      <c r="AG132" s="570"/>
      <c r="AH132" s="570"/>
      <c r="AI132" s="570"/>
      <c r="AJ132" s="570"/>
      <c r="AK132" s="570"/>
      <c r="AL132" s="570"/>
      <c r="AM132" s="570"/>
      <c r="AN132" s="570"/>
    </row>
    <row r="133" s="93" customFormat="1" spans="33:40">
      <c r="AG133" s="570"/>
      <c r="AH133" s="570"/>
      <c r="AI133" s="570"/>
      <c r="AJ133" s="570"/>
      <c r="AK133" s="570"/>
      <c r="AL133" s="570"/>
      <c r="AM133" s="570"/>
      <c r="AN133" s="570"/>
    </row>
    <row r="134" s="93" customFormat="1" spans="33:40">
      <c r="AG134" s="570"/>
      <c r="AH134" s="570"/>
      <c r="AI134" s="570"/>
      <c r="AJ134" s="570"/>
      <c r="AK134" s="570"/>
      <c r="AL134" s="570"/>
      <c r="AM134" s="570"/>
      <c r="AN134" s="570"/>
    </row>
    <row r="135" s="93" customFormat="1" spans="33:40">
      <c r="AG135" s="570"/>
      <c r="AH135" s="570"/>
      <c r="AI135" s="570"/>
      <c r="AJ135" s="570"/>
      <c r="AK135" s="570"/>
      <c r="AL135" s="570"/>
      <c r="AM135" s="570"/>
      <c r="AN135" s="570"/>
    </row>
    <row r="136" s="93" customFormat="1" spans="33:40">
      <c r="AG136" s="570"/>
      <c r="AH136" s="570"/>
      <c r="AI136" s="570"/>
      <c r="AJ136" s="570"/>
      <c r="AK136" s="570"/>
      <c r="AL136" s="570"/>
      <c r="AM136" s="570"/>
      <c r="AN136" s="570"/>
    </row>
    <row r="137" s="93" customFormat="1" spans="33:40">
      <c r="AG137" s="570"/>
      <c r="AH137" s="570"/>
      <c r="AI137" s="570"/>
      <c r="AJ137" s="570"/>
      <c r="AK137" s="570"/>
      <c r="AL137" s="570"/>
      <c r="AM137" s="570"/>
      <c r="AN137" s="570"/>
    </row>
    <row r="138" s="93" customFormat="1" spans="33:40">
      <c r="AG138" s="570"/>
      <c r="AH138" s="570"/>
      <c r="AI138" s="570"/>
      <c r="AJ138" s="570"/>
      <c r="AK138" s="570"/>
      <c r="AL138" s="570"/>
      <c r="AM138" s="570"/>
      <c r="AN138" s="570"/>
    </row>
    <row r="139" s="93" customFormat="1" spans="33:40">
      <c r="AG139" s="570"/>
      <c r="AH139" s="570"/>
      <c r="AI139" s="570"/>
      <c r="AJ139" s="570"/>
      <c r="AK139" s="570"/>
      <c r="AL139" s="570"/>
      <c r="AM139" s="570"/>
      <c r="AN139" s="570"/>
    </row>
    <row r="140" s="93" customFormat="1" spans="33:40">
      <c r="AG140" s="570"/>
      <c r="AH140" s="570"/>
      <c r="AI140" s="570"/>
      <c r="AJ140" s="570"/>
      <c r="AK140" s="570"/>
      <c r="AL140" s="570"/>
      <c r="AM140" s="570"/>
      <c r="AN140" s="570"/>
    </row>
    <row r="141" s="93" customFormat="1" spans="33:40">
      <c r="AG141" s="570"/>
      <c r="AH141" s="570"/>
      <c r="AI141" s="570"/>
      <c r="AJ141" s="570"/>
      <c r="AK141" s="570"/>
      <c r="AL141" s="570"/>
      <c r="AM141" s="570"/>
      <c r="AN141" s="570"/>
    </row>
    <row r="142" s="93" customFormat="1" spans="33:40">
      <c r="AG142" s="570"/>
      <c r="AH142" s="570"/>
      <c r="AI142" s="570"/>
      <c r="AJ142" s="570"/>
      <c r="AK142" s="570"/>
      <c r="AL142" s="570"/>
      <c r="AM142" s="570"/>
      <c r="AN142" s="570"/>
    </row>
    <row r="143" s="93" customFormat="1" spans="33:40">
      <c r="AG143" s="570"/>
      <c r="AH143" s="570"/>
      <c r="AI143" s="570"/>
      <c r="AJ143" s="570"/>
      <c r="AK143" s="570"/>
      <c r="AL143" s="570"/>
      <c r="AM143" s="570"/>
      <c r="AN143" s="570"/>
    </row>
    <row r="144" s="93" customFormat="1" spans="33:40">
      <c r="AG144" s="570"/>
      <c r="AH144" s="570"/>
      <c r="AI144" s="570"/>
      <c r="AJ144" s="570"/>
      <c r="AK144" s="570"/>
      <c r="AL144" s="570"/>
      <c r="AM144" s="570"/>
      <c r="AN144" s="570"/>
    </row>
    <row r="145" s="93" customFormat="1" spans="33:40">
      <c r="AG145" s="570"/>
      <c r="AH145" s="570"/>
      <c r="AI145" s="570"/>
      <c r="AJ145" s="570"/>
      <c r="AK145" s="570"/>
      <c r="AL145" s="570"/>
      <c r="AM145" s="570"/>
      <c r="AN145" s="570"/>
    </row>
    <row r="146" s="93" customFormat="1" spans="33:40">
      <c r="AG146" s="570"/>
      <c r="AH146" s="570"/>
      <c r="AI146" s="570"/>
      <c r="AJ146" s="570"/>
      <c r="AK146" s="570"/>
      <c r="AL146" s="570"/>
      <c r="AM146" s="570"/>
      <c r="AN146" s="570"/>
    </row>
    <row r="147" s="93" customFormat="1" spans="33:40">
      <c r="AG147" s="570"/>
      <c r="AH147" s="570"/>
      <c r="AI147" s="570"/>
      <c r="AJ147" s="570"/>
      <c r="AK147" s="570"/>
      <c r="AL147" s="570"/>
      <c r="AM147" s="570"/>
      <c r="AN147" s="570"/>
    </row>
    <row r="148" s="93" customFormat="1" spans="33:40">
      <c r="AG148" s="570"/>
      <c r="AH148" s="570"/>
      <c r="AI148" s="570"/>
      <c r="AJ148" s="570"/>
      <c r="AK148" s="570"/>
      <c r="AL148" s="570"/>
      <c r="AM148" s="570"/>
      <c r="AN148" s="570"/>
    </row>
    <row r="149" s="93" customFormat="1" spans="33:40">
      <c r="AG149" s="570"/>
      <c r="AH149" s="570"/>
      <c r="AI149" s="570"/>
      <c r="AJ149" s="570"/>
      <c r="AK149" s="570"/>
      <c r="AL149" s="570"/>
      <c r="AM149" s="570"/>
      <c r="AN149" s="570"/>
    </row>
    <row r="150" s="93" customFormat="1" spans="33:40">
      <c r="AG150" s="570"/>
      <c r="AH150" s="570"/>
      <c r="AI150" s="570"/>
      <c r="AJ150" s="570"/>
      <c r="AK150" s="570"/>
      <c r="AL150" s="570"/>
      <c r="AM150" s="570"/>
      <c r="AN150" s="570"/>
    </row>
    <row r="151" s="93" customFormat="1" spans="33:40">
      <c r="AG151" s="570"/>
      <c r="AH151" s="570"/>
      <c r="AI151" s="570"/>
      <c r="AJ151" s="570"/>
      <c r="AK151" s="570"/>
      <c r="AL151" s="570"/>
      <c r="AM151" s="570"/>
      <c r="AN151" s="570"/>
    </row>
    <row r="152" s="93" customFormat="1" spans="33:40">
      <c r="AG152" s="570"/>
      <c r="AH152" s="570"/>
      <c r="AI152" s="570"/>
      <c r="AJ152" s="570"/>
      <c r="AK152" s="570"/>
      <c r="AL152" s="570"/>
      <c r="AM152" s="570"/>
      <c r="AN152" s="570"/>
    </row>
    <row r="153" s="93" customFormat="1" spans="33:40">
      <c r="AG153" s="570"/>
      <c r="AH153" s="570"/>
      <c r="AI153" s="570"/>
      <c r="AJ153" s="570"/>
      <c r="AK153" s="570"/>
      <c r="AL153" s="570"/>
      <c r="AM153" s="570"/>
      <c r="AN153" s="570"/>
    </row>
    <row r="154" s="93" customFormat="1" spans="33:40">
      <c r="AG154" s="570"/>
      <c r="AH154" s="570"/>
      <c r="AI154" s="570"/>
      <c r="AJ154" s="570"/>
      <c r="AK154" s="570"/>
      <c r="AL154" s="570"/>
      <c r="AM154" s="570"/>
      <c r="AN154" s="570"/>
    </row>
    <row r="155" s="93" customFormat="1" spans="33:40">
      <c r="AG155" s="570"/>
      <c r="AH155" s="570"/>
      <c r="AI155" s="570"/>
      <c r="AJ155" s="570"/>
      <c r="AK155" s="570"/>
      <c r="AL155" s="570"/>
      <c r="AM155" s="570"/>
      <c r="AN155" s="570"/>
    </row>
    <row r="156" s="93" customFormat="1" spans="33:40">
      <c r="AG156" s="570"/>
      <c r="AH156" s="570"/>
      <c r="AI156" s="570"/>
      <c r="AJ156" s="570"/>
      <c r="AK156" s="570"/>
      <c r="AL156" s="570"/>
      <c r="AM156" s="570"/>
      <c r="AN156" s="570"/>
    </row>
    <row r="157" s="93" customFormat="1" spans="33:40">
      <c r="AG157" s="570"/>
      <c r="AH157" s="570"/>
      <c r="AI157" s="570"/>
      <c r="AJ157" s="570"/>
      <c r="AK157" s="570"/>
      <c r="AL157" s="570"/>
      <c r="AM157" s="570"/>
      <c r="AN157" s="570"/>
    </row>
    <row r="158" s="93" customFormat="1" spans="33:40">
      <c r="AG158" s="570"/>
      <c r="AH158" s="570"/>
      <c r="AI158" s="570"/>
      <c r="AJ158" s="570"/>
      <c r="AK158" s="570"/>
      <c r="AL158" s="570"/>
      <c r="AM158" s="570"/>
      <c r="AN158" s="570"/>
    </row>
    <row r="159" s="93" customFormat="1" spans="33:40">
      <c r="AG159" s="570"/>
      <c r="AH159" s="570"/>
      <c r="AI159" s="570"/>
      <c r="AJ159" s="570"/>
      <c r="AK159" s="570"/>
      <c r="AL159" s="570"/>
      <c r="AM159" s="570"/>
      <c r="AN159" s="570"/>
    </row>
    <row r="160" s="93" customFormat="1" spans="33:40">
      <c r="AG160" s="570"/>
      <c r="AH160" s="570"/>
      <c r="AI160" s="570"/>
      <c r="AJ160" s="570"/>
      <c r="AK160" s="570"/>
      <c r="AL160" s="570"/>
      <c r="AM160" s="570"/>
      <c r="AN160" s="570"/>
    </row>
    <row r="161" s="93" customFormat="1" spans="33:40">
      <c r="AG161" s="570"/>
      <c r="AH161" s="570"/>
      <c r="AI161" s="570"/>
      <c r="AJ161" s="570"/>
      <c r="AK161" s="570"/>
      <c r="AL161" s="570"/>
      <c r="AM161" s="570"/>
      <c r="AN161" s="570"/>
    </row>
    <row r="162" s="93" customFormat="1" spans="33:40">
      <c r="AG162" s="570"/>
      <c r="AH162" s="570"/>
      <c r="AI162" s="570"/>
      <c r="AJ162" s="570"/>
      <c r="AK162" s="570"/>
      <c r="AL162" s="570"/>
      <c r="AM162" s="570"/>
      <c r="AN162" s="570"/>
    </row>
    <row r="163" s="93" customFormat="1" spans="33:40">
      <c r="AG163" s="570"/>
      <c r="AH163" s="570"/>
      <c r="AI163" s="570"/>
      <c r="AJ163" s="570"/>
      <c r="AK163" s="570"/>
      <c r="AL163" s="570"/>
      <c r="AM163" s="570"/>
      <c r="AN163" s="570"/>
    </row>
    <row r="164" s="93" customFormat="1" spans="33:40">
      <c r="AG164" s="570"/>
      <c r="AH164" s="570"/>
      <c r="AI164" s="570"/>
      <c r="AJ164" s="570"/>
      <c r="AK164" s="570"/>
      <c r="AL164" s="570"/>
      <c r="AM164" s="570"/>
      <c r="AN164" s="570"/>
    </row>
    <row r="165" s="93" customFormat="1" spans="33:40">
      <c r="AG165" s="570"/>
      <c r="AH165" s="570"/>
      <c r="AI165" s="570"/>
      <c r="AJ165" s="570"/>
      <c r="AK165" s="570"/>
      <c r="AL165" s="570"/>
      <c r="AM165" s="570"/>
      <c r="AN165" s="570"/>
    </row>
  </sheetData>
  <autoFilter ref="A13:BN48"/>
  <mergeCells count="36">
    <mergeCell ref="A1:D1"/>
    <mergeCell ref="A2:D2"/>
    <mergeCell ref="A3:D3"/>
    <mergeCell ref="A6:D6"/>
    <mergeCell ref="A8:S8"/>
    <mergeCell ref="A9:S9"/>
    <mergeCell ref="I12:K12"/>
    <mergeCell ref="M12:N12"/>
    <mergeCell ref="P12:Q12"/>
    <mergeCell ref="R12:S12"/>
    <mergeCell ref="V12:W12"/>
    <mergeCell ref="A12:A13"/>
    <mergeCell ref="B12:B13"/>
    <mergeCell ref="C12:C13"/>
    <mergeCell ref="D12:D13"/>
    <mergeCell ref="E12:E13"/>
    <mergeCell ref="F12:F13"/>
    <mergeCell ref="G12:G13"/>
    <mergeCell ref="H12:H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 ref="AL12:AL13"/>
    <mergeCell ref="AM12:AM13"/>
    <mergeCell ref="AN12:AN13"/>
  </mergeCells>
  <conditionalFormatting sqref="X56:Y57;X63:Y63;X14:Y18;X70:Y72;X22:Y22;X26:Y37;X24:Y24">
    <cfRule type="expression" dxfId="1171" priority="1" stopIfTrue="1">
      <formula>IF($Y14="warning",TRUE,FALSE)</formula>
    </cfRule>
  </conditionalFormatting>
  <conditionalFormatting sqref="BM14">
    <cfRule type="expression" dxfId="1172" priority="2" stopIfTrue="1">
      <formula>IF(OR($BK14="not",$BK14="resign",$BK14="resign",$BK14="end",$BK14="terminated",$BK14="permanent"),"TRUE","FALSE")</formula>
    </cfRule>
  </conditionalFormatting>
  <conditionalFormatting sqref="BM15">
    <cfRule type="expression" dxfId="1173" priority="3" stopIfTrue="1">
      <formula>IF(OR($BK15="not",$BK15="resign",$BK15="resign",$BK15="end",$BK15="terminated",$BK15="permanent"),"TRUE","FALSE")</formula>
    </cfRule>
  </conditionalFormatting>
  <conditionalFormatting sqref="BM17">
    <cfRule type="expression" dxfId="1174" priority="4" stopIfTrue="1">
      <formula>IF(OR($BK17="not",$BK17="resign",$BK17="resign",$BK17="end",$BK17="terminated",$BK17="permanent"),"TRUE","FALSE")</formula>
    </cfRule>
  </conditionalFormatting>
  <conditionalFormatting sqref="K70:L72">
    <cfRule type="expression" dxfId="1175" priority="5" stopIfTrue="1">
      <formula>IF(OR(#REF!="not",#REF!="resign",#REF!="resign",#REF!="end",#REF!="terminated",#REF!="permanent"),"TRUE","FALSE")</formula>
    </cfRule>
  </conditionalFormatting>
  <conditionalFormatting sqref="K18:L18">
    <cfRule type="expression" dxfId="1176" priority="6" stopIfTrue="1">
      <formula>IF(OR($AY18="not",$AY18="resign",$AY18="resign",$AY18="end",$AY18="terminated",$AY18="permanent"),"TRUE","FALSE")</formula>
    </cfRule>
  </conditionalFormatting>
  <conditionalFormatting sqref="R17:W17">
    <cfRule type="expression" dxfId="1177" priority="7" stopIfTrue="1">
      <formula>IF(OR($BK17="not",$BK17="resign",$BK17="resign",$BK17="end",$BK17="terminated",$BK17="permanent"),"TRUE","FALSE")</formula>
    </cfRule>
  </conditionalFormatting>
  <conditionalFormatting sqref="C29">
    <cfRule type="expression" dxfId="1178" priority="8" stopIfTrue="1">
      <formula>IF(OR($BK29="not",$BK29="resign",$BK29="resign",$BK29="end",$BK29="terminated",$BK29="permanent"),"TRUE","FALSE")</formula>
    </cfRule>
  </conditionalFormatting>
  <conditionalFormatting sqref="G57">
    <cfRule type="expression" dxfId="1179" priority="9" stopIfTrue="1">
      <formula>IF(OR(#REF!="not",#REF!="resign",#REF!="resign",#REF!="end",#REF!="terminated",#REF!="permanent"),"TRUE","FALSE")</formula>
    </cfRule>
  </conditionalFormatting>
  <conditionalFormatting sqref="B57">
    <cfRule type="expression" dxfId="1180" priority="10" stopIfTrue="1">
      <formula>IF(OR(#REF!="not",#REF!="resign",#REF!="resign",#REF!="end",#REF!="terminated",#REF!="permanent"),"TRUE","FALSE")</formula>
    </cfRule>
  </conditionalFormatting>
  <conditionalFormatting sqref="C30">
    <cfRule type="expression" dxfId="1181" priority="11" stopIfTrue="1">
      <formula>IF(OR($BK30="not",$BK30="resign",$BK30="resign",$BK30="end",$BK30="terminated",$BK30="permanent"),"TRUE","FALSE")</formula>
    </cfRule>
  </conditionalFormatting>
  <conditionalFormatting sqref="G30">
    <cfRule type="expression" dxfId="1182" priority="12" stopIfTrue="1">
      <formula>IF(OR($BK30="not",$BK30="resign",$BK30="resign",$BK30="end",$BK30="terminated",$BK30="permanent"),"TRUE","FALSE")</formula>
    </cfRule>
  </conditionalFormatting>
  <conditionalFormatting sqref="B30">
    <cfRule type="expression" dxfId="1183" priority="13" stopIfTrue="1">
      <formula>IF(OR($BK30="not",$BK30="resign",$BK30="resign",$BK30="end",$BK30="terminated",$BK30="permanent"),"TRUE","FALSE")</formula>
    </cfRule>
  </conditionalFormatting>
  <conditionalFormatting sqref="C31">
    <cfRule type="expression" dxfId="1184" priority="14" stopIfTrue="1">
      <formula>IF(OR($BK31="not",$BK31="resign",$BK31="resign",$BK31="end",$BK31="terminated",$BK31="permanent"),"TRUE","FALSE")</formula>
    </cfRule>
  </conditionalFormatting>
  <conditionalFormatting sqref="G31">
    <cfRule type="expression" dxfId="1185" priority="15" stopIfTrue="1">
      <formula>IF(OR($BK31="not",$BK31="resign",$BK31="resign",$BK31="end",$BK31="terminated",$BK31="permanent"),"TRUE","FALSE")</formula>
    </cfRule>
  </conditionalFormatting>
  <conditionalFormatting sqref="C32">
    <cfRule type="expression" dxfId="1186" priority="16" stopIfTrue="1">
      <formula>IF(OR($BK32="not",$BK32="resign",$BK32="resign",$BK32="end",$BK32="terminated",$BK32="permanent"),"TRUE","FALSE")</formula>
    </cfRule>
  </conditionalFormatting>
  <conditionalFormatting sqref="C33:C34">
    <cfRule type="expression" dxfId="1187" priority="17" stopIfTrue="1">
      <formula>IF(OR($BK33="not",$BK33="resign",$BK33="resign",$BK33="end",$BK33="terminated",$BK33="permanent"),"TRUE","FALSE")</formula>
    </cfRule>
  </conditionalFormatting>
  <conditionalFormatting sqref="G32">
    <cfRule type="expression" dxfId="1188" priority="18" stopIfTrue="1">
      <formula>IF(OR($BK32="not",$BK32="resign",$BK32="resign",$BK32="end",$BK32="terminated",$BK32="permanent"),"TRUE","FALSE")</formula>
    </cfRule>
  </conditionalFormatting>
  <conditionalFormatting sqref="G33">
    <cfRule type="expression" dxfId="1189" priority="19" stopIfTrue="1">
      <formula>IF(OR($BK33="not",$BK33="resign",$BK33="resign",$BK33="end",$BK33="terminated",$BK33="permanent"),"TRUE","FALSE")</formula>
    </cfRule>
  </conditionalFormatting>
  <conditionalFormatting sqref="G34">
    <cfRule type="expression" dxfId="1190" priority="20" stopIfTrue="1">
      <formula>IF(OR($BK34="not",$BK34="resign",$BK34="resign",$BK34="end",$BK34="terminated",$BK34="permanent"),"TRUE","FALSE")</formula>
    </cfRule>
  </conditionalFormatting>
  <conditionalFormatting sqref="G35">
    <cfRule type="expression" dxfId="1191" priority="21" stopIfTrue="1">
      <formula>IF(OR($BK35="not",$BK35="resign",$BK35="resign",$BK35="end",$BK35="terminated",$BK35="permanent"),"TRUE","FALSE")</formula>
    </cfRule>
  </conditionalFormatting>
  <conditionalFormatting sqref="G36">
    <cfRule type="expression" dxfId="1192" priority="22" stopIfTrue="1">
      <formula>IF(OR($BK36="not",$BK36="resign",$BK36="resign",$BK36="end",$BK36="terminated",$BK36="permanent"),"TRUE","FALSE")</formula>
    </cfRule>
  </conditionalFormatting>
  <conditionalFormatting sqref="AD56">
    <cfRule type="expression" dxfId="1193" priority="23" stopIfTrue="1">
      <formula>IF(OR(#REF!="not",#REF!="resign",#REF!="resign",#REF!="end",#REF!="terminated",#REF!="permanent"),"TRUE","FALSE")</formula>
    </cfRule>
  </conditionalFormatting>
  <conditionalFormatting sqref="AA37">
    <cfRule type="expression" dxfId="1194" priority="24" stopIfTrue="1">
      <formula>IF(OR($BK37="not",$BK37="resign",$BK37="resign",$BK37="end",$BK37="terminated",$BK37="permanent"),"TRUE","FALSE")</formula>
    </cfRule>
  </conditionalFormatting>
  <conditionalFormatting sqref="B38">
    <cfRule type="expression" dxfId="1195" priority="25" stopIfTrue="1">
      <formula>IF(OR($BK38="not",$BK38="resign",$BK38="resign",$BK38="end",$BK38="terminated",$BK38="permanent"),"TRUE","FALSE")</formula>
    </cfRule>
  </conditionalFormatting>
  <conditionalFormatting sqref="AA38">
    <cfRule type="expression" dxfId="1196" priority="26" stopIfTrue="1">
      <formula>IF(OR($BK38="not",$BK38="resign",$BK38="resign",$BK38="end",$BK38="terminated",$BK38="permanent"),"TRUE","FALSE")</formula>
    </cfRule>
  </conditionalFormatting>
  <conditionalFormatting sqref="BM42">
    <cfRule type="expression" dxfId="1197" priority="27" stopIfTrue="1">
      <formula>IF(OR($BK42="not",$BK42="resign",$BK42="resign",$BK42="end",$BK42="terminated",$BK42="permanent"),"TRUE","FALSE")</formula>
    </cfRule>
  </conditionalFormatting>
  <conditionalFormatting sqref="AL68:AN68;B68;X68:Y68;AA68:AJ68;D68">
    <cfRule type="expression" dxfId="1198" priority="28" stopIfTrue="1">
      <formula>IF(OR(#REF!="not",#REF!="resign",#REF!="resign",#REF!="end",#REF!="terminated",#REF!="permanent"),"TRUE","FALSE")</formula>
    </cfRule>
  </conditionalFormatting>
  <conditionalFormatting sqref="L37">
    <cfRule type="expression" dxfId="1199" priority="29" stopIfTrue="1">
      <formula>IF(OR($BK37="not",$BK37="resign",$BK37="resign",$BK37="end",$BK37="terminated",$BK37="permanent"),"TRUE","FALSE")</formula>
    </cfRule>
  </conditionalFormatting>
  <conditionalFormatting sqref="AB40:AD41;AF40:AJ41">
    <cfRule type="expression" dxfId="1200" priority="30" stopIfTrue="1">
      <formula>IF(OR($BK40="not",$BK40="resign",$BK40="resign",$BK40="end",$BK40="terminated",$BK40="permanent"),"TRUE","FALSE")</formula>
    </cfRule>
  </conditionalFormatting>
  <conditionalFormatting sqref="AA40:AA41">
    <cfRule type="expression" dxfId="1201" priority="31" stopIfTrue="1">
      <formula>IF(OR($BK40="not",$BK40="resign",$BK40="resign",$BK40="end",$BK40="terminated",$BK40="permanent"),"TRUE","FALSE")</formula>
    </cfRule>
  </conditionalFormatting>
  <conditionalFormatting sqref="R60:W60">
    <cfRule type="expression" dxfId="1202" priority="32" stopIfTrue="1">
      <formula>IF(OR($BK60="not",$BK60="resign",$BK60="resign",$BK60="end",$BK60="terminated",$BK60="permanent"),"TRUE","FALSE")</formula>
    </cfRule>
  </conditionalFormatting>
  <conditionalFormatting sqref="K61:Q61">
    <cfRule type="expression" dxfId="1203" priority="33" stopIfTrue="1">
      <formula>IF(OR($AY61="not",$AY61="resign",$AY61="resign",$AY61="end",$AY61="terminated",$AY61="permanent"),"TRUE","FALSE")</formula>
    </cfRule>
  </conditionalFormatting>
  <conditionalFormatting sqref="R62:W62">
    <cfRule type="expression" dxfId="1204" priority="34" stopIfTrue="1">
      <formula>IF(OR($BK62="not",$BK62="resign",$BK62="resign",$BK62="end",$BK62="terminated",$BK62="permanent"),"TRUE","FALSE")</formula>
    </cfRule>
  </conditionalFormatting>
  <conditionalFormatting sqref="D62">
    <cfRule type="expression" dxfId="1205" priority="35" stopIfTrue="1">
      <formula>IF(OR($BK62="not",$BK62="resign",$BK62="resign",$BK62="end",$BK62="terminated",$BK62="permanent"),"TRUE","FALSE")</formula>
    </cfRule>
  </conditionalFormatting>
  <conditionalFormatting sqref="I17:K17">
    <cfRule type="expression" dxfId="1206" priority="36" stopIfTrue="1">
      <formula>IF(OR($BK17="not",$BK17="resign",$BK17="resign",$BK17="end",$BK17="terminated",$BK17="permanent"),"TRUE","FALSE")</formula>
    </cfRule>
  </conditionalFormatting>
  <conditionalFormatting sqref="N14">
    <cfRule type="expression" dxfId="1207" priority="37" stopIfTrue="1">
      <formula>IF(OR($BK14="not",$BK14="resign",$BK14="resign",$BK14="end",$BK14="terminated",$BK14="permanent"),"TRUE","FALSE")</formula>
    </cfRule>
  </conditionalFormatting>
  <conditionalFormatting sqref="X69:Y69;AB69:AJ69;B69">
    <cfRule type="expression" dxfId="1208" priority="38" stopIfTrue="1">
      <formula>IF(OR(#REF!="not",#REF!="resign",#REF!="resign",#REF!="end",#REF!="terminated",#REF!="permanent"),"TRUE","FALSE")</formula>
    </cfRule>
  </conditionalFormatting>
  <conditionalFormatting sqref="AA69">
    <cfRule type="expression" dxfId="1209" priority="39" stopIfTrue="1">
      <formula>IF(OR(#REF!="not",#REF!="resign",#REF!="resign",#REF!="end",#REF!="terminated",#REF!="permanent"),"TRUE","FALSE")</formula>
    </cfRule>
  </conditionalFormatting>
  <conditionalFormatting sqref="AM69:AN69">
    <cfRule type="expression" dxfId="1210" priority="40" stopIfTrue="1">
      <formula>IF(OR(#REF!="not",#REF!="resign",#REF!="resign",#REF!="end",#REF!="terminated",#REF!="permanent"),"TRUE","FALSE")</formula>
    </cfRule>
  </conditionalFormatting>
  <conditionalFormatting sqref="D69">
    <cfRule type="expression" dxfId="1211" priority="41" stopIfTrue="1">
      <formula>IF(OR(#REF!="not",#REF!="resign",#REF!="resign",#REF!="end",#REF!="terminated",#REF!="permanent"),"TRUE","FALSE")</formula>
    </cfRule>
  </conditionalFormatting>
  <conditionalFormatting sqref="B64:H64;L64:AN64;AB65:AN65;X65:Y65;AM66:AN66;B66">
    <cfRule type="expression" dxfId="1212" priority="42" stopIfTrue="1">
      <formula>IF(OR($BK64="not",$BK64="resign",$BK64="resign",$BK64="end",$BK64="terminated",$BK64="permanent"),"TRUE","FALSE")</formula>
    </cfRule>
  </conditionalFormatting>
  <conditionalFormatting sqref="I64:K64">
    <cfRule type="expression" dxfId="1213" priority="43" stopIfTrue="1">
      <formula>IF(OR($BK64="not",$BK64="resign",$BK64="resign",$BK64="end",$BK64="terminated",$BK64="permanent"),"TRUE","FALSE")</formula>
    </cfRule>
  </conditionalFormatting>
  <conditionalFormatting sqref="B65">
    <cfRule type="expression" dxfId="1214" priority="44" stopIfTrue="1">
      <formula>IF(OR($BK65="not",$BK65="resign",$BK65="resign",$BK65="end",$BK65="terminated",$BK65="permanent"),"TRUE","FALSE")</formula>
    </cfRule>
  </conditionalFormatting>
  <conditionalFormatting sqref="AA65">
    <cfRule type="expression" dxfId="1215" priority="45" stopIfTrue="1">
      <formula>IF(OR($BK65="not",$BK65="resign",$BK65="resign",$BK65="end",$BK65="terminated",$BK65="permanent"),"TRUE","FALSE")</formula>
    </cfRule>
  </conditionalFormatting>
  <conditionalFormatting sqref="D65">
    <cfRule type="expression" dxfId="1216" priority="46" stopIfTrue="1">
      <formula>IF(OR($BK65="not",$BK65="resign",$BK65="resign",$BK65="end",$BK65="terminated",$BK65="permanent"),"TRUE","FALSE")</formula>
    </cfRule>
  </conditionalFormatting>
  <conditionalFormatting sqref="Z65">
    <cfRule type="expression" dxfId="1217" priority="47" stopIfTrue="1">
      <formula>IF(OR($BK65="not",$BK65="resign",$BK65="resign",$BK65="end",$BK65="terminated",$BK65="permanent"),"TRUE","FALSE")</formula>
    </cfRule>
  </conditionalFormatting>
  <conditionalFormatting sqref="L65">
    <cfRule type="expression" dxfId="1218" priority="48" stopIfTrue="1">
      <formula>IF(OR($BK65="not",$BK65="resign",$BK65="resign",$BK65="end",$BK65="terminated",$BK65="permanent"),"TRUE","FALSE")</formula>
    </cfRule>
  </conditionalFormatting>
  <conditionalFormatting sqref="X66:Y66">
    <cfRule type="expression" dxfId="1219" priority="49" stopIfTrue="1">
      <formula>IF(OR($BK66="not",$BK66="resign",$BK66="resign",$BK66="end",$BK66="terminated",$BK66="permanent"),"TRUE","FALSE")</formula>
    </cfRule>
  </conditionalFormatting>
  <conditionalFormatting sqref="AB66:AD66;AF66:AJ66">
    <cfRule type="expression" dxfId="1220" priority="50" stopIfTrue="1">
      <formula>IF(OR($BK66="not",$BK66="resign",$BK66="resign",$BK66="end",$BK66="terminated",$BK66="permanent"),"TRUE","FALSE")</formula>
    </cfRule>
  </conditionalFormatting>
  <conditionalFormatting sqref="AA66">
    <cfRule type="expression" dxfId="1221" priority="51" stopIfTrue="1">
      <formula>IF(OR($BK66="not",$BK66="resign",$BK66="resign",$BK66="end",$BK66="terminated",$BK66="permanent"),"TRUE","FALSE")</formula>
    </cfRule>
  </conditionalFormatting>
  <conditionalFormatting sqref="D66">
    <cfRule type="expression" dxfId="1222" priority="52" stopIfTrue="1">
      <formula>IF(OR($BK66="not",$BK66="resign",$BK66="resign",$BK66="end",$BK66="terminated",$BK66="permanent"),"TRUE","FALSE")</formula>
    </cfRule>
  </conditionalFormatting>
  <conditionalFormatting sqref="AE66">
    <cfRule type="expression" dxfId="1223" priority="53" stopIfTrue="1">
      <formula>IF(OR($BK66="not",$BK66="resign",$BK66="resign",$BK66="end",$BK66="terminated",$BK66="permanent"),"TRUE","FALSE")</formula>
    </cfRule>
  </conditionalFormatting>
  <conditionalFormatting sqref="Y1:Y18;Y68:Y73;Y82:Y1048576;Y22;Y45:Y66;Y26:Y43;Y24">
    <cfRule type="expression" dxfId="1224" priority="54" stopIfTrue="1">
      <formula>NOT(ISERROR(SEARCH("warning",Y1)))</formula>
    </cfRule>
  </conditionalFormatting>
  <conditionalFormatting sqref="AB42:AC42;AF42:AJ42">
    <cfRule type="expression" dxfId="1225" priority="55" stopIfTrue="1">
      <formula>IF(OR($BK42="not",$BK42="resign",$BK42="resign",$BK42="end",$BK42="terminated",$BK42="permanent"),"TRUE","FALSE")</formula>
    </cfRule>
  </conditionalFormatting>
  <conditionalFormatting sqref="AA42">
    <cfRule type="expression" dxfId="1226" priority="56" stopIfTrue="1">
      <formula>IF(OR($BK42="not",$BK42="resign",$BK42="resign",$BK42="end",$BK42="terminated",$BK42="permanent"),"TRUE","FALSE")</formula>
    </cfRule>
  </conditionalFormatting>
  <conditionalFormatting sqref="AM42:AN42">
    <cfRule type="expression" dxfId="1227" priority="57" stopIfTrue="1">
      <formula>IF(OR($BK42="not",$BK42="resign",$BK42="resign",$BK42="end",$BK42="terminated",$BK42="permanent"),"TRUE","FALSE")</formula>
    </cfRule>
  </conditionalFormatting>
  <conditionalFormatting sqref="B42">
    <cfRule type="expression" dxfId="1228" priority="58" stopIfTrue="1">
      <formula>IF(OR($BK42="not",$BK42="resign",$BK42="resign",$BK42="end",$BK42="terminated",$BK42="permanent"),"TRUE","FALSE")</formula>
    </cfRule>
  </conditionalFormatting>
  <conditionalFormatting sqref="B67:AN67">
    <cfRule type="expression" dxfId="1229" priority="59" stopIfTrue="1">
      <formula>IF(OR($BK67="not",$BK67="resign",$BK67="resign",$BK67="end",$BK67="terminated",$BK67="permanent"),"TRUE","FALSE")</formula>
    </cfRule>
  </conditionalFormatting>
  <conditionalFormatting sqref="Y19:Y21">
    <cfRule type="expression" dxfId="1230" priority="60" stopIfTrue="1">
      <formula>NOT(ISERROR(SEARCH("warning",Y19)))</formula>
    </cfRule>
  </conditionalFormatting>
  <conditionalFormatting sqref="K20:L21">
    <cfRule type="expression" dxfId="1231" priority="61" stopIfTrue="1">
      <formula>IF(OR($AY20="not",$AY20="resign",$AY20="resign",$AY20="end",$AY20="terminated",$AY20="permanent"),"TRUE","FALSE")</formula>
    </cfRule>
  </conditionalFormatting>
  <conditionalFormatting sqref="AM73:AN73">
    <cfRule type="expression" dxfId="1232" priority="62" stopIfTrue="1">
      <formula>IF(OR(#REF!="not",#REF!="resign",#REF!="resign",#REF!="end",#REF!="terminated",#REF!="permanent"),"TRUE","FALSE")</formula>
    </cfRule>
  </conditionalFormatting>
  <conditionalFormatting sqref="AB43:AD43;AF43:AJ43">
    <cfRule type="expression" dxfId="1233" priority="63" stopIfTrue="1">
      <formula>IF(OR($BK43="not",$BK43="resign",$BK43="resign",$BK43="end",$BK43="terminated",$BK43="permanent"),"TRUE","FALSE")</formula>
    </cfRule>
  </conditionalFormatting>
  <conditionalFormatting sqref="AM43:AN43">
    <cfRule type="expression" dxfId="1234" priority="64" stopIfTrue="1">
      <formula>IF(OR($BK43="not",$BK43="resign",$BK43="resign",$BK43="end",$BK43="terminated",$BK43="permanent"),"TRUE","FALSE")</formula>
    </cfRule>
  </conditionalFormatting>
  <conditionalFormatting sqref="B43">
    <cfRule type="expression" dxfId="1235" priority="65" stopIfTrue="1">
      <formula>IF(OR($BK43="not",$BK43="resign",$BK43="resign",$BK43="end",$BK43="terminated",$BK43="permanent"),"TRUE","FALSE")</formula>
    </cfRule>
  </conditionalFormatting>
  <conditionalFormatting sqref="B70:C72;E70:AN72">
    <cfRule type="expression" dxfId="1236" priority="66" stopIfTrue="1">
      <formula>IF(OR(#REF!="not",#REF!="resign",#REF!="resign",#REF!="end",#REF!="terminated",#REF!="permanent"),"TRUE","FALSE")</formula>
    </cfRule>
  </conditionalFormatting>
  <conditionalFormatting sqref="AA44:AJ44;AM44">
    <cfRule type="expression" dxfId="1237" priority="67" stopIfTrue="1">
      <formula>IF(OR($BK44="not",$BK44="resign",$BK44="resign",$BK44="end",$BK44="terminated",$BK44="permanent"),"TRUE","FALSE")</formula>
    </cfRule>
  </conditionalFormatting>
  <conditionalFormatting sqref="X44:Y44">
    <cfRule type="expression" dxfId="1238" priority="68" stopIfTrue="1">
      <formula>IF(OR($BK44="not",$BK44="resign",$BK44="resign",$BK44="end",$BK44="terminated",$BK44="permanent"),"TRUE","FALSE")</formula>
    </cfRule>
  </conditionalFormatting>
  <conditionalFormatting sqref="Z37">
    <cfRule type="expression" dxfId="1239" priority="69" stopIfTrue="1">
      <formula>IF(OR($BK37="not",$BK37="resign",$BK37="resign",$BK37="end",$BK37="terminated",$BK37="permanent"),"TRUE","FALSE")</formula>
    </cfRule>
  </conditionalFormatting>
  <conditionalFormatting sqref="Z40">
    <cfRule type="expression" dxfId="1240" priority="70" stopIfTrue="1">
      <formula>IF(OR($BK40="not",$BK40="resign",$BK40="resign",$BK40="end",$BK40="terminated",$BK40="permanent"),"TRUE","FALSE")</formula>
    </cfRule>
  </conditionalFormatting>
  <conditionalFormatting sqref="Z43">
    <cfRule type="expression" dxfId="1241" priority="71" stopIfTrue="1">
      <formula>IF(OR($BK43="not",$BK43="resign",$BK43="resign",$BK43="end",$BK43="terminated",$BK43="permanent"),"TRUE","FALSE")</formula>
    </cfRule>
  </conditionalFormatting>
  <conditionalFormatting sqref="AD42">
    <cfRule type="expression" dxfId="1242" priority="72" stopIfTrue="1">
      <formula>IF(OR($BK42="not",$BK42="resign",$BK42="resign",$BK42="end",$BK42="terminated",$BK42="permanent"),"TRUE","FALSE")</formula>
    </cfRule>
  </conditionalFormatting>
  <conditionalFormatting sqref="Z42">
    <cfRule type="expression" dxfId="1243" priority="73" stopIfTrue="1">
      <formula>IF(OR($BK42="not",$BK42="resign",$BK42="resign",$BK42="end",$BK42="terminated",$BK42="permanent"),"TRUE","FALSE")</formula>
    </cfRule>
  </conditionalFormatting>
  <conditionalFormatting sqref="Z41">
    <cfRule type="expression" dxfId="1244" priority="74" stopIfTrue="1">
      <formula>IF(OR($BK41="not",$BK41="resign",$BK41="resign",$BK41="end",$BK41="terminated",$BK41="permanent"),"TRUE","FALSE")</formula>
    </cfRule>
  </conditionalFormatting>
  <conditionalFormatting sqref="Z39">
    <cfRule type="expression" dxfId="1245" priority="75" stopIfTrue="1">
      <formula>IF(OR($BK39="not",$BK39="resign",$BK39="resign",$BK39="end",$BK39="terminated",$BK39="permanent"),"TRUE","FALSE")</formula>
    </cfRule>
  </conditionalFormatting>
  <conditionalFormatting sqref="Z38">
    <cfRule type="expression" dxfId="1246" priority="76" stopIfTrue="1">
      <formula>IF(OR($BK38="not",$BK38="resign",$BK38="resign",$BK38="end",$BK38="terminated",$BK38="permanent"),"TRUE","FALSE")</formula>
    </cfRule>
  </conditionalFormatting>
  <conditionalFormatting sqref="N37">
    <cfRule type="expression" dxfId="1247" priority="77" stopIfTrue="1">
      <formula>IF(OR($BK37="not",$BK37="resign",$BK37="resign",$BK37="end",$BK37="terminated",$BK37="permanent"),"TRUE","FALSE")</formula>
    </cfRule>
  </conditionalFormatting>
  <conditionalFormatting sqref="M37">
    <cfRule type="expression" dxfId="1248" priority="78" stopIfTrue="1">
      <formula>IF(OR($BK37="not",$BK37="resign",$BK37="resign",$BK37="end",$BK37="terminated",$BK37="permanent"),"TRUE","FALSE")</formula>
    </cfRule>
  </conditionalFormatting>
  <conditionalFormatting sqref="Q14">
    <cfRule type="expression" dxfId="1249" priority="79" stopIfTrue="1">
      <formula>IF(OR($BK14="not",$BK14="resign",$BK14="resign",$BK14="end",$BK14="terminated",$BK14="permanent"),"TRUE","FALSE")</formula>
    </cfRule>
  </conditionalFormatting>
  <conditionalFormatting sqref="S14">
    <cfRule type="expression" dxfId="1250" priority="80" stopIfTrue="1">
      <formula>IF(OR($BK14="not",$BK14="resign",$BK14="resign",$BK14="end",$BK14="terminated",$BK14="permanent"),"TRUE","FALSE")</formula>
    </cfRule>
  </conditionalFormatting>
  <conditionalFormatting sqref="AA45:AJ45;AM45:AN45;B45">
    <cfRule type="expression" dxfId="1251" priority="81" stopIfTrue="1">
      <formula>IF(OR($BK45="not",$BK45="resign",$BK45="resign",$BK45="end",$BK45="terminated",$BK45="permanent"),"TRUE","FALSE")</formula>
    </cfRule>
  </conditionalFormatting>
  <conditionalFormatting sqref="AB75:AJ75;AM75:AN75;AA74:AA75;X74:Y75;AE74;B74:B75">
    <cfRule type="expression" dxfId="1252" priority="82" stopIfTrue="1">
      <formula>IF(OR($BK74="not",$BK74="resign",$BK74="resign",$BK74="end",$BK74="terminated",$BK74="permanent"),"TRUE","FALSE")</formula>
    </cfRule>
  </conditionalFormatting>
  <conditionalFormatting sqref="AB74:AD74;AF74:AJ74">
    <cfRule type="expression" dxfId="1253" priority="83" stopIfTrue="1">
      <formula>IF(OR($BK74="not",$BK74="resign",$BK74="resign",$BK74="end",$BK74="terminated",$BK74="permanent"),"TRUE","FALSE")</formula>
    </cfRule>
  </conditionalFormatting>
  <conditionalFormatting sqref="AM74:AN74">
    <cfRule type="expression" dxfId="1254" priority="84" stopIfTrue="1">
      <formula>IF(OR($BK74="not",$BK74="resign",$BK74="resign",$BK74="end",$BK74="terminated",$BK74="permanent"),"TRUE","FALSE")</formula>
    </cfRule>
  </conditionalFormatting>
  <conditionalFormatting sqref="X46:X48">
    <cfRule type="expression" dxfId="1255" priority="85" stopIfTrue="1">
      <formula>IF(OR($BK46="not",$BK46="resign",$BK46="resign",$BK46="end",$BK46="terminated",$BK46="permanent"),"TRUE","FALSE")</formula>
    </cfRule>
  </conditionalFormatting>
  <conditionalFormatting sqref="AA46:AJ46;AM46:AN46;B46">
    <cfRule type="expression" dxfId="1256" priority="86" stopIfTrue="1">
      <formula>IF(OR($BK46="not",$BK46="resign",$BK46="resign",$BK46="end",$BK46="terminated",$BK46="permanent"),"TRUE","FALSE")</formula>
    </cfRule>
  </conditionalFormatting>
  <conditionalFormatting sqref="AA76:AJ76;AM76:AN76">
    <cfRule type="expression" dxfId="1257" priority="87" stopIfTrue="1">
      <formula>IF(OR($BK76="not",$BK76="resign",$BK76="resign",$BK76="end",$BK76="terminated",$BK76="permanent"),"TRUE","FALSE")</formula>
    </cfRule>
  </conditionalFormatting>
  <conditionalFormatting sqref="Y76">
    <cfRule type="expression" dxfId="1258" priority="88" stopIfTrue="1">
      <formula>NOT(ISERROR(SEARCH("warning",Y76)))</formula>
    </cfRule>
  </conditionalFormatting>
  <conditionalFormatting sqref="AA77:AJ77;AM77">
    <cfRule type="expression" dxfId="1259" priority="89" stopIfTrue="1">
      <formula>IF(OR($BK77="not",$BK77="resign",$BK77="resign",$BK77="end",$BK77="terminated",$BK77="permanent"),"TRUE","FALSE")</formula>
    </cfRule>
  </conditionalFormatting>
  <conditionalFormatting sqref="AA78:AJ78;AM78">
    <cfRule type="expression" dxfId="1260" priority="90" stopIfTrue="1">
      <formula>IF(OR($BK78="not",$BK78="resign",$BK78="resign",$BK78="end",$BK78="terminated",$BK78="permanent"),"TRUE","FALSE")</formula>
    </cfRule>
  </conditionalFormatting>
  <conditionalFormatting sqref="X77:Y77">
    <cfRule type="expression" dxfId="1261" priority="91" stopIfTrue="1">
      <formula>IF(OR($BK77="not",$BK77="resign",$BK77="resign",$BK77="end",$BK77="terminated",$BK77="permanent"),"TRUE","FALSE")</formula>
    </cfRule>
  </conditionalFormatting>
  <conditionalFormatting sqref="X78:Y78">
    <cfRule type="expression" dxfId="1262" priority="92" stopIfTrue="1">
      <formula>IF(OR($BK78="not",$BK78="resign",$BK78="resign",$BK78="end",$BK78="terminated",$BK78="permanent"),"TRUE","FALSE")</formula>
    </cfRule>
  </conditionalFormatting>
  <conditionalFormatting sqref="AA79:AJ79;AM79;B76:B79">
    <cfRule type="expression" dxfId="1263" priority="93" stopIfTrue="1">
      <formula>IF(OR($BK76="not",$BK76="resign",$BK76="resign",$BK76="end",$BK76="terminated",$BK76="permanent"),"TRUE","FALSE")</formula>
    </cfRule>
  </conditionalFormatting>
  <conditionalFormatting sqref="X79:Y79">
    <cfRule type="expression" dxfId="1264" priority="94" stopIfTrue="1">
      <formula>IF(OR($BK79="not",$BK79="resign",$BK79="resign",$BK79="end",$BK79="terminated",$BK79="permanent"),"TRUE","FALSE")</formula>
    </cfRule>
  </conditionalFormatting>
  <conditionalFormatting sqref="AN77:AN79">
    <cfRule type="expression" dxfId="1265" priority="95" stopIfTrue="1">
      <formula>IF(OR($BK77="not",$BK77="resign",$BK77="resign",$BK77="end",$BK77="terminated",$BK77="permanent"),"TRUE","FALSE")</formula>
    </cfRule>
  </conditionalFormatting>
  <conditionalFormatting sqref="AM80:AN80;B80">
    <cfRule type="expression" dxfId="1266" priority="96" stopIfTrue="1">
      <formula>IF(OR($BK80="not",$BK80="resign",$BK80="resign",$BK80="end",$BK80="terminated",$BK80="permanent"),"TRUE","FALSE")</formula>
    </cfRule>
  </conditionalFormatting>
  <conditionalFormatting sqref="X80:Y80">
    <cfRule type="expression" dxfId="1267" priority="97" stopIfTrue="1">
      <formula>IF(OR($BK80="not",$BK80="resign",$BK80="resign",$BK80="end",$BK80="terminated",$BK80="permanent"),"TRUE","FALSE")</formula>
    </cfRule>
  </conditionalFormatting>
  <conditionalFormatting sqref="AB80:AD80;AF80:AJ80">
    <cfRule type="expression" dxfId="1268" priority="98" stopIfTrue="1">
      <formula>IF(OR($BK80="not",$BK80="resign",$BK80="resign",$BK80="end",$BK80="terminated",$BK80="permanent"),"TRUE","FALSE")</formula>
    </cfRule>
  </conditionalFormatting>
  <conditionalFormatting sqref="AA80">
    <cfRule type="expression" dxfId="1269" priority="99" stopIfTrue="1">
      <formula>IF(OR($BK80="not",$BK80="resign",$BK80="resign",$BK80="end",$BK80="terminated",$BK80="permanent"),"TRUE","FALSE")</formula>
    </cfRule>
  </conditionalFormatting>
  <conditionalFormatting sqref="D80">
    <cfRule type="expression" dxfId="1270" priority="100" stopIfTrue="1">
      <formula>IF(OR($BK80="not",$BK80="resign",$BK80="resign",$BK80="end",$BK80="terminated",$BK80="permanent"),"TRUE","FALSE")</formula>
    </cfRule>
  </conditionalFormatting>
  <conditionalFormatting sqref="AE80">
    <cfRule type="expression" dxfId="1271" priority="101" stopIfTrue="1">
      <formula>IF(OR($BK80="not",$BK80="resign",$BK80="resign",$BK80="end",$BK80="terminated",$BK80="permanent"),"TRUE","FALSE")</formula>
    </cfRule>
  </conditionalFormatting>
  <conditionalFormatting sqref="BM81;AE81;X81:Y81">
    <cfRule type="expression" dxfId="1272" priority="102" stopIfTrue="1">
      <formula>IF(OR($BK81="not",$BK81="resign",$BK81="resign",$BK81="end",$BK81="terminated",$BK81="permanent"),"TRUE","FALSE")</formula>
    </cfRule>
  </conditionalFormatting>
  <conditionalFormatting sqref="AB81:AD81;AF81:AJ81">
    <cfRule type="expression" dxfId="1273" priority="103" stopIfTrue="1">
      <formula>IF(OR($BK81="not",$BK81="resign",$BK81="resign",$BK81="end",$BK81="terminated",$BK81="permanent"),"TRUE","FALSE")</formula>
    </cfRule>
  </conditionalFormatting>
  <conditionalFormatting sqref="AA81">
    <cfRule type="expression" dxfId="1274" priority="104" stopIfTrue="1">
      <formula>IF(OR($BK81="not",$BK81="resign",$BK81="resign",$BK81="end",$BK81="terminated",$BK81="permanent"),"TRUE","FALSE")</formula>
    </cfRule>
  </conditionalFormatting>
  <conditionalFormatting sqref="AM81:AN81">
    <cfRule type="expression" dxfId="1275" priority="105" stopIfTrue="1">
      <formula>IF(OR($BK81="not",$BK81="resign",$BK81="resign",$BK81="end",$BK81="terminated",$BK81="permanent"),"TRUE","FALSE")</formula>
    </cfRule>
  </conditionalFormatting>
  <conditionalFormatting sqref="B81">
    <cfRule type="expression" dxfId="1276" priority="106" stopIfTrue="1">
      <formula>IF(OR($BK81="not",$BK81="resign",$BK81="resign",$BK81="end",$BK81="terminated",$BK81="permanent"),"TRUE","FALSE")</formula>
    </cfRule>
  </conditionalFormatting>
  <conditionalFormatting sqref="AA47:AD47;AM47:AN47;B47;AF47:AJ47">
    <cfRule type="expression" dxfId="1277" priority="107" stopIfTrue="1">
      <formula>IF(OR($BK47="not",$BK47="resign",$BK47="resign",$BK47="end",$BK47="terminated",$BK47="permanent"),"TRUE","FALSE")</formula>
    </cfRule>
  </conditionalFormatting>
  <conditionalFormatting sqref="AA48:AD48;AM48:AN48;B48;AF48:AJ48">
    <cfRule type="expression" dxfId="1278" priority="108" stopIfTrue="1">
      <formula>IF(OR($BK48="not",$BK48="resign",$BK48="resign",$BK48="end",$BK48="terminated",$BK48="permanent"),"TRUE","FALSE")</formula>
    </cfRule>
  </conditionalFormatting>
  <conditionalFormatting sqref="AE47">
    <cfRule type="expression" dxfId="1279" priority="109" stopIfTrue="1">
      <formula>IF(OR($BK47="not",$BK47="resign",$BK47="resign",$BK47="end",$BK47="terminated",$BK47="permanent"),"TRUE","FALSE")</formula>
    </cfRule>
  </conditionalFormatting>
  <conditionalFormatting sqref="AE48">
    <cfRule type="expression" dxfId="1280" priority="110" stopIfTrue="1">
      <formula>IF(OR($BK48="not",$BK48="resign",$BK48="resign",$BK48="end",$BK48="terminated",$BK48="permanent"),"TRUE","FALSE")</formula>
    </cfRule>
  </conditionalFormatting>
  <conditionalFormatting sqref="X25:Y25">
    <cfRule type="expression" dxfId="1281" priority="111" stopIfTrue="1">
      <formula>IF($Y25="warning",TRUE,FALSE)</formula>
    </cfRule>
  </conditionalFormatting>
  <conditionalFormatting sqref="X23:Y23">
    <cfRule type="expression" dxfId="1282" priority="112" stopIfTrue="1">
      <formula>IF($Y23="warning",TRUE,FALSE)</formula>
    </cfRule>
  </conditionalFormatting>
  <conditionalFormatting sqref="AN23">
    <cfRule type="expression" dxfId="1283" priority="113" stopIfTrue="1">
      <formula>IF(OR($BK23="not",$BK23="resign",$BK23="resign",$BK23="end",$BK23="terminated",$BK23="permanent"),"TRUE","FALSE")</formula>
    </cfRule>
  </conditionalFormatting>
  <hyperlinks>
    <hyperlink ref="AM63" location="" display="lindaindrianti@gmail.com"/>
    <hyperlink ref="AM57" location="" display="paramita_thya@rocketmail.com, thyaparamita28@gmail.com"/>
    <hyperlink ref="AM32" location="" display="trimayasa@yahoo.com"/>
    <hyperlink ref="AM33" location="" display="ernawati_tns_plg@yahoo.com"/>
    <hyperlink ref="AI63" location="" display="66.366.246.8-403.000"/>
    <hyperlink ref="AI57" location="" display="554868950432000"/>
    <hyperlink ref="AI32" location="" display="71.432.097.5.901.000"/>
    <hyperlink ref="AI33" location="" display="68.068.870.2.301.000"/>
    <hyperlink ref="AH32" location="" display="5171042006760006"/>
    <hyperlink ref="AH33" location="" display="1671104104740006"/>
    <hyperlink ref="AM37" location="" display="didikhadhiprayitno@gmail.com, didikhadhiprayitno08@gmail.com"/>
    <hyperlink ref="AM34" location="" display="suseno@tnsglobal.com "/>
    <hyperlink ref="AM29" location="" display="karnopa160411@gmail.com"/>
    <hyperlink ref="AM38" location="" display="sakirahmega@gmail.com"/>
    <hyperlink ref="AM39" location="" display="fithand78@gmail.com"/>
    <hyperlink ref="AM30" location="" display="arifsuryana10@gmail.com"/>
    <hyperlink ref="AM56" location="" display="witgarr@gmail.com       "/>
    <hyperlink ref="AM41" location="" display="agista121@gmail.com"/>
    <hyperlink ref="AM69" location="" display="merlina.s.romadhon@gmail.com"/>
    <hyperlink ref="AM42" location="" display="ulandaridyah8@gmail.com"/>
    <hyperlink ref="AM73" location="" display="edynaayu@gmail.com"/>
    <hyperlink ref="AM74" location="" display="s.shadira@gmail.com"/>
    <hyperlink ref="AM75" r:id="rId4" display="samiranadeen@gmail.com"/>
    <hyperlink ref="AM76" r:id="rId5" display="HANIEF.RACHMANU21@GMAIL.COM"/>
    <hyperlink ref="AM77" r:id="rId6" display="wilonaok@gmail.com"/>
    <hyperlink ref="AM78" r:id="rId7" display="yosephine.devina.t@gmail.com"/>
    <hyperlink ref="AM79" r:id="rId8" display="Refi.hasriani@gmail.com"/>
    <hyperlink ref="AM44" r:id="rId7" display="yosephine.devina.t@gmail.com"/>
    <hyperlink ref="AM81" location="" display="wellnicoagain@gmail.com, nicoiskandar12@gmail.com"/>
    <hyperlink ref="AM47" r:id="rId9" display="afia_ramadhani@yahoo.co.id"/>
    <hyperlink ref="AM48" r:id="rId10" display="ferdioren.andrianto@gmail.com"/>
  </hyperlinks>
  <printOptions horizontalCentered="1"/>
  <pageMargins left="0.25" right="0.25" top="0" bottom="0" header="0" footer="0"/>
  <pageSetup paperSize="9" scale="18" orientation="portrait"/>
  <headerFooter alignWithMargins="0"/>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L65"/>
  <sheetViews>
    <sheetView showGridLines="0" topLeftCell="A12" workbookViewId="0">
      <pane xSplit="3" ySplit="2" topLeftCell="R14" activePane="bottomRight" state="frozen"/>
      <selection/>
      <selection pane="topRight"/>
      <selection pane="bottomLeft"/>
      <selection pane="bottomRight" activeCell="V14" sqref="V14"/>
    </sheetView>
  </sheetViews>
  <sheetFormatPr defaultColWidth="9" defaultRowHeight="12.95" customHeight="1"/>
  <cols>
    <col min="1" max="1" width="5.14166666666667" style="94" customWidth="1"/>
    <col min="2" max="2" width="10.425" style="94" customWidth="1"/>
    <col min="3" max="3" width="28.425" style="94" customWidth="1"/>
    <col min="4" max="4" width="17.425" style="94" customWidth="1"/>
    <col min="5" max="5" width="4.425" style="94" customWidth="1"/>
    <col min="6" max="6" width="7.425" style="94" customWidth="1"/>
    <col min="7" max="7" width="30.5666666666667" style="94" customWidth="1"/>
    <col min="8" max="8" width="18" style="94" customWidth="1"/>
    <col min="9" max="10" width="9.14166666666667" style="94" customWidth="1"/>
    <col min="11" max="11" width="12.1416666666667" style="94" customWidth="1"/>
    <col min="12" max="13" width="10.7083333333333" style="94" customWidth="1"/>
    <col min="14" max="14" width="9" style="94" customWidth="1"/>
    <col min="15" max="15" width="9.14166666666667" style="94" customWidth="1"/>
    <col min="16" max="16" width="9" style="94" customWidth="1"/>
    <col min="17" max="17" width="8.85833333333333" style="94" customWidth="1"/>
    <col min="18" max="18" width="8.56666666666667" style="94" customWidth="1"/>
    <col min="19" max="19" width="9.14166666666667" style="94" customWidth="1"/>
    <col min="20" max="20" width="8.56666666666667" style="94" customWidth="1"/>
    <col min="21" max="21" width="8.85833333333333" style="94" customWidth="1"/>
    <col min="22" max="22" width="10.1416666666667" style="94" customWidth="1"/>
    <col min="23" max="23" width="10" style="94" customWidth="1"/>
    <col min="24" max="24" width="9.14166666666667" style="94" customWidth="1"/>
    <col min="25" max="25" width="11.8583333333333" style="94" customWidth="1"/>
    <col min="26" max="26" width="14" style="94" customWidth="1"/>
    <col min="27" max="27" width="32.2833333333333" style="583" customWidth="1"/>
    <col min="28" max="28" width="38.2833333333333" style="94" customWidth="1"/>
    <col min="29" max="29" width="36.425" style="94" customWidth="1"/>
    <col min="30" max="30" width="25.7083333333333" style="94" customWidth="1"/>
    <col min="31" max="31" width="14.8583333333333" style="94" customWidth="1"/>
    <col min="32" max="32" width="10.7083333333333" style="94" customWidth="1"/>
    <col min="33" max="33" width="15" style="94" customWidth="1"/>
    <col min="34" max="34" width="27.2833333333333" style="94" customWidth="1"/>
    <col min="35" max="35" width="32.5666666666667" style="94" customWidth="1"/>
    <col min="36" max="36" width="31.1416666666667" style="94" customWidth="1"/>
    <col min="37" max="37" width="17.5666666666667" style="94" customWidth="1"/>
    <col min="38" max="38" width="23.1416666666667" style="94" customWidth="1"/>
    <col min="39" max="51" width="9.14166666666667" style="94"/>
    <col min="52" max="52" width="3.85833333333333" style="94" customWidth="1"/>
    <col min="53" max="16384" width="9.14166666666667" style="94"/>
  </cols>
  <sheetData>
    <row r="1" s="91" customFormat="1" customHeight="1" spans="1:28">
      <c r="A1" s="96"/>
      <c r="B1" s="96"/>
      <c r="C1" s="96"/>
      <c r="D1" s="96"/>
      <c r="E1" s="96"/>
      <c r="F1" s="96"/>
      <c r="AA1" s="204"/>
      <c r="AB1" s="123" t="s">
        <v>11108</v>
      </c>
    </row>
    <row r="2" s="91" customFormat="1" customHeight="1" spans="1:28">
      <c r="A2" s="96"/>
      <c r="B2" s="96"/>
      <c r="C2" s="96"/>
      <c r="D2" s="96"/>
      <c r="E2" s="96"/>
      <c r="F2" s="96"/>
      <c r="AA2" s="204"/>
      <c r="AB2" s="123" t="s">
        <v>11109</v>
      </c>
    </row>
    <row r="3" s="91" customFormat="1" customHeight="1" spans="1:28">
      <c r="A3" s="96"/>
      <c r="B3" s="96"/>
      <c r="C3" s="96"/>
      <c r="D3" s="96"/>
      <c r="E3" s="96"/>
      <c r="F3" s="96"/>
      <c r="AA3" s="204"/>
      <c r="AB3" s="123" t="s">
        <v>11110</v>
      </c>
    </row>
    <row r="4" s="91" customFormat="1" customHeight="1" spans="1:28">
      <c r="A4" s="96"/>
      <c r="B4" s="96"/>
      <c r="C4" s="96"/>
      <c r="D4" s="96"/>
      <c r="E4" s="96"/>
      <c r="F4" s="96"/>
      <c r="AA4" s="204"/>
      <c r="AB4" s="123" t="s">
        <v>11111</v>
      </c>
    </row>
    <row r="5" s="91" customFormat="1" customHeight="1" spans="1:27">
      <c r="A5" s="96"/>
      <c r="B5" s="96"/>
      <c r="C5" s="96"/>
      <c r="D5" s="96"/>
      <c r="E5" s="96"/>
      <c r="F5" s="96"/>
      <c r="AA5" s="204"/>
    </row>
    <row r="6" s="91" customFormat="1" customHeight="1" spans="1:27">
      <c r="A6" s="96"/>
      <c r="B6" s="96"/>
      <c r="C6" s="96"/>
      <c r="D6" s="96"/>
      <c r="E6" s="96"/>
      <c r="F6" s="96"/>
      <c r="AA6" s="204"/>
    </row>
    <row r="7" s="91" customFormat="1" customHeight="1" spans="3:27">
      <c r="C7" s="96"/>
      <c r="D7" s="96"/>
      <c r="E7" s="96"/>
      <c r="F7" s="96"/>
      <c r="AA7" s="204"/>
    </row>
    <row r="8" s="91" customFormat="1" customHeight="1" spans="1:34">
      <c r="A8" s="97" t="s">
        <v>7926</v>
      </c>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row>
    <row r="9" s="91" customFormat="1" customHeight="1" spans="1:34">
      <c r="A9" s="97" t="s">
        <v>11902</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row>
    <row r="10" s="91" customFormat="1" customHeight="1" spans="1:27">
      <c r="A10" s="97"/>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592"/>
    </row>
    <row r="11" s="91" customFormat="1" customHeight="1" spans="3:27">
      <c r="C11" s="96"/>
      <c r="D11" s="96"/>
      <c r="E11" s="96"/>
      <c r="F11" s="96"/>
      <c r="AA11" s="204"/>
    </row>
    <row r="12" s="91" customFormat="1" ht="22.5" spans="1:37">
      <c r="A12" s="584" t="s">
        <v>0</v>
      </c>
      <c r="B12" s="535" t="s">
        <v>1</v>
      </c>
      <c r="C12" s="98" t="s">
        <v>2</v>
      </c>
      <c r="D12" s="98" t="s">
        <v>3</v>
      </c>
      <c r="E12" s="98" t="s">
        <v>4</v>
      </c>
      <c r="F12" s="98" t="s">
        <v>7929</v>
      </c>
      <c r="G12" s="98" t="s">
        <v>8</v>
      </c>
      <c r="H12" s="98" t="s">
        <v>11903</v>
      </c>
      <c r="I12" s="103" t="s">
        <v>11904</v>
      </c>
      <c r="J12" s="103"/>
      <c r="K12" s="103" t="s">
        <v>11905</v>
      </c>
      <c r="L12" s="103" t="s">
        <v>9</v>
      </c>
      <c r="M12" s="103"/>
      <c r="N12" s="103"/>
      <c r="O12" s="103"/>
      <c r="P12" s="103" t="s">
        <v>13</v>
      </c>
      <c r="Q12" s="103"/>
      <c r="R12" s="103"/>
      <c r="S12" s="103"/>
      <c r="T12" s="103" t="s">
        <v>14</v>
      </c>
      <c r="U12" s="103" t="s">
        <v>15</v>
      </c>
      <c r="V12" s="98" t="s">
        <v>16</v>
      </c>
      <c r="W12" s="189" t="s">
        <v>11906</v>
      </c>
      <c r="X12" s="189" t="s">
        <v>11907</v>
      </c>
      <c r="Y12" s="189" t="s">
        <v>11908</v>
      </c>
      <c r="Z12" s="98" t="s">
        <v>11909</v>
      </c>
      <c r="AA12" s="103" t="s">
        <v>15</v>
      </c>
      <c r="AB12" s="117" t="s">
        <v>11116</v>
      </c>
      <c r="AC12" s="117" t="s">
        <v>28</v>
      </c>
      <c r="AD12" s="118" t="s">
        <v>11426</v>
      </c>
      <c r="AE12" s="597" t="s">
        <v>31</v>
      </c>
      <c r="AF12" s="597" t="s">
        <v>7934</v>
      </c>
      <c r="AG12" s="597" t="s">
        <v>34</v>
      </c>
      <c r="AH12" s="597" t="s">
        <v>11910</v>
      </c>
      <c r="AI12" s="601" t="s">
        <v>30</v>
      </c>
      <c r="AJ12" s="601" t="s">
        <v>11911</v>
      </c>
      <c r="AK12" s="124" t="s">
        <v>36</v>
      </c>
    </row>
    <row r="13" s="91" customFormat="1" ht="20.25" customHeight="1" spans="1:37">
      <c r="A13" s="584"/>
      <c r="B13" s="585"/>
      <c r="C13" s="99"/>
      <c r="D13" s="99"/>
      <c r="E13" s="99"/>
      <c r="F13" s="99"/>
      <c r="G13" s="99"/>
      <c r="H13" s="99"/>
      <c r="I13" s="103" t="s">
        <v>37</v>
      </c>
      <c r="J13" s="103" t="s">
        <v>38</v>
      </c>
      <c r="K13" s="174" t="s">
        <v>37</v>
      </c>
      <c r="L13" s="103" t="s">
        <v>37</v>
      </c>
      <c r="M13" s="103" t="s">
        <v>38</v>
      </c>
      <c r="N13" s="103">
        <v>1</v>
      </c>
      <c r="O13" s="103">
        <v>2</v>
      </c>
      <c r="P13" s="103"/>
      <c r="Q13" s="103"/>
      <c r="R13" s="98"/>
      <c r="S13" s="98"/>
      <c r="T13" s="111"/>
      <c r="U13" s="111"/>
      <c r="V13" s="115"/>
      <c r="W13" s="587"/>
      <c r="X13" s="588"/>
      <c r="Y13" s="588"/>
      <c r="Z13" s="593"/>
      <c r="AA13" s="111"/>
      <c r="AB13" s="119"/>
      <c r="AC13" s="119"/>
      <c r="AD13" s="120"/>
      <c r="AE13" s="598"/>
      <c r="AF13" s="598"/>
      <c r="AG13" s="598"/>
      <c r="AH13" s="598"/>
      <c r="AI13" s="602"/>
      <c r="AJ13" s="602"/>
      <c r="AK13" s="126"/>
    </row>
    <row r="14" s="93" customFormat="1" ht="46.5" customHeight="1" spans="1:37">
      <c r="A14" s="100">
        <f>ROW()-13</f>
        <v>1</v>
      </c>
      <c r="B14" s="100" t="s">
        <v>11912</v>
      </c>
      <c r="C14" s="607" t="s">
        <v>11913</v>
      </c>
      <c r="D14" s="608" t="s">
        <v>11914</v>
      </c>
      <c r="E14" s="102" t="s">
        <v>125</v>
      </c>
      <c r="F14" s="102" t="s">
        <v>404</v>
      </c>
      <c r="G14" s="612" t="s">
        <v>11915</v>
      </c>
      <c r="H14" s="432"/>
      <c r="I14" s="121"/>
      <c r="J14" s="121"/>
      <c r="K14" s="121"/>
      <c r="L14" s="613">
        <v>42422</v>
      </c>
      <c r="M14" s="613">
        <v>42787</v>
      </c>
      <c r="N14" s="613">
        <v>43152</v>
      </c>
      <c r="O14" s="121"/>
      <c r="P14" s="121">
        <v>43153</v>
      </c>
      <c r="Q14" s="614">
        <v>43517</v>
      </c>
      <c r="R14" s="121"/>
      <c r="S14" s="121"/>
      <c r="T14" s="540">
        <f ca="1">SUM(Q14-NOW())</f>
        <v>244.61546296296</v>
      </c>
      <c r="U14" s="106" t="str">
        <f ca="1">IF(T14&lt;=60,"WARNING","ACTIVE")</f>
        <v>ACTIVE</v>
      </c>
      <c r="V14" s="615">
        <f>110%*7020000</f>
        <v>7722000</v>
      </c>
      <c r="W14" s="589"/>
      <c r="X14" s="589"/>
      <c r="Y14" s="589"/>
      <c r="Z14" s="589"/>
      <c r="AA14" s="116" t="s">
        <v>11916</v>
      </c>
      <c r="AB14" s="432" t="s">
        <v>11917</v>
      </c>
      <c r="AC14" s="612" t="s">
        <v>11918</v>
      </c>
      <c r="AD14" s="432" t="s">
        <v>11919</v>
      </c>
      <c r="AE14" s="122"/>
      <c r="AF14" s="122" t="s">
        <v>11920</v>
      </c>
      <c r="AG14" s="603" t="s">
        <v>11921</v>
      </c>
      <c r="AH14" s="122" t="s">
        <v>11922</v>
      </c>
      <c r="AI14" s="122" t="s">
        <v>11923</v>
      </c>
      <c r="AJ14" s="122" t="s">
        <v>11924</v>
      </c>
      <c r="AK14" s="101"/>
    </row>
    <row r="15" s="93" customFormat="1" customHeight="1" spans="1:37">
      <c r="A15" s="521"/>
      <c r="B15" s="609"/>
      <c r="C15" s="565"/>
      <c r="D15" s="527"/>
      <c r="E15" s="527"/>
      <c r="F15" s="527"/>
      <c r="G15" s="516"/>
      <c r="H15" s="516"/>
      <c r="I15" s="530"/>
      <c r="J15" s="530"/>
      <c r="K15" s="530"/>
      <c r="L15" s="530"/>
      <c r="M15" s="530"/>
      <c r="N15" s="530"/>
      <c r="O15" s="530"/>
      <c r="P15" s="530"/>
      <c r="Q15" s="530"/>
      <c r="R15" s="530"/>
      <c r="S15" s="530"/>
      <c r="T15" s="546"/>
      <c r="U15" s="533"/>
      <c r="V15" s="616"/>
      <c r="W15" s="616"/>
      <c r="X15" s="616"/>
      <c r="Y15" s="616"/>
      <c r="Z15" s="616"/>
      <c r="AA15" s="545"/>
      <c r="AB15" s="516"/>
      <c r="AC15" s="516"/>
      <c r="AD15" s="516"/>
      <c r="AE15" s="516"/>
      <c r="AF15" s="516"/>
      <c r="AG15" s="516"/>
      <c r="AH15" s="553"/>
      <c r="AI15" s="516"/>
      <c r="AJ15" s="516"/>
      <c r="AK15" s="565"/>
    </row>
    <row r="16" s="93" customFormat="1" customHeight="1" spans="1:37">
      <c r="A16" s="521"/>
      <c r="B16" s="609"/>
      <c r="C16" s="565"/>
      <c r="D16" s="527"/>
      <c r="E16" s="527"/>
      <c r="F16" s="527"/>
      <c r="G16" s="516"/>
      <c r="H16" s="516"/>
      <c r="I16" s="530"/>
      <c r="J16" s="530"/>
      <c r="K16" s="530"/>
      <c r="L16" s="530"/>
      <c r="M16" s="530"/>
      <c r="N16" s="530"/>
      <c r="O16" s="530"/>
      <c r="P16" s="530"/>
      <c r="Q16" s="530"/>
      <c r="R16" s="530"/>
      <c r="S16" s="530"/>
      <c r="T16" s="546"/>
      <c r="U16" s="533"/>
      <c r="V16" s="616"/>
      <c r="W16" s="616"/>
      <c r="X16" s="616"/>
      <c r="Y16" s="616"/>
      <c r="Z16" s="616"/>
      <c r="AA16" s="545"/>
      <c r="AB16" s="516"/>
      <c r="AC16" s="516"/>
      <c r="AD16" s="516"/>
      <c r="AE16" s="516"/>
      <c r="AF16" s="516"/>
      <c r="AG16" s="516"/>
      <c r="AH16" s="553"/>
      <c r="AI16" s="516"/>
      <c r="AJ16" s="516"/>
      <c r="AK16" s="565"/>
    </row>
    <row r="17" s="93" customFormat="1" customHeight="1" spans="1:37">
      <c r="A17" s="521"/>
      <c r="B17" s="609"/>
      <c r="C17" s="565"/>
      <c r="D17" s="527"/>
      <c r="E17" s="527"/>
      <c r="F17" s="527"/>
      <c r="G17" s="516"/>
      <c r="H17" s="516"/>
      <c r="I17" s="530"/>
      <c r="J17" s="530"/>
      <c r="K17" s="530"/>
      <c r="L17" s="530"/>
      <c r="M17" s="530"/>
      <c r="N17" s="530"/>
      <c r="O17" s="530"/>
      <c r="P17" s="530"/>
      <c r="Q17" s="530"/>
      <c r="R17" s="530"/>
      <c r="S17" s="530"/>
      <c r="T17" s="546"/>
      <c r="U17" s="533"/>
      <c r="V17" s="616"/>
      <c r="W17" s="616"/>
      <c r="X17" s="616"/>
      <c r="Y17" s="616"/>
      <c r="Z17" s="616"/>
      <c r="AA17" s="545"/>
      <c r="AB17" s="516"/>
      <c r="AC17" s="516"/>
      <c r="AD17" s="516"/>
      <c r="AE17" s="516"/>
      <c r="AF17" s="516"/>
      <c r="AG17" s="516"/>
      <c r="AH17" s="553"/>
      <c r="AI17" s="516"/>
      <c r="AJ17" s="516"/>
      <c r="AK17" s="565"/>
    </row>
    <row r="18" s="93" customFormat="1" customHeight="1" spans="1:37">
      <c r="A18" s="521"/>
      <c r="B18" s="609"/>
      <c r="C18" s="565"/>
      <c r="D18" s="527"/>
      <c r="E18" s="527"/>
      <c r="F18" s="527"/>
      <c r="G18" s="516"/>
      <c r="H18" s="516"/>
      <c r="I18" s="530"/>
      <c r="J18" s="530"/>
      <c r="K18" s="530"/>
      <c r="L18" s="530"/>
      <c r="M18" s="530"/>
      <c r="N18" s="530"/>
      <c r="O18" s="530"/>
      <c r="P18" s="530"/>
      <c r="Q18" s="530"/>
      <c r="R18" s="530"/>
      <c r="S18" s="530"/>
      <c r="T18" s="546"/>
      <c r="U18" s="533"/>
      <c r="V18" s="616"/>
      <c r="W18" s="616"/>
      <c r="X18" s="616"/>
      <c r="Y18" s="616"/>
      <c r="Z18" s="616"/>
      <c r="AA18" s="545"/>
      <c r="AB18" s="516"/>
      <c r="AC18" s="516"/>
      <c r="AD18" s="516"/>
      <c r="AE18" s="516"/>
      <c r="AF18" s="516"/>
      <c r="AG18" s="516"/>
      <c r="AH18" s="553"/>
      <c r="AI18" s="516"/>
      <c r="AJ18" s="516"/>
      <c r="AK18" s="565"/>
    </row>
    <row r="19" s="93" customFormat="1" customHeight="1" spans="1:37">
      <c r="A19" s="521"/>
      <c r="B19" s="609"/>
      <c r="C19" s="565"/>
      <c r="D19" s="527"/>
      <c r="E19" s="527"/>
      <c r="F19" s="527"/>
      <c r="G19" s="516"/>
      <c r="H19" s="516"/>
      <c r="I19" s="530"/>
      <c r="J19" s="530"/>
      <c r="K19" s="530"/>
      <c r="L19" s="530"/>
      <c r="M19" s="530"/>
      <c r="N19" s="530"/>
      <c r="O19" s="530"/>
      <c r="P19" s="530"/>
      <c r="Q19" s="530"/>
      <c r="R19" s="530"/>
      <c r="S19" s="530"/>
      <c r="T19" s="546"/>
      <c r="U19" s="533"/>
      <c r="V19" s="616"/>
      <c r="W19" s="616"/>
      <c r="X19" s="616"/>
      <c r="Y19" s="616"/>
      <c r="Z19" s="616"/>
      <c r="AA19" s="545"/>
      <c r="AB19" s="516"/>
      <c r="AC19" s="516"/>
      <c r="AD19" s="516"/>
      <c r="AE19" s="516"/>
      <c r="AF19" s="516"/>
      <c r="AG19" s="516"/>
      <c r="AH19" s="553"/>
      <c r="AI19" s="516"/>
      <c r="AJ19" s="516"/>
      <c r="AK19" s="565"/>
    </row>
    <row r="20" s="93" customFormat="1" customHeight="1" spans="1:37">
      <c r="A20" s="521"/>
      <c r="B20" s="609"/>
      <c r="C20" s="565"/>
      <c r="D20" s="527"/>
      <c r="E20" s="527"/>
      <c r="F20" s="527"/>
      <c r="G20" s="516"/>
      <c r="H20" s="516"/>
      <c r="I20" s="530"/>
      <c r="J20" s="530"/>
      <c r="K20" s="530"/>
      <c r="L20" s="530"/>
      <c r="M20" s="530"/>
      <c r="N20" s="530"/>
      <c r="O20" s="530"/>
      <c r="P20" s="530"/>
      <c r="Q20" s="530"/>
      <c r="R20" s="530"/>
      <c r="S20" s="530"/>
      <c r="T20" s="546"/>
      <c r="U20" s="533"/>
      <c r="V20" s="616"/>
      <c r="W20" s="616"/>
      <c r="X20" s="616"/>
      <c r="Y20" s="616"/>
      <c r="Z20" s="616"/>
      <c r="AA20" s="545"/>
      <c r="AB20" s="516"/>
      <c r="AC20" s="516"/>
      <c r="AD20" s="516"/>
      <c r="AE20" s="516"/>
      <c r="AF20" s="516"/>
      <c r="AG20" s="516"/>
      <c r="AH20" s="553"/>
      <c r="AI20" s="516"/>
      <c r="AJ20" s="516"/>
      <c r="AK20" s="565"/>
    </row>
    <row r="21" s="93" customFormat="1" customHeight="1" spans="1:37">
      <c r="A21" s="521"/>
      <c r="B21" s="609"/>
      <c r="C21" s="565"/>
      <c r="D21" s="527"/>
      <c r="E21" s="527"/>
      <c r="F21" s="527"/>
      <c r="G21" s="516"/>
      <c r="H21" s="516"/>
      <c r="I21" s="530"/>
      <c r="J21" s="530"/>
      <c r="K21" s="530"/>
      <c r="L21" s="530"/>
      <c r="M21" s="530"/>
      <c r="N21" s="530"/>
      <c r="O21" s="530"/>
      <c r="P21" s="530"/>
      <c r="Q21" s="530"/>
      <c r="R21" s="530"/>
      <c r="S21" s="530"/>
      <c r="T21" s="546"/>
      <c r="U21" s="533"/>
      <c r="V21" s="616"/>
      <c r="W21" s="616"/>
      <c r="X21" s="616"/>
      <c r="Y21" s="616"/>
      <c r="Z21" s="616"/>
      <c r="AA21" s="545"/>
      <c r="AB21" s="516"/>
      <c r="AC21" s="516"/>
      <c r="AD21" s="516"/>
      <c r="AE21" s="516"/>
      <c r="AF21" s="516"/>
      <c r="AG21" s="516"/>
      <c r="AH21" s="553"/>
      <c r="AI21" s="516"/>
      <c r="AJ21" s="516"/>
      <c r="AK21" s="565"/>
    </row>
    <row r="22" s="93" customFormat="1" customHeight="1" spans="1:37">
      <c r="A22" s="521"/>
      <c r="B22" s="609"/>
      <c r="C22" s="565"/>
      <c r="D22" s="527"/>
      <c r="E22" s="527"/>
      <c r="F22" s="527"/>
      <c r="G22" s="516"/>
      <c r="H22" s="516"/>
      <c r="I22" s="530"/>
      <c r="J22" s="530"/>
      <c r="K22" s="530"/>
      <c r="L22" s="530"/>
      <c r="M22" s="530"/>
      <c r="N22" s="530"/>
      <c r="O22" s="530"/>
      <c r="P22" s="530"/>
      <c r="Q22" s="530"/>
      <c r="R22" s="530"/>
      <c r="S22" s="530"/>
      <c r="T22" s="546"/>
      <c r="U22" s="533"/>
      <c r="V22" s="616"/>
      <c r="W22" s="616"/>
      <c r="X22" s="616"/>
      <c r="Y22" s="616"/>
      <c r="Z22" s="616"/>
      <c r="AA22" s="545"/>
      <c r="AB22" s="516"/>
      <c r="AC22" s="516"/>
      <c r="AD22" s="516"/>
      <c r="AE22" s="516"/>
      <c r="AF22" s="516"/>
      <c r="AG22" s="516"/>
      <c r="AH22" s="553"/>
      <c r="AI22" s="516"/>
      <c r="AJ22" s="516"/>
      <c r="AK22" s="565"/>
    </row>
    <row r="23" s="93" customFormat="1" customHeight="1" spans="1:37">
      <c r="A23" s="521"/>
      <c r="B23" s="521"/>
      <c r="C23" s="565"/>
      <c r="D23" s="527"/>
      <c r="E23" s="527"/>
      <c r="F23" s="527"/>
      <c r="G23" s="516"/>
      <c r="H23" s="516"/>
      <c r="I23" s="530"/>
      <c r="J23" s="530"/>
      <c r="K23" s="530"/>
      <c r="L23" s="530"/>
      <c r="M23" s="530"/>
      <c r="N23" s="530"/>
      <c r="O23" s="530"/>
      <c r="P23" s="530"/>
      <c r="Q23" s="530"/>
      <c r="R23" s="530"/>
      <c r="S23" s="530"/>
      <c r="T23" s="546"/>
      <c r="U23" s="533"/>
      <c r="V23" s="616"/>
      <c r="W23" s="616"/>
      <c r="X23" s="616"/>
      <c r="Y23" s="616"/>
      <c r="Z23" s="616"/>
      <c r="AA23" s="545"/>
      <c r="AB23" s="516"/>
      <c r="AC23" s="516"/>
      <c r="AD23" s="516"/>
      <c r="AE23" s="516"/>
      <c r="AF23" s="516"/>
      <c r="AG23" s="516"/>
      <c r="AH23" s="553"/>
      <c r="AI23" s="516"/>
      <c r="AJ23" s="516"/>
      <c r="AK23" s="565"/>
    </row>
    <row r="24" s="93" customFormat="1" customHeight="1" spans="2:27">
      <c r="B24" s="610"/>
      <c r="C24" s="610"/>
      <c r="D24" s="610"/>
      <c r="E24" s="610"/>
      <c r="F24" s="610"/>
      <c r="G24" s="610"/>
      <c r="H24" s="610"/>
      <c r="I24" s="610"/>
      <c r="J24" s="610"/>
      <c r="K24" s="610"/>
      <c r="L24" s="610"/>
      <c r="M24" s="610"/>
      <c r="AA24" s="594"/>
    </row>
    <row r="25" s="93" customFormat="1" customHeight="1" spans="2:27">
      <c r="B25" s="611"/>
      <c r="C25" s="611"/>
      <c r="D25" s="611"/>
      <c r="E25" s="611"/>
      <c r="F25" s="611"/>
      <c r="G25" s="611"/>
      <c r="H25" s="611"/>
      <c r="I25" s="611"/>
      <c r="J25" s="611"/>
      <c r="K25" s="611"/>
      <c r="L25" s="611"/>
      <c r="M25" s="611"/>
      <c r="AA25" s="594"/>
    </row>
    <row r="26" s="93" customFormat="1" customHeight="1" spans="1:27">
      <c r="A26" s="464" t="s">
        <v>2552</v>
      </c>
      <c r="B26" s="586"/>
      <c r="AA26" s="594"/>
    </row>
    <row r="27" s="93" customFormat="1" customHeight="1" spans="1:38">
      <c r="A27" s="161">
        <f t="shared" ref="A27:A29" si="0">ROW()-13</f>
        <v>14</v>
      </c>
      <c r="B27" s="161" t="s">
        <v>11925</v>
      </c>
      <c r="C27" s="163" t="s">
        <v>11926</v>
      </c>
      <c r="D27" s="173" t="s">
        <v>11927</v>
      </c>
      <c r="E27" s="173" t="s">
        <v>125</v>
      </c>
      <c r="F27" s="173" t="s">
        <v>1110</v>
      </c>
      <c r="G27" s="180" t="s">
        <v>11928</v>
      </c>
      <c r="H27" s="467" t="s">
        <v>11929</v>
      </c>
      <c r="I27" s="590"/>
      <c r="J27" s="590"/>
      <c r="K27" s="590" t="s">
        <v>583</v>
      </c>
      <c r="L27" s="590">
        <v>42016</v>
      </c>
      <c r="M27" s="590">
        <v>42380</v>
      </c>
      <c r="N27" s="590"/>
      <c r="O27" s="590"/>
      <c r="P27" s="590"/>
      <c r="Q27" s="590"/>
      <c r="R27" s="590"/>
      <c r="S27" s="590"/>
      <c r="T27" s="477">
        <f ca="1" t="shared" ref="T27:T33" si="1">SUM(M27-NOW())</f>
        <v>-892.38453703704</v>
      </c>
      <c r="U27" s="182" t="str">
        <f ca="1" t="shared" ref="U27:U30" si="2">IF(T27&lt;=60,"WARNING","ACTIVE")</f>
        <v>WARNING</v>
      </c>
      <c r="V27" s="591">
        <v>6450000</v>
      </c>
      <c r="W27" s="591">
        <v>750000</v>
      </c>
      <c r="X27" s="591"/>
      <c r="Y27" s="591">
        <v>550000</v>
      </c>
      <c r="Z27" s="591">
        <v>1000000</v>
      </c>
      <c r="AA27" s="179"/>
      <c r="AB27" s="180" t="s">
        <v>11930</v>
      </c>
      <c r="AC27" s="180" t="s">
        <v>11931</v>
      </c>
      <c r="AD27" s="235" t="s">
        <v>11932</v>
      </c>
      <c r="AE27" s="235"/>
      <c r="AF27" s="235"/>
      <c r="AG27" s="235"/>
      <c r="AH27" s="180" t="s">
        <v>11933</v>
      </c>
      <c r="AI27" s="235" t="s">
        <v>11934</v>
      </c>
      <c r="AJ27" s="1594" t="s">
        <v>11935</v>
      </c>
      <c r="AK27" s="617" t="s">
        <v>11936</v>
      </c>
      <c r="AL27" s="459" t="s">
        <v>11937</v>
      </c>
    </row>
    <row r="28" s="93" customFormat="1" customHeight="1" spans="1:38">
      <c r="A28" s="161">
        <f t="shared" si="0"/>
        <v>15</v>
      </c>
      <c r="B28" s="161" t="s">
        <v>11938</v>
      </c>
      <c r="C28" s="163" t="s">
        <v>11939</v>
      </c>
      <c r="D28" s="173" t="s">
        <v>11940</v>
      </c>
      <c r="E28" s="173" t="s">
        <v>43</v>
      </c>
      <c r="F28" s="173" t="s">
        <v>254</v>
      </c>
      <c r="G28" s="180" t="s">
        <v>11941</v>
      </c>
      <c r="H28" s="467" t="s">
        <v>11942</v>
      </c>
      <c r="I28" s="590"/>
      <c r="J28" s="590"/>
      <c r="K28" s="590" t="s">
        <v>583</v>
      </c>
      <c r="L28" s="590">
        <v>41974</v>
      </c>
      <c r="M28" s="590">
        <v>42063</v>
      </c>
      <c r="N28" s="590"/>
      <c r="O28" s="590">
        <v>42338</v>
      </c>
      <c r="P28" s="590"/>
      <c r="Q28" s="590">
        <v>42460</v>
      </c>
      <c r="R28" s="590"/>
      <c r="S28" s="590"/>
      <c r="T28" s="477">
        <f ca="1">SUM(Q28-NOW())</f>
        <v>-812.38453703704</v>
      </c>
      <c r="U28" s="468" t="str">
        <f ca="1" t="shared" si="2"/>
        <v>WARNING</v>
      </c>
      <c r="V28" s="591">
        <v>13500000</v>
      </c>
      <c r="W28" s="591">
        <v>2000000</v>
      </c>
      <c r="X28" s="591"/>
      <c r="Y28" s="591">
        <v>550000</v>
      </c>
      <c r="Z28" s="591"/>
      <c r="AA28" s="179"/>
      <c r="AB28" s="180" t="s">
        <v>11930</v>
      </c>
      <c r="AC28" s="180" t="s">
        <v>11943</v>
      </c>
      <c r="AD28" s="235" t="s">
        <v>11944</v>
      </c>
      <c r="AE28" s="235"/>
      <c r="AF28" s="235"/>
      <c r="AG28" s="235"/>
      <c r="AH28" s="368" t="s">
        <v>11945</v>
      </c>
      <c r="AI28" s="235" t="s">
        <v>11946</v>
      </c>
      <c r="AJ28" s="180" t="s">
        <v>11947</v>
      </c>
      <c r="AK28" s="163" t="s">
        <v>11948</v>
      </c>
      <c r="AL28" s="459" t="s">
        <v>11949</v>
      </c>
    </row>
    <row r="29" s="93" customFormat="1" customHeight="1" spans="1:37">
      <c r="A29" s="161">
        <f t="shared" si="0"/>
        <v>16</v>
      </c>
      <c r="B29" s="161" t="s">
        <v>11950</v>
      </c>
      <c r="C29" s="163" t="s">
        <v>11951</v>
      </c>
      <c r="D29" s="173" t="s">
        <v>11952</v>
      </c>
      <c r="E29" s="173" t="s">
        <v>125</v>
      </c>
      <c r="F29" s="173" t="s">
        <v>60</v>
      </c>
      <c r="G29" s="180" t="s">
        <v>11953</v>
      </c>
      <c r="H29" s="467" t="s">
        <v>11954</v>
      </c>
      <c r="I29" s="590"/>
      <c r="J29" s="590"/>
      <c r="K29" s="590"/>
      <c r="L29" s="590">
        <v>41925</v>
      </c>
      <c r="M29" s="590">
        <v>42289</v>
      </c>
      <c r="N29" s="590">
        <v>42290</v>
      </c>
      <c r="O29" s="590">
        <v>42320</v>
      </c>
      <c r="P29" s="590">
        <v>42338</v>
      </c>
      <c r="Q29" s="590">
        <v>42369</v>
      </c>
      <c r="R29" s="590">
        <v>42400</v>
      </c>
      <c r="S29" s="590">
        <v>42429</v>
      </c>
      <c r="T29" s="477">
        <f ca="1">SUM(S29-NOW())</f>
        <v>-843.38453703704</v>
      </c>
      <c r="U29" s="182" t="str">
        <f ca="1" t="shared" si="2"/>
        <v>WARNING</v>
      </c>
      <c r="V29" s="591">
        <v>6300000</v>
      </c>
      <c r="W29" s="591"/>
      <c r="X29" s="591"/>
      <c r="Y29" s="591">
        <v>750000</v>
      </c>
      <c r="Z29" s="591"/>
      <c r="AA29" s="179"/>
      <c r="AB29" s="180" t="s">
        <v>11930</v>
      </c>
      <c r="AC29" s="180" t="s">
        <v>11955</v>
      </c>
      <c r="AD29" s="235" t="s">
        <v>11956</v>
      </c>
      <c r="AE29" s="235"/>
      <c r="AF29" s="235"/>
      <c r="AG29" s="235"/>
      <c r="AH29" s="365" t="s">
        <v>11957</v>
      </c>
      <c r="AI29" s="235" t="s">
        <v>11958</v>
      </c>
      <c r="AJ29" s="180" t="s">
        <v>11959</v>
      </c>
      <c r="AK29" s="590" t="s">
        <v>11960</v>
      </c>
    </row>
    <row r="30" s="93" customFormat="1" customHeight="1" spans="1:37">
      <c r="A30" s="161">
        <v>12</v>
      </c>
      <c r="B30" s="161" t="s">
        <v>11961</v>
      </c>
      <c r="C30" s="163" t="s">
        <v>11962</v>
      </c>
      <c r="D30" s="173" t="s">
        <v>11963</v>
      </c>
      <c r="E30" s="173" t="s">
        <v>125</v>
      </c>
      <c r="F30" s="173" t="s">
        <v>60</v>
      </c>
      <c r="G30" s="180" t="s">
        <v>11915</v>
      </c>
      <c r="H30" s="180"/>
      <c r="I30" s="187"/>
      <c r="J30" s="187" t="s">
        <v>583</v>
      </c>
      <c r="K30" s="187"/>
      <c r="L30" s="187">
        <v>42382</v>
      </c>
      <c r="M30" s="187">
        <v>42747</v>
      </c>
      <c r="N30" s="187" t="s">
        <v>583</v>
      </c>
      <c r="O30" s="187" t="s">
        <v>583</v>
      </c>
      <c r="P30" s="187"/>
      <c r="Q30" s="187"/>
      <c r="R30" s="187"/>
      <c r="S30" s="187"/>
      <c r="T30" s="542">
        <f ca="1" t="shared" si="1"/>
        <v>-525.38453703704</v>
      </c>
      <c r="U30" s="175" t="str">
        <f ca="1" t="shared" si="2"/>
        <v>WARNING</v>
      </c>
      <c r="V30" s="591">
        <v>6500000</v>
      </c>
      <c r="W30" s="591"/>
      <c r="X30" s="591"/>
      <c r="Y30" s="591"/>
      <c r="Z30" s="591"/>
      <c r="AA30" s="179"/>
      <c r="AB30" s="180"/>
      <c r="AC30" s="180" t="s">
        <v>11964</v>
      </c>
      <c r="AD30" s="180" t="s">
        <v>11965</v>
      </c>
      <c r="AE30" s="180"/>
      <c r="AF30" s="180"/>
      <c r="AG30" s="180"/>
      <c r="AH30" s="368" t="s">
        <v>11966</v>
      </c>
      <c r="AI30" s="180" t="s">
        <v>11967</v>
      </c>
      <c r="AJ30" s="180" t="s">
        <v>11968</v>
      </c>
      <c r="AK30" s="163" t="s">
        <v>11969</v>
      </c>
    </row>
    <row r="31" s="93" customFormat="1" ht="18" customHeight="1" spans="1:38">
      <c r="A31" s="161">
        <f t="shared" ref="A31:A33" si="3">ROW()-13</f>
        <v>18</v>
      </c>
      <c r="B31" s="161" t="s">
        <v>11970</v>
      </c>
      <c r="C31" s="163" t="s">
        <v>11971</v>
      </c>
      <c r="D31" s="173" t="s">
        <v>11972</v>
      </c>
      <c r="E31" s="173" t="s">
        <v>125</v>
      </c>
      <c r="F31" s="173" t="s">
        <v>44</v>
      </c>
      <c r="G31" s="180" t="s">
        <v>11973</v>
      </c>
      <c r="H31" s="467" t="s">
        <v>11942</v>
      </c>
      <c r="I31" s="590"/>
      <c r="J31" s="590"/>
      <c r="K31" s="590">
        <v>42125</v>
      </c>
      <c r="L31" s="590">
        <v>42453</v>
      </c>
      <c r="M31" s="590"/>
      <c r="N31" s="590"/>
      <c r="O31" s="590"/>
      <c r="P31" s="590"/>
      <c r="Q31" s="590"/>
      <c r="R31" s="590"/>
      <c r="S31" s="590"/>
      <c r="T31" s="477"/>
      <c r="U31" s="182"/>
      <c r="V31" s="591">
        <v>10000000</v>
      </c>
      <c r="W31" s="591">
        <v>2000000</v>
      </c>
      <c r="X31" s="591">
        <v>3000000</v>
      </c>
      <c r="Y31" s="591">
        <v>1300000</v>
      </c>
      <c r="Z31" s="591">
        <v>2000000</v>
      </c>
      <c r="AA31" s="179"/>
      <c r="AB31" s="180"/>
      <c r="AC31" s="180" t="s">
        <v>11974</v>
      </c>
      <c r="AD31" s="1603" t="s">
        <v>11975</v>
      </c>
      <c r="AE31" s="235"/>
      <c r="AF31" s="235"/>
      <c r="AG31" s="235"/>
      <c r="AH31" s="368" t="s">
        <v>11976</v>
      </c>
      <c r="AI31" s="235" t="s">
        <v>11977</v>
      </c>
      <c r="AJ31" s="180" t="s">
        <v>11978</v>
      </c>
      <c r="AK31" s="180" t="s">
        <v>11979</v>
      </c>
      <c r="AL31" s="459" t="s">
        <v>11980</v>
      </c>
    </row>
    <row r="32" s="93" customFormat="1" customHeight="1" spans="1:37">
      <c r="A32" s="161">
        <f t="shared" si="3"/>
        <v>19</v>
      </c>
      <c r="B32" s="161" t="s">
        <v>11981</v>
      </c>
      <c r="C32" s="163" t="s">
        <v>11982</v>
      </c>
      <c r="D32" s="173" t="s">
        <v>11983</v>
      </c>
      <c r="E32" s="173" t="s">
        <v>43</v>
      </c>
      <c r="F32" s="173" t="s">
        <v>44</v>
      </c>
      <c r="G32" s="180" t="s">
        <v>11984</v>
      </c>
      <c r="H32" s="467" t="s">
        <v>11985</v>
      </c>
      <c r="I32" s="590"/>
      <c r="J32" s="590"/>
      <c r="K32" s="590"/>
      <c r="L32" s="590">
        <v>42125</v>
      </c>
      <c r="M32" s="590">
        <v>42490</v>
      </c>
      <c r="N32" s="590"/>
      <c r="O32" s="590"/>
      <c r="P32" s="590"/>
      <c r="Q32" s="590"/>
      <c r="R32" s="590"/>
      <c r="S32" s="590"/>
      <c r="T32" s="477">
        <f ca="1" t="shared" si="1"/>
        <v>-782.38453703704</v>
      </c>
      <c r="U32" s="182" t="str">
        <f ca="1">IF(T32&lt;=60,"WARNING","ACTIVE")</f>
        <v>WARNING</v>
      </c>
      <c r="V32" s="591">
        <v>7069304</v>
      </c>
      <c r="W32" s="591">
        <v>1500000</v>
      </c>
      <c r="X32" s="591">
        <v>750000</v>
      </c>
      <c r="Y32" s="591">
        <v>750000</v>
      </c>
      <c r="Z32" s="591"/>
      <c r="AA32" s="179"/>
      <c r="AB32" s="180"/>
      <c r="AC32" s="180" t="s">
        <v>11986</v>
      </c>
      <c r="AD32" s="1603" t="s">
        <v>11987</v>
      </c>
      <c r="AE32" s="600"/>
      <c r="AF32" s="600" t="s">
        <v>11988</v>
      </c>
      <c r="AG32" s="603" t="s">
        <v>11989</v>
      </c>
      <c r="AH32" s="232" t="s">
        <v>11990</v>
      </c>
      <c r="AI32" s="600" t="s">
        <v>11991</v>
      </c>
      <c r="AJ32" s="224" t="s">
        <v>11992</v>
      </c>
      <c r="AK32" s="163" t="s">
        <v>11993</v>
      </c>
    </row>
    <row r="33" s="93" customFormat="1" customHeight="1" spans="1:37">
      <c r="A33" s="161">
        <f t="shared" si="3"/>
        <v>20</v>
      </c>
      <c r="B33" s="161" t="s">
        <v>11994</v>
      </c>
      <c r="C33" s="163" t="s">
        <v>11995</v>
      </c>
      <c r="D33" s="173" t="s">
        <v>11996</v>
      </c>
      <c r="E33" s="173" t="s">
        <v>43</v>
      </c>
      <c r="F33" s="173" t="s">
        <v>44</v>
      </c>
      <c r="G33" s="180" t="s">
        <v>11984</v>
      </c>
      <c r="H33" s="467" t="s">
        <v>11985</v>
      </c>
      <c r="I33" s="590"/>
      <c r="J33" s="590"/>
      <c r="K33" s="590"/>
      <c r="L33" s="590">
        <v>42125</v>
      </c>
      <c r="M33" s="590">
        <v>42490</v>
      </c>
      <c r="N33" s="590"/>
      <c r="O33" s="590"/>
      <c r="P33" s="590"/>
      <c r="Q33" s="590"/>
      <c r="R33" s="590"/>
      <c r="S33" s="590"/>
      <c r="T33" s="477">
        <f ca="1" t="shared" si="1"/>
        <v>-782.38453703704</v>
      </c>
      <c r="U33" s="182" t="str">
        <f ca="1">IF(T33&lt;=60,"WARNING","ACTIVE")</f>
        <v>WARNING</v>
      </c>
      <c r="V33" s="591">
        <v>5452725</v>
      </c>
      <c r="W33" s="591">
        <v>1500000</v>
      </c>
      <c r="X33" s="591">
        <v>750000</v>
      </c>
      <c r="Y33" s="591">
        <v>750000</v>
      </c>
      <c r="Z33" s="591"/>
      <c r="AA33" s="179"/>
      <c r="AB33" s="180"/>
      <c r="AC33" s="180" t="s">
        <v>11997</v>
      </c>
      <c r="AD33" s="1603" t="s">
        <v>11998</v>
      </c>
      <c r="AE33" s="600"/>
      <c r="AF33" s="600" t="s">
        <v>11999</v>
      </c>
      <c r="AG33" s="603" t="s">
        <v>12000</v>
      </c>
      <c r="AH33" s="232" t="s">
        <v>12001</v>
      </c>
      <c r="AI33" s="600" t="s">
        <v>12002</v>
      </c>
      <c r="AJ33" s="224" t="s">
        <v>12003</v>
      </c>
      <c r="AK33" s="163" t="s">
        <v>11993</v>
      </c>
    </row>
    <row r="34" s="93" customFormat="1" customHeight="1" spans="1:37">
      <c r="A34" s="161">
        <v>1</v>
      </c>
      <c r="B34" s="161" t="s">
        <v>12004</v>
      </c>
      <c r="C34" s="163" t="s">
        <v>12005</v>
      </c>
      <c r="D34" s="173" t="s">
        <v>12006</v>
      </c>
      <c r="E34" s="173" t="s">
        <v>125</v>
      </c>
      <c r="F34" s="173" t="s">
        <v>44</v>
      </c>
      <c r="G34" s="180" t="s">
        <v>11928</v>
      </c>
      <c r="H34" s="467" t="s">
        <v>12007</v>
      </c>
      <c r="I34" s="590"/>
      <c r="J34" s="590"/>
      <c r="K34" s="590" t="s">
        <v>583</v>
      </c>
      <c r="L34" s="590">
        <v>42009</v>
      </c>
      <c r="M34" s="590">
        <v>42189</v>
      </c>
      <c r="N34" s="590"/>
      <c r="O34" s="590">
        <v>42277</v>
      </c>
      <c r="P34" s="590"/>
      <c r="Q34" s="590">
        <v>42460</v>
      </c>
      <c r="R34" s="590">
        <v>42551</v>
      </c>
      <c r="S34" s="590">
        <v>42735</v>
      </c>
      <c r="T34" s="477">
        <v>10.2460543981506</v>
      </c>
      <c r="U34" s="182" t="s">
        <v>2569</v>
      </c>
      <c r="V34" s="591">
        <v>5340000</v>
      </c>
      <c r="W34" s="591">
        <v>750000</v>
      </c>
      <c r="X34" s="591"/>
      <c r="Y34" s="591">
        <v>550000</v>
      </c>
      <c r="Z34" s="591">
        <v>1000000</v>
      </c>
      <c r="AA34" s="179" t="s">
        <v>12008</v>
      </c>
      <c r="AB34" s="180" t="s">
        <v>12009</v>
      </c>
      <c r="AC34" s="180" t="s">
        <v>12010</v>
      </c>
      <c r="AD34" s="1603" t="s">
        <v>12011</v>
      </c>
      <c r="AE34" s="1598" t="s">
        <v>12012</v>
      </c>
      <c r="AF34" s="600" t="s">
        <v>12013</v>
      </c>
      <c r="AG34" s="603" t="s">
        <v>12014</v>
      </c>
      <c r="AH34" s="232" t="s">
        <v>12015</v>
      </c>
      <c r="AI34" s="600" t="s">
        <v>12016</v>
      </c>
      <c r="AJ34" s="224" t="s">
        <v>12017</v>
      </c>
      <c r="AK34" s="163" t="s">
        <v>12018</v>
      </c>
    </row>
    <row r="35" s="93" customFormat="1" customHeight="1" spans="1:37">
      <c r="A35" s="161">
        <v>2</v>
      </c>
      <c r="B35" s="161" t="s">
        <v>12019</v>
      </c>
      <c r="C35" s="163" t="s">
        <v>12020</v>
      </c>
      <c r="D35" s="173" t="s">
        <v>12021</v>
      </c>
      <c r="E35" s="173" t="s">
        <v>125</v>
      </c>
      <c r="F35" s="173" t="s">
        <v>254</v>
      </c>
      <c r="G35" s="180" t="s">
        <v>12022</v>
      </c>
      <c r="H35" s="467" t="s">
        <v>12023</v>
      </c>
      <c r="I35" s="590"/>
      <c r="J35" s="590"/>
      <c r="K35" s="590"/>
      <c r="L35" s="590">
        <v>42107</v>
      </c>
      <c r="M35" s="590">
        <v>42472</v>
      </c>
      <c r="N35" s="590">
        <v>42837</v>
      </c>
      <c r="O35" s="590"/>
      <c r="P35" s="590"/>
      <c r="Q35" s="590"/>
      <c r="R35" s="590"/>
      <c r="S35" s="590"/>
      <c r="T35" s="477">
        <v>112.246054398151</v>
      </c>
      <c r="U35" s="182" t="s">
        <v>745</v>
      </c>
      <c r="V35" s="591">
        <v>20544000</v>
      </c>
      <c r="W35" s="591"/>
      <c r="X35" s="591"/>
      <c r="Y35" s="591"/>
      <c r="Z35" s="591"/>
      <c r="AA35" s="179" t="s">
        <v>12024</v>
      </c>
      <c r="AB35" s="180" t="s">
        <v>11930</v>
      </c>
      <c r="AC35" s="180" t="s">
        <v>12025</v>
      </c>
      <c r="AD35" s="1603" t="s">
        <v>12026</v>
      </c>
      <c r="AE35" s="1598" t="s">
        <v>12027</v>
      </c>
      <c r="AF35" s="600"/>
      <c r="AG35" s="603" t="s">
        <v>12028</v>
      </c>
      <c r="AH35" s="232" t="s">
        <v>12029</v>
      </c>
      <c r="AI35" s="600" t="s">
        <v>12030</v>
      </c>
      <c r="AJ35" s="224" t="s">
        <v>12031</v>
      </c>
      <c r="AK35" s="163" t="s">
        <v>12018</v>
      </c>
    </row>
    <row r="36" s="93" customFormat="1" customHeight="1" spans="1:37">
      <c r="A36" s="161">
        <v>3</v>
      </c>
      <c r="B36" s="161" t="s">
        <v>12032</v>
      </c>
      <c r="C36" s="163" t="s">
        <v>12033</v>
      </c>
      <c r="D36" s="173" t="s">
        <v>12034</v>
      </c>
      <c r="E36" s="173" t="s">
        <v>43</v>
      </c>
      <c r="F36" s="173" t="s">
        <v>60</v>
      </c>
      <c r="G36" s="180" t="s">
        <v>12035</v>
      </c>
      <c r="H36" s="467" t="s">
        <v>11942</v>
      </c>
      <c r="I36" s="590"/>
      <c r="J36" s="590"/>
      <c r="K36" s="590">
        <v>42125</v>
      </c>
      <c r="L36" s="590"/>
      <c r="M36" s="590"/>
      <c r="N36" s="590"/>
      <c r="O36" s="590"/>
      <c r="P36" s="590"/>
      <c r="Q36" s="590"/>
      <c r="R36" s="590"/>
      <c r="S36" s="590"/>
      <c r="T36" s="477"/>
      <c r="U36" s="182"/>
      <c r="V36" s="591">
        <v>12393321</v>
      </c>
      <c r="W36" s="591">
        <v>3100000</v>
      </c>
      <c r="X36" s="591">
        <v>3897000</v>
      </c>
      <c r="Y36" s="591">
        <v>1300000</v>
      </c>
      <c r="Z36" s="591">
        <v>3000000</v>
      </c>
      <c r="AA36" s="179"/>
      <c r="AB36" s="180"/>
      <c r="AC36" s="180" t="s">
        <v>12036</v>
      </c>
      <c r="AD36" s="1603" t="s">
        <v>12037</v>
      </c>
      <c r="AE36" s="600"/>
      <c r="AF36" s="600"/>
      <c r="AG36" s="603" t="s">
        <v>12038</v>
      </c>
      <c r="AH36" s="232" t="s">
        <v>12039</v>
      </c>
      <c r="AI36" s="600" t="s">
        <v>12040</v>
      </c>
      <c r="AJ36" s="224" t="s">
        <v>12041</v>
      </c>
      <c r="AK36" s="163" t="s">
        <v>12018</v>
      </c>
    </row>
    <row r="37" s="93" customFormat="1" customHeight="1" spans="1:37">
      <c r="A37" s="161">
        <v>4</v>
      </c>
      <c r="B37" s="161" t="s">
        <v>12042</v>
      </c>
      <c r="C37" s="163" t="s">
        <v>12043</v>
      </c>
      <c r="D37" s="173" t="s">
        <v>12044</v>
      </c>
      <c r="E37" s="173" t="s">
        <v>43</v>
      </c>
      <c r="F37" s="173" t="s">
        <v>60</v>
      </c>
      <c r="G37" s="180" t="s">
        <v>11984</v>
      </c>
      <c r="H37" s="467" t="s">
        <v>11985</v>
      </c>
      <c r="I37" s="590"/>
      <c r="J37" s="590"/>
      <c r="K37" s="590"/>
      <c r="L37" s="590">
        <v>42125</v>
      </c>
      <c r="M37" s="590">
        <v>42490</v>
      </c>
      <c r="N37" s="590">
        <v>42855</v>
      </c>
      <c r="O37" s="590"/>
      <c r="P37" s="590"/>
      <c r="Q37" s="590"/>
      <c r="R37" s="590"/>
      <c r="S37" s="590"/>
      <c r="T37" s="477">
        <v>130.246054398151</v>
      </c>
      <c r="U37" s="182" t="s">
        <v>745</v>
      </c>
      <c r="V37" s="591">
        <v>11000000</v>
      </c>
      <c r="W37" s="591">
        <v>3000000</v>
      </c>
      <c r="X37" s="591">
        <v>750000</v>
      </c>
      <c r="Y37" s="591">
        <v>750000</v>
      </c>
      <c r="Z37" s="591"/>
      <c r="AA37" s="179" t="s">
        <v>12045</v>
      </c>
      <c r="AB37" s="180"/>
      <c r="AC37" s="180" t="s">
        <v>12046</v>
      </c>
      <c r="AD37" s="1603" t="s">
        <v>12047</v>
      </c>
      <c r="AE37" s="600"/>
      <c r="AF37" s="600" t="s">
        <v>12048</v>
      </c>
      <c r="AG37" s="603" t="s">
        <v>12049</v>
      </c>
      <c r="AH37" s="232" t="s">
        <v>12050</v>
      </c>
      <c r="AI37" s="600" t="s">
        <v>12051</v>
      </c>
      <c r="AJ37" s="224" t="s">
        <v>12052</v>
      </c>
      <c r="AK37" s="163" t="s">
        <v>12018</v>
      </c>
    </row>
    <row r="38" s="93" customFormat="1" customHeight="1" spans="1:37">
      <c r="A38" s="161">
        <v>5</v>
      </c>
      <c r="B38" s="161" t="s">
        <v>12053</v>
      </c>
      <c r="C38" s="163" t="s">
        <v>12054</v>
      </c>
      <c r="D38" s="173" t="s">
        <v>12055</v>
      </c>
      <c r="E38" s="173" t="s">
        <v>125</v>
      </c>
      <c r="F38" s="173" t="s">
        <v>44</v>
      </c>
      <c r="G38" s="180" t="s">
        <v>12056</v>
      </c>
      <c r="H38" s="467" t="s">
        <v>583</v>
      </c>
      <c r="I38" s="590" t="s">
        <v>583</v>
      </c>
      <c r="J38" s="590" t="s">
        <v>583</v>
      </c>
      <c r="K38" s="590">
        <v>42225</v>
      </c>
      <c r="L38" s="590" t="s">
        <v>583</v>
      </c>
      <c r="M38" s="590" t="s">
        <v>583</v>
      </c>
      <c r="N38" s="590" t="s">
        <v>583</v>
      </c>
      <c r="O38" s="590" t="s">
        <v>583</v>
      </c>
      <c r="P38" s="590"/>
      <c r="Q38" s="590"/>
      <c r="R38" s="590"/>
      <c r="S38" s="590"/>
      <c r="T38" s="477"/>
      <c r="U38" s="182"/>
      <c r="V38" s="591">
        <v>14256000</v>
      </c>
      <c r="W38" s="591"/>
      <c r="X38" s="591"/>
      <c r="Y38" s="591"/>
      <c r="Z38" s="591"/>
      <c r="AA38" s="179" t="s">
        <v>12057</v>
      </c>
      <c r="AB38" s="180"/>
      <c r="AC38" s="180" t="s">
        <v>12058</v>
      </c>
      <c r="AD38" s="1603" t="s">
        <v>12059</v>
      </c>
      <c r="AE38" s="1598" t="s">
        <v>12060</v>
      </c>
      <c r="AF38" s="600" t="s">
        <v>12061</v>
      </c>
      <c r="AG38" s="603" t="s">
        <v>4713</v>
      </c>
      <c r="AH38" s="232" t="s">
        <v>12062</v>
      </c>
      <c r="AI38" s="600" t="s">
        <v>12063</v>
      </c>
      <c r="AJ38" s="224" t="s">
        <v>12064</v>
      </c>
      <c r="AK38" s="163" t="s">
        <v>12018</v>
      </c>
    </row>
    <row r="39" s="93" customFormat="1" customHeight="1" spans="1:37">
      <c r="A39" s="161">
        <v>6</v>
      </c>
      <c r="B39" s="161" t="s">
        <v>12065</v>
      </c>
      <c r="C39" s="163" t="s">
        <v>12066</v>
      </c>
      <c r="D39" s="173" t="s">
        <v>12067</v>
      </c>
      <c r="E39" s="173" t="s">
        <v>43</v>
      </c>
      <c r="F39" s="173" t="s">
        <v>254</v>
      </c>
      <c r="G39" s="180" t="s">
        <v>12068</v>
      </c>
      <c r="H39" s="467"/>
      <c r="I39" s="590"/>
      <c r="J39" s="590" t="s">
        <v>583</v>
      </c>
      <c r="K39" s="590"/>
      <c r="L39" s="590">
        <v>42278</v>
      </c>
      <c r="M39" s="590">
        <v>42643</v>
      </c>
      <c r="N39" s="590">
        <v>42825</v>
      </c>
      <c r="O39" s="590" t="s">
        <v>583</v>
      </c>
      <c r="P39" s="590"/>
      <c r="Q39" s="590"/>
      <c r="R39" s="590"/>
      <c r="S39" s="590"/>
      <c r="T39" s="477">
        <v>100.246054398151</v>
      </c>
      <c r="U39" s="182" t="s">
        <v>745</v>
      </c>
      <c r="V39" s="591">
        <v>10000000</v>
      </c>
      <c r="W39" s="591">
        <v>1500000</v>
      </c>
      <c r="X39" s="591"/>
      <c r="Y39" s="591">
        <v>1050000</v>
      </c>
      <c r="Z39" s="591"/>
      <c r="AA39" s="179"/>
      <c r="AB39" s="180"/>
      <c r="AC39" s="180" t="s">
        <v>12069</v>
      </c>
      <c r="AD39" s="1603" t="s">
        <v>12070</v>
      </c>
      <c r="AE39" s="1598" t="s">
        <v>12071</v>
      </c>
      <c r="AF39" s="600" t="s">
        <v>12072</v>
      </c>
      <c r="AG39" s="603" t="s">
        <v>12073</v>
      </c>
      <c r="AH39" s="232" t="s">
        <v>12074</v>
      </c>
      <c r="AI39" s="600" t="s">
        <v>12075</v>
      </c>
      <c r="AJ39" s="224" t="s">
        <v>12076</v>
      </c>
      <c r="AK39" s="163" t="s">
        <v>12018</v>
      </c>
    </row>
    <row r="40" s="93" customFormat="1" customHeight="1" spans="27:27">
      <c r="AA40" s="594"/>
    </row>
    <row r="41" s="93" customFormat="1" customHeight="1" spans="27:27">
      <c r="AA41" s="594"/>
    </row>
    <row r="42" s="93" customFormat="1" customHeight="1" spans="27:27">
      <c r="AA42" s="594"/>
    </row>
    <row r="43" s="93" customFormat="1" customHeight="1" spans="27:27">
      <c r="AA43" s="594"/>
    </row>
    <row r="44" s="93" customFormat="1" customHeight="1" spans="27:27">
      <c r="AA44" s="594"/>
    </row>
    <row r="45" s="93" customFormat="1" customHeight="1" spans="27:27">
      <c r="AA45" s="594"/>
    </row>
    <row r="46" s="93" customFormat="1" customHeight="1" spans="27:27">
      <c r="AA46" s="594"/>
    </row>
    <row r="47" s="93" customFormat="1" customHeight="1" spans="27:27">
      <c r="AA47" s="594"/>
    </row>
    <row r="48" s="93" customFormat="1" customHeight="1" spans="27:27">
      <c r="AA48" s="594"/>
    </row>
    <row r="49" s="93" customFormat="1" customHeight="1" spans="27:27">
      <c r="AA49" s="594"/>
    </row>
    <row r="50" s="93" customFormat="1" customHeight="1" spans="27:27">
      <c r="AA50" s="594"/>
    </row>
    <row r="51" s="93" customFormat="1" customHeight="1" spans="27:27">
      <c r="AA51" s="594"/>
    </row>
    <row r="52" s="93" customFormat="1" customHeight="1" spans="27:27">
      <c r="AA52" s="594"/>
    </row>
    <row r="53" s="93" customFormat="1" customHeight="1" spans="27:27">
      <c r="AA53" s="594"/>
    </row>
    <row r="54" s="93" customFormat="1" customHeight="1" spans="27:27">
      <c r="AA54" s="594"/>
    </row>
    <row r="55" s="93" customFormat="1" customHeight="1" spans="27:27">
      <c r="AA55" s="594"/>
    </row>
    <row r="56" s="93" customFormat="1" customHeight="1" spans="27:27">
      <c r="AA56" s="594"/>
    </row>
    <row r="57" s="93" customFormat="1" customHeight="1" spans="27:27">
      <c r="AA57" s="594"/>
    </row>
    <row r="58" s="93" customFormat="1" customHeight="1" spans="27:27">
      <c r="AA58" s="594"/>
    </row>
    <row r="59" s="93" customFormat="1" customHeight="1" spans="27:27">
      <c r="AA59" s="594"/>
    </row>
    <row r="60" s="93" customFormat="1" customHeight="1" spans="27:27">
      <c r="AA60" s="594"/>
    </row>
    <row r="61" s="93" customFormat="1" customHeight="1" spans="27:27">
      <c r="AA61" s="594"/>
    </row>
    <row r="62" s="93" customFormat="1" customHeight="1" spans="27:27">
      <c r="AA62" s="594"/>
    </row>
    <row r="63" s="93" customFormat="1" customHeight="1" spans="27:27">
      <c r="AA63" s="594"/>
    </row>
    <row r="64" s="93" customFormat="1" customHeight="1" spans="27:27">
      <c r="AA64" s="594"/>
    </row>
    <row r="65" s="93" customFormat="1" customHeight="1" spans="27:27">
      <c r="AA65" s="594"/>
    </row>
  </sheetData>
  <mergeCells count="37">
    <mergeCell ref="A1:C1"/>
    <mergeCell ref="A2:C2"/>
    <mergeCell ref="A3:C3"/>
    <mergeCell ref="A6:C6"/>
    <mergeCell ref="V6:W6"/>
    <mergeCell ref="A8:AD8"/>
    <mergeCell ref="A9:AD9"/>
    <mergeCell ref="I12:J12"/>
    <mergeCell ref="L12:M12"/>
    <mergeCell ref="N12:O12"/>
    <mergeCell ref="P12:Q12"/>
    <mergeCell ref="A12:A13"/>
    <mergeCell ref="B12:B13"/>
    <mergeCell ref="C12:C13"/>
    <mergeCell ref="D12:D13"/>
    <mergeCell ref="E12:E13"/>
    <mergeCell ref="F12:F13"/>
    <mergeCell ref="G12:G13"/>
    <mergeCell ref="H12:H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s>
  <conditionalFormatting sqref="T32:U33;T14:U28">
    <cfRule type="expression" dxfId="1284" priority="1" stopIfTrue="1">
      <formula>IF($U14="warning",TRUE,FALSE)</formula>
    </cfRule>
  </conditionalFormatting>
  <conditionalFormatting sqref="C27:M27;AH30;K31;AC31:AG31;V31:Z31;AJ31;C31:F31;AH15;AI14:AJ14;AD14:AG14">
    <cfRule type="expression" dxfId="1285" priority="2" stopIfTrue="1">
      <formula>IF(OR(#REF!="not",#REF!="resign",#REF!="resign",#REF!="end",#REF!="terminated",#REF!="permanent"),"TRUE","FALSE")</formula>
    </cfRule>
  </conditionalFormatting>
  <conditionalFormatting sqref="B27:M27;AH32;AI28:AK28;B28:AG28;L30:M30;V30:Z30;AJ30;C30:F30;AC30:AH30;W14:Z14;E14:F14;AH15:AH22">
    <cfRule type="expression" dxfId="1286" priority="3" stopIfTrue="1">
      <formula>IF(OR(#REF!="not",#REF!="resign",#REF!="resign",#REF!="end",#REF!="terminated",#REF!="permanent"),"TRUE","FALSE")</formula>
    </cfRule>
  </conditionalFormatting>
  <conditionalFormatting sqref="E27:E28;Z27:Z28;L32:M33;V32:Z33;AJ32:AJ33;C32:F33;AC32:AH33;AH27:AH28">
    <cfRule type="expression" dxfId="1287" priority="4" stopIfTrue="1">
      <formula>IF(OR(#REF!="not",#REF!="resign",#REF!="resign",#REF!="end",#REF!="terminated",#REF!="permanent"),"TRUE","FALSE")</formula>
    </cfRule>
  </conditionalFormatting>
  <conditionalFormatting sqref="N15:O23">
    <cfRule type="expression" dxfId="1288" priority="5" stopIfTrue="1">
      <formula>IF(OR($AZ15="not",$AZ15="resign",$AZ15="resign",$AZ15="end",$AZ15="terminated",$AZ15="permanent"),"TRUE","FALSE")</formula>
    </cfRule>
  </conditionalFormatting>
  <conditionalFormatting sqref="F15:F23">
    <cfRule type="expression" dxfId="1289" priority="6" stopIfTrue="1">
      <formula>IF(OR($AZ15="not",$AZ15="resign",$AZ15="resign",$AZ15="end",$AZ15="terminated",$AZ15="permanent"),"TRUE","FALSE")</formula>
    </cfRule>
  </conditionalFormatting>
  <conditionalFormatting sqref="B15:B23">
    <cfRule type="expression" dxfId="1290" priority="7" stopIfTrue="1">
      <formula>IF(OR($AZ15="not",$AZ15="resign",$AZ15="resign",$AZ15="end",$AZ15="terminated",$AZ15="permanent"),"TRUE","FALSE")</formula>
    </cfRule>
  </conditionalFormatting>
  <conditionalFormatting sqref="AD30:AJ30;AH31:AH33">
    <cfRule type="expression" dxfId="1291" priority="8" stopIfTrue="1">
      <formula>IF(OR(#REF!="not",#REF!="resign",#REF!="resign",#REF!="end",#REF!="terminated",#REF!="permanent"),"TRUE","FALSE")</formula>
    </cfRule>
  </conditionalFormatting>
  <conditionalFormatting sqref="AH32;AI32:AI33;AH31:AI31">
    <cfRule type="expression" dxfId="1292" priority="9" stopIfTrue="1">
      <formula>IF(OR(#REF!="not",#REF!="resign",#REF!="resign",#REF!="end",#REF!="terminated",#REF!="permanent"),"TRUE","FALSE")</formula>
    </cfRule>
  </conditionalFormatting>
  <conditionalFormatting sqref="AH32">
    <cfRule type="expression" dxfId="1293" priority="10" stopIfTrue="1">
      <formula>IF(OR(#REF!="not",#REF!="resign",#REF!="resign",#REF!="end",#REF!="terminated",#REF!="permanent"),"TRUE","FALSE")</formula>
    </cfRule>
  </conditionalFormatting>
  <conditionalFormatting sqref="AH14">
    <cfRule type="expression" dxfId="1294" priority="11" stopIfTrue="1">
      <formula>IF(OR(#REF!="not",#REF!="resign",#REF!="resign",#REF!="end",#REF!="terminated",#REF!="permanent"),"TRUE","FALSE")</formula>
    </cfRule>
  </conditionalFormatting>
  <conditionalFormatting sqref="N29:Q29">
    <cfRule type="expression" dxfId="1295" priority="12" stopIfTrue="1">
      <formula>IF(OR($AZ29="not",$AZ29="resign",$AZ29="resign",$AZ29="end",$AZ29="terminated",$AZ29="permanent"),"TRUE","FALSE")</formula>
    </cfRule>
  </conditionalFormatting>
  <conditionalFormatting sqref="F29">
    <cfRule type="expression" dxfId="1296" priority="13" stopIfTrue="1">
      <formula>IF(OR($AZ29="not",$AZ29="resign",$AZ29="resign",$AZ29="end",$AZ29="terminated",$AZ29="permanent"),"TRUE","FALSE")</formula>
    </cfRule>
  </conditionalFormatting>
  <conditionalFormatting sqref="B29">
    <cfRule type="expression" dxfId="1297" priority="14" stopIfTrue="1">
      <formula>IF(OR($AZ29="not",$AZ29="resign",$AZ29="resign",$AZ29="end",$AZ29="terminated",$AZ29="permanent"),"TRUE","FALSE")</formula>
    </cfRule>
  </conditionalFormatting>
  <conditionalFormatting sqref="R29">
    <cfRule type="expression" dxfId="1298" priority="15" stopIfTrue="1">
      <formula>IF(OR($AZ29="not",$AZ29="resign",$AZ29="resign",$AZ29="end",$AZ29="terminated",$AZ29="permanent"),"TRUE","FALSE")</formula>
    </cfRule>
  </conditionalFormatting>
  <conditionalFormatting sqref="S29">
    <cfRule type="expression" dxfId="1299" priority="16" stopIfTrue="1">
      <formula>IF(OR($AZ29="not",$AZ29="resign",$AZ29="resign",$AZ29="end",$AZ29="terminated",$AZ29="permanent"),"TRUE","FALSE")</formula>
    </cfRule>
  </conditionalFormatting>
  <conditionalFormatting sqref="AK29">
    <cfRule type="expression" dxfId="1300" priority="17" stopIfTrue="1">
      <formula>IF(OR($AZ29="not",$AZ29="resign",$AZ29="resign",$AZ29="end",$AZ29="terminated",$AZ29="permanent"),"TRUE","FALSE")</formula>
    </cfRule>
  </conditionalFormatting>
  <conditionalFormatting sqref="AH30">
    <cfRule type="expression" dxfId="1301" priority="18" stopIfTrue="1">
      <formula>IF(OR($AY28="not",$AY28="resign",$AY28="resign",$AY28="end",$AY28="terminated",$AY28="permanent"),"TRUE","FALSE")</formula>
    </cfRule>
    <cfRule type="expression" dxfId="1302" priority="19" stopIfTrue="1">
      <formula>IF(OR(#REF!="not",#REF!="resign",#REF!="resign",#REF!="end",#REF!="terminated",#REF!="permanent"),"TRUE","FALSE")</formula>
    </cfRule>
    <cfRule type="expression" dxfId="1303" priority="20" stopIfTrue="1">
      <formula>IF(OR($AZ28="not",$AZ28="resign",$AZ28="resign",$AZ28="end",$AZ28="terminated",$AZ28="permanent"),"TRUE","FALSE")</formula>
    </cfRule>
  </conditionalFormatting>
  <conditionalFormatting sqref="AI30:AJ30">
    <cfRule type="expression" dxfId="1304" priority="21" stopIfTrue="1">
      <formula>IF(OR($AY30="not",$AY30="resign",$AY30="resign",$AY30="end",$AY30="terminated",$AY30="permanent"),"TRUE","FALSE")</formula>
    </cfRule>
  </conditionalFormatting>
  <conditionalFormatting sqref="AI30">
    <cfRule type="expression" dxfId="1305" priority="22" stopIfTrue="1">
      <formula>IF(OR(#REF!="not",#REF!="resign",#REF!="resign",#REF!="end",#REF!="terminated",#REF!="permanent"),"TRUE","FALSE")</formula>
    </cfRule>
  </conditionalFormatting>
  <conditionalFormatting sqref="AC30:AG30">
    <cfRule type="expression" dxfId="1306" priority="23" stopIfTrue="1">
      <formula>IF(OR($AY30="not",$AY30="resign",$AY30="resign",$AY30="end",$AY30="terminated",$AY30="permanent"),"TRUE","FALSE")</formula>
    </cfRule>
  </conditionalFormatting>
  <conditionalFormatting sqref="N30:O30">
    <cfRule type="expression" dxfId="1307" priority="24" stopIfTrue="1">
      <formula>IF(OR($AZ30="not",$AZ30="resign",$AZ30="resign",$AZ30="end",$AZ30="terminated",$AZ30="permanent"),"TRUE","FALSE")</formula>
    </cfRule>
  </conditionalFormatting>
  <conditionalFormatting sqref="B30">
    <cfRule type="expression" dxfId="1308" priority="25" stopIfTrue="1">
      <formula>IF(OR($AZ30="not",$AZ30="resign",$AZ30="resign",$AZ30="end",$AZ30="terminated",$AZ30="permanent"),"TRUE","FALSE")</formula>
    </cfRule>
  </conditionalFormatting>
  <conditionalFormatting sqref="AH31">
    <cfRule type="expression" dxfId="1309" priority="26" stopIfTrue="1">
      <formula>IF(OR($AY30="not",$AY30="resign",$AY30="resign",$AY30="end",$AY30="terminated",$AY30="permanent"),"TRUE","FALSE")</formula>
    </cfRule>
    <cfRule type="expression" dxfId="1310" priority="27" stopIfTrue="1">
      <formula>IF(OR($AZ30="not",$AZ30="resign",$AZ30="resign",$AZ30="end",$AZ30="terminated",$AZ30="permanent"),"TRUE","FALSE")</formula>
    </cfRule>
  </conditionalFormatting>
  <conditionalFormatting sqref="AI32:AK33;B32:AG33">
    <cfRule type="expression" dxfId="1311" priority="28" stopIfTrue="1">
      <formula>IF(OR(#REF!="not",#REF!="resign",#REF!="resign",#REF!="end",#REF!="terminated",#REF!="permanent"),"TRUE","FALSE")</formula>
    </cfRule>
  </conditionalFormatting>
  <conditionalFormatting sqref="AH33">
    <cfRule type="expression" dxfId="1312" priority="29" stopIfTrue="1">
      <formula>IF(OR(#REF!="not",#REF!="resign",#REF!="resign",#REF!="end",#REF!="terminated",#REF!="permanent"),"TRUE","FALSE")</formula>
    </cfRule>
    <cfRule type="expression" dxfId="1313" priority="30" stopIfTrue="1">
      <formula>IF(OR(#REF!="not",#REF!="resign",#REF!="resign",#REF!="end",#REF!="terminated",#REF!="permanent"),"TRUE","FALSE")</formula>
    </cfRule>
  </conditionalFormatting>
  <conditionalFormatting sqref="AH32:AH33">
    <cfRule type="expression" dxfId="1314" priority="31" stopIfTrue="1">
      <formula>IF(OR(#REF!="not",#REF!="resign",#REF!="resign",#REF!="end",#REF!="terminated",#REF!="permanent"),"TRUE","FALSE")</formula>
    </cfRule>
    <cfRule type="expression" dxfId="1315" priority="32" stopIfTrue="1">
      <formula>IF(OR(#REF!="not",#REF!="resign",#REF!="resign",#REF!="end",#REF!="terminated",#REF!="permanent"),"TRUE","FALSE")</formula>
    </cfRule>
  </conditionalFormatting>
  <conditionalFormatting sqref="C32:E33">
    <cfRule type="expression" dxfId="1316" priority="33" stopIfTrue="1">
      <formula>IF(OR(#REF!="not",#REF!="resign",#REF!="resign",#REF!="end",#REF!="terminated",#REF!="permanent"),"TRUE","FALSE")</formula>
    </cfRule>
  </conditionalFormatting>
  <conditionalFormatting sqref="AI32:AJ33;AC32:AG33">
    <cfRule type="expression" dxfId="1317" priority="34" stopIfTrue="1">
      <formula>IF(OR(#REF!="not",#REF!="resign",#REF!="resign",#REF!="end",#REF!="terminated",#REF!="permanent"),"TRUE","FALSE")</formula>
    </cfRule>
  </conditionalFormatting>
  <conditionalFormatting sqref="L34:M34;V34:Z34;AJ34;C34:F34;AC34:AH34">
    <cfRule type="expression" dxfId="1318" priority="35" stopIfTrue="1">
      <formula>IF(OR(#REF!="not",#REF!="resign",#REF!="resign",#REF!="end",#REF!="terminated",#REF!="permanent"),"TRUE","FALSE")</formula>
    </cfRule>
  </conditionalFormatting>
  <conditionalFormatting sqref="AI34">
    <cfRule type="expression" dxfId="1319" priority="36" stopIfTrue="1">
      <formula>IF(OR(#REF!="not",#REF!="resign",#REF!="resign",#REF!="end",#REF!="terminated",#REF!="permanent"),"TRUE","FALSE")</formula>
    </cfRule>
  </conditionalFormatting>
  <conditionalFormatting sqref="AI34:AK34;B34:AG34">
    <cfRule type="expression" dxfId="1320" priority="37" stopIfTrue="1">
      <formula>IF(OR(#REF!="not",#REF!="resign",#REF!="resign",#REF!="end",#REF!="terminated",#REF!="permanent"),"TRUE","FALSE")</formula>
    </cfRule>
  </conditionalFormatting>
  <conditionalFormatting sqref="C34:E34">
    <cfRule type="expression" dxfId="1321" priority="38" stopIfTrue="1">
      <formula>IF(OR(#REF!="not",#REF!="resign",#REF!="resign",#REF!="end",#REF!="terminated",#REF!="permanent"),"TRUE","FALSE")</formula>
    </cfRule>
  </conditionalFormatting>
  <conditionalFormatting sqref="AI34:AJ34;AC34:AG34">
    <cfRule type="expression" dxfId="1322" priority="39" stopIfTrue="1">
      <formula>IF(OR(#REF!="not",#REF!="resign",#REF!="resign",#REF!="end",#REF!="terminated",#REF!="permanent"),"TRUE","FALSE")</formula>
    </cfRule>
  </conditionalFormatting>
  <conditionalFormatting sqref="L35:M35;V35:Z35;AJ35;C35:F35;AC35:AH35">
    <cfRule type="expression" dxfId="1323" priority="40" stopIfTrue="1">
      <formula>IF(OR(#REF!="not",#REF!="resign",#REF!="resign",#REF!="end",#REF!="terminated",#REF!="permanent"),"TRUE","FALSE")</formula>
    </cfRule>
  </conditionalFormatting>
  <conditionalFormatting sqref="AI35">
    <cfRule type="expression" dxfId="1324" priority="41" stopIfTrue="1">
      <formula>IF(OR(#REF!="not",#REF!="resign",#REF!="resign",#REF!="end",#REF!="terminated",#REF!="permanent"),"TRUE","FALSE")</formula>
    </cfRule>
  </conditionalFormatting>
  <conditionalFormatting sqref="AI35:AK35;B35:AG35">
    <cfRule type="expression" dxfId="1325" priority="42" stopIfTrue="1">
      <formula>IF(OR(#REF!="not",#REF!="resign",#REF!="resign",#REF!="end",#REF!="terminated",#REF!="permanent"),"TRUE","FALSE")</formula>
    </cfRule>
  </conditionalFormatting>
  <conditionalFormatting sqref="C35:E35">
    <cfRule type="expression" dxfId="1326" priority="43" stopIfTrue="1">
      <formula>IF(OR(#REF!="not",#REF!="resign",#REF!="resign",#REF!="end",#REF!="terminated",#REF!="permanent"),"TRUE","FALSE")</formula>
    </cfRule>
  </conditionalFormatting>
  <conditionalFormatting sqref="AI35:AJ35;AC35:AG35">
    <cfRule type="expression" dxfId="1327" priority="44" stopIfTrue="1">
      <formula>IF(OR(#REF!="not",#REF!="resign",#REF!="resign",#REF!="end",#REF!="terminated",#REF!="permanent"),"TRUE","FALSE")</formula>
    </cfRule>
  </conditionalFormatting>
  <conditionalFormatting sqref="L36:M36;V36:Z36;AJ36;C36:F36;AC36:AH36">
    <cfRule type="expression" dxfId="1328" priority="45" stopIfTrue="1">
      <formula>IF(OR(#REF!="not",#REF!="resign",#REF!="resign",#REF!="end",#REF!="terminated",#REF!="permanent"),"TRUE","FALSE")</formula>
    </cfRule>
  </conditionalFormatting>
  <conditionalFormatting sqref="AI36">
    <cfRule type="expression" dxfId="1329" priority="46" stopIfTrue="1">
      <formula>IF(OR(#REF!="not",#REF!="resign",#REF!="resign",#REF!="end",#REF!="terminated",#REF!="permanent"),"TRUE","FALSE")</formula>
    </cfRule>
  </conditionalFormatting>
  <conditionalFormatting sqref="AI36:AK36;B36:AG36">
    <cfRule type="expression" dxfId="1330" priority="47" stopIfTrue="1">
      <formula>IF(OR(#REF!="not",#REF!="resign",#REF!="resign",#REF!="end",#REF!="terminated",#REF!="permanent"),"TRUE","FALSE")</formula>
    </cfRule>
  </conditionalFormatting>
  <conditionalFormatting sqref="C36:E36">
    <cfRule type="expression" dxfId="1331" priority="48" stopIfTrue="1">
      <formula>IF(OR(#REF!="not",#REF!="resign",#REF!="resign",#REF!="end",#REF!="terminated",#REF!="permanent"),"TRUE","FALSE")</formula>
    </cfRule>
  </conditionalFormatting>
  <conditionalFormatting sqref="AI36:AJ36;AC36:AG36">
    <cfRule type="expression" dxfId="1332" priority="49" stopIfTrue="1">
      <formula>IF(OR(#REF!="not",#REF!="resign",#REF!="resign",#REF!="end",#REF!="terminated",#REF!="permanent"),"TRUE","FALSE")</formula>
    </cfRule>
  </conditionalFormatting>
  <conditionalFormatting sqref="L37:M37;V37:Z37;AJ37;C37:F37;AC37:AH37">
    <cfRule type="expression" dxfId="1333" priority="50" stopIfTrue="1">
      <formula>IF(OR(#REF!="not",#REF!="resign",#REF!="resign",#REF!="end",#REF!="terminated",#REF!="permanent"),"TRUE","FALSE")</formula>
    </cfRule>
  </conditionalFormatting>
  <conditionalFormatting sqref="AI37">
    <cfRule type="expression" dxfId="1334" priority="51" stopIfTrue="1">
      <formula>IF(OR(#REF!="not",#REF!="resign",#REF!="resign",#REF!="end",#REF!="terminated",#REF!="permanent"),"TRUE","FALSE")</formula>
    </cfRule>
  </conditionalFormatting>
  <conditionalFormatting sqref="AI37:AK37;B37:AG37">
    <cfRule type="expression" dxfId="1335" priority="52" stopIfTrue="1">
      <formula>IF(OR(#REF!="not",#REF!="resign",#REF!="resign",#REF!="end",#REF!="terminated",#REF!="permanent"),"TRUE","FALSE")</formula>
    </cfRule>
  </conditionalFormatting>
  <conditionalFormatting sqref="C37:E37">
    <cfRule type="expression" dxfId="1336" priority="53" stopIfTrue="1">
      <formula>IF(OR(#REF!="not",#REF!="resign",#REF!="resign",#REF!="end",#REF!="terminated",#REF!="permanent"),"TRUE","FALSE")</formula>
    </cfRule>
  </conditionalFormatting>
  <conditionalFormatting sqref="AI37:AJ37;AC37:AG37">
    <cfRule type="expression" dxfId="1337" priority="54" stopIfTrue="1">
      <formula>IF(OR(#REF!="not",#REF!="resign",#REF!="resign",#REF!="end",#REF!="terminated",#REF!="permanent"),"TRUE","FALSE")</formula>
    </cfRule>
  </conditionalFormatting>
  <conditionalFormatting sqref="L38:M38;V38:Z38;AJ38;C38:F38;AC38:AH38">
    <cfRule type="expression" dxfId="1338" priority="55" stopIfTrue="1">
      <formula>IF(OR(#REF!="not",#REF!="resign",#REF!="resign",#REF!="end",#REF!="terminated",#REF!="permanent"),"TRUE","FALSE")</formula>
    </cfRule>
  </conditionalFormatting>
  <conditionalFormatting sqref="AI38">
    <cfRule type="expression" dxfId="1339" priority="56" stopIfTrue="1">
      <formula>IF(OR(#REF!="not",#REF!="resign",#REF!="resign",#REF!="end",#REF!="terminated",#REF!="permanent"),"TRUE","FALSE")</formula>
    </cfRule>
  </conditionalFormatting>
  <conditionalFormatting sqref="AI38:AK38;B38:AG38">
    <cfRule type="expression" dxfId="1340" priority="57" stopIfTrue="1">
      <formula>IF(OR(#REF!="not",#REF!="resign",#REF!="resign",#REF!="end",#REF!="terminated",#REF!="permanent"),"TRUE","FALSE")</formula>
    </cfRule>
  </conditionalFormatting>
  <conditionalFormatting sqref="C38:E38">
    <cfRule type="expression" dxfId="1341" priority="58" stopIfTrue="1">
      <formula>IF(OR(#REF!="not",#REF!="resign",#REF!="resign",#REF!="end",#REF!="terminated",#REF!="permanent"),"TRUE","FALSE")</formula>
    </cfRule>
  </conditionalFormatting>
  <conditionalFormatting sqref="AI38:AJ38;AC38:AG38">
    <cfRule type="expression" dxfId="1342" priority="59" stopIfTrue="1">
      <formula>IF(OR(#REF!="not",#REF!="resign",#REF!="resign",#REF!="end",#REF!="terminated",#REF!="permanent"),"TRUE","FALSE")</formula>
    </cfRule>
  </conditionalFormatting>
  <conditionalFormatting sqref="L39:M39;V39:Z39;AJ39;C39:F39;AC39:AH39">
    <cfRule type="expression" dxfId="1343" priority="60" stopIfTrue="1">
      <formula>IF(OR(#REF!="not",#REF!="resign",#REF!="resign",#REF!="end",#REF!="terminated",#REF!="permanent"),"TRUE","FALSE")</formula>
    </cfRule>
  </conditionalFormatting>
  <conditionalFormatting sqref="AI39">
    <cfRule type="expression" dxfId="1344" priority="61" stopIfTrue="1">
      <formula>IF(OR(#REF!="not",#REF!="resign",#REF!="resign",#REF!="end",#REF!="terminated",#REF!="permanent"),"TRUE","FALSE")</formula>
    </cfRule>
  </conditionalFormatting>
  <conditionalFormatting sqref="AI39:AK39;B39:AG39">
    <cfRule type="expression" dxfId="1345" priority="62" stopIfTrue="1">
      <formula>IF(OR(#REF!="not",#REF!="resign",#REF!="resign",#REF!="end",#REF!="terminated",#REF!="permanent"),"TRUE","FALSE")</formula>
    </cfRule>
  </conditionalFormatting>
  <conditionalFormatting sqref="C39:E39">
    <cfRule type="expression" dxfId="1346" priority="63" stopIfTrue="1">
      <formula>IF(OR(#REF!="not",#REF!="resign",#REF!="resign",#REF!="end",#REF!="terminated",#REF!="permanent"),"TRUE","FALSE")</formula>
    </cfRule>
  </conditionalFormatting>
  <conditionalFormatting sqref="AI39:AJ39;AC39:AG39">
    <cfRule type="expression" dxfId="1347" priority="64" stopIfTrue="1">
      <formula>IF(OR(#REF!="not",#REF!="resign",#REF!="resign",#REF!="end",#REF!="terminated",#REF!="permanent"),"TRUE","FALSE")</formula>
    </cfRule>
  </conditionalFormatting>
  <hyperlinks>
    <hyperlink ref="AH28" location="" display="ext-sakti.halomoan@microsoft.com"/>
    <hyperlink ref="AH32" location="" display="andam.tjhan@live.com"/>
    <hyperlink ref="AH33" location="" display="heri.suhendro@outlook.com"/>
    <hyperlink ref="AH29" location="" display="ext-indri.martanti@microsoft.com"/>
    <hyperlink ref="AH30" location="" display="rizkamelia.2@gmail.com"/>
    <hyperlink ref="AH31" location="" display="ext-dewi.rachmayana@microsoft.com"/>
  </hyperlinks>
  <pageMargins left="0" right="0" top="1" bottom="1" header="0" footer="0"/>
  <pageSetup paperSize="9" scale="24" orientation="landscape"/>
  <headerFooter alignWithMargins="0"/>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Y191"/>
  <sheetViews>
    <sheetView showGridLines="0" topLeftCell="A12" workbookViewId="0">
      <pane xSplit="4" ySplit="2" topLeftCell="I14" activePane="bottomRight" state="frozen"/>
      <selection/>
      <selection pane="topRight"/>
      <selection pane="bottomLeft"/>
      <selection pane="bottomRight" activeCell="C18" sqref="C18"/>
    </sheetView>
  </sheetViews>
  <sheetFormatPr defaultColWidth="9" defaultRowHeight="12.95" customHeight="1"/>
  <cols>
    <col min="1" max="1" width="5.14166666666667" style="94" customWidth="1"/>
    <col min="2" max="2" width="10.425" style="94" customWidth="1"/>
    <col min="3" max="3" width="17.1416666666667" style="94" customWidth="1"/>
    <col min="4" max="4" width="16.5666666666667" style="94" customWidth="1"/>
    <col min="5" max="5" width="4.425" style="94" customWidth="1"/>
    <col min="6" max="6" width="7.425" style="94" customWidth="1"/>
    <col min="7" max="7" width="24.2833333333333" style="94" customWidth="1"/>
    <col min="8" max="8" width="18" style="94" customWidth="1"/>
    <col min="9" max="9" width="12.1416666666667" style="94" customWidth="1"/>
    <col min="10" max="10" width="10.1416666666667" style="94" customWidth="1"/>
    <col min="11" max="11" width="10" style="94" customWidth="1"/>
    <col min="12" max="12" width="9.14166666666667" style="94" customWidth="1"/>
    <col min="13" max="13" width="11.8583333333333" style="94" customWidth="1"/>
    <col min="14" max="14" width="13" style="94" customWidth="1"/>
    <col min="15" max="15" width="27.7083333333333" style="583" customWidth="1"/>
    <col min="16" max="16" width="38.2833333333333" style="94" customWidth="1"/>
    <col min="17" max="17" width="36.425" style="94" customWidth="1"/>
    <col min="18" max="18" width="25.7083333333333" style="94" customWidth="1"/>
    <col min="19" max="19" width="14.8583333333333" style="94" customWidth="1"/>
    <col min="20" max="20" width="10.7083333333333" style="94" customWidth="1"/>
    <col min="21" max="21" width="15" style="94" customWidth="1"/>
    <col min="22" max="22" width="27.2833333333333" style="94" customWidth="1"/>
    <col min="23" max="23" width="32.5666666666667" style="94" customWidth="1"/>
    <col min="24" max="24" width="31.1416666666667" style="94" customWidth="1"/>
    <col min="25" max="25" width="18.1416666666667" style="94" customWidth="1"/>
    <col min="26" max="26" width="23.1416666666667" style="94" customWidth="1"/>
    <col min="27" max="39" width="9.14166666666667" style="94"/>
    <col min="40" max="40" width="3.85833333333333" style="94" customWidth="1"/>
    <col min="41" max="16384" width="9.14166666666667" style="94"/>
  </cols>
  <sheetData>
    <row r="1" s="91" customFormat="1" customHeight="1" spans="1:16">
      <c r="A1" s="96"/>
      <c r="B1" s="96"/>
      <c r="C1" s="96"/>
      <c r="D1" s="96"/>
      <c r="E1" s="96"/>
      <c r="F1" s="96"/>
      <c r="O1" s="204"/>
      <c r="P1" s="123" t="s">
        <v>11108</v>
      </c>
    </row>
    <row r="2" s="91" customFormat="1" customHeight="1" spans="1:16">
      <c r="A2" s="96"/>
      <c r="B2" s="96"/>
      <c r="C2" s="96"/>
      <c r="D2" s="96"/>
      <c r="E2" s="96"/>
      <c r="F2" s="96"/>
      <c r="O2" s="204"/>
      <c r="P2" s="123" t="s">
        <v>11109</v>
      </c>
    </row>
    <row r="3" s="91" customFormat="1" customHeight="1" spans="1:16">
      <c r="A3" s="96"/>
      <c r="B3" s="96"/>
      <c r="C3" s="96"/>
      <c r="D3" s="96"/>
      <c r="E3" s="96"/>
      <c r="F3" s="96"/>
      <c r="O3" s="204"/>
      <c r="P3" s="123" t="s">
        <v>11110</v>
      </c>
    </row>
    <row r="4" s="91" customFormat="1" customHeight="1" spans="1:16">
      <c r="A4" s="96"/>
      <c r="B4" s="96"/>
      <c r="C4" s="96"/>
      <c r="D4" s="96"/>
      <c r="E4" s="96"/>
      <c r="F4" s="96"/>
      <c r="O4" s="204"/>
      <c r="P4" s="123" t="s">
        <v>11111</v>
      </c>
    </row>
    <row r="5" s="91" customFormat="1" customHeight="1" spans="1:15">
      <c r="A5" s="96"/>
      <c r="B5" s="96"/>
      <c r="C5" s="96"/>
      <c r="D5" s="96"/>
      <c r="E5" s="96"/>
      <c r="F5" s="96"/>
      <c r="O5" s="204"/>
    </row>
    <row r="6" s="91" customFormat="1" customHeight="1" spans="1:15">
      <c r="A6" s="96"/>
      <c r="B6" s="96"/>
      <c r="C6" s="96"/>
      <c r="D6" s="96"/>
      <c r="E6" s="96"/>
      <c r="F6" s="96"/>
      <c r="O6" s="204"/>
    </row>
    <row r="7" s="91" customFormat="1" customHeight="1" spans="3:15">
      <c r="C7" s="96"/>
      <c r="D7" s="96"/>
      <c r="E7" s="96"/>
      <c r="F7" s="96"/>
      <c r="O7" s="204"/>
    </row>
    <row r="8" s="91" customFormat="1" customHeight="1" spans="1:22">
      <c r="A8" s="97" t="s">
        <v>7926</v>
      </c>
      <c r="B8" s="97"/>
      <c r="C8" s="97"/>
      <c r="D8" s="97"/>
      <c r="E8" s="97"/>
      <c r="F8" s="97"/>
      <c r="G8" s="97"/>
      <c r="H8" s="97"/>
      <c r="I8" s="97"/>
      <c r="J8" s="97"/>
      <c r="K8" s="97"/>
      <c r="L8" s="97"/>
      <c r="M8" s="97"/>
      <c r="N8" s="97"/>
      <c r="O8" s="97"/>
      <c r="P8" s="97"/>
      <c r="Q8" s="97"/>
      <c r="R8" s="97"/>
      <c r="S8" s="97"/>
      <c r="T8" s="97"/>
      <c r="U8" s="97"/>
      <c r="V8" s="97"/>
    </row>
    <row r="9" s="91" customFormat="1" customHeight="1" spans="1:22">
      <c r="A9" s="97" t="s">
        <v>12077</v>
      </c>
      <c r="B9" s="97"/>
      <c r="C9" s="97"/>
      <c r="D9" s="97"/>
      <c r="E9" s="97"/>
      <c r="F9" s="97"/>
      <c r="G9" s="97"/>
      <c r="H9" s="97"/>
      <c r="I9" s="97"/>
      <c r="J9" s="97"/>
      <c r="K9" s="97"/>
      <c r="L9" s="97"/>
      <c r="M9" s="97"/>
      <c r="N9" s="97"/>
      <c r="O9" s="97"/>
      <c r="P9" s="97"/>
      <c r="Q9" s="97"/>
      <c r="R9" s="97"/>
      <c r="S9" s="97"/>
      <c r="T9" s="97"/>
      <c r="U9" s="97"/>
      <c r="V9" s="97"/>
    </row>
    <row r="10" s="91" customFormat="1" customHeight="1" spans="1:15">
      <c r="A10" s="97"/>
      <c r="B10" s="97"/>
      <c r="C10" s="97"/>
      <c r="D10" s="97"/>
      <c r="E10" s="97"/>
      <c r="F10" s="97"/>
      <c r="G10" s="97"/>
      <c r="H10" s="97"/>
      <c r="I10" s="97"/>
      <c r="J10" s="97"/>
      <c r="K10" s="97"/>
      <c r="L10" s="97"/>
      <c r="M10" s="97"/>
      <c r="N10" s="97"/>
      <c r="O10" s="592"/>
    </row>
    <row r="11" s="91" customFormat="1" customHeight="1" spans="3:15">
      <c r="C11" s="96"/>
      <c r="D11" s="96"/>
      <c r="E11" s="96"/>
      <c r="F11" s="96"/>
      <c r="O11" s="204"/>
    </row>
    <row r="12" s="91" customFormat="1" ht="22.5" spans="1:25">
      <c r="A12" s="584" t="s">
        <v>0</v>
      </c>
      <c r="B12" s="535" t="s">
        <v>1</v>
      </c>
      <c r="C12" s="98" t="s">
        <v>2</v>
      </c>
      <c r="D12" s="98" t="s">
        <v>3</v>
      </c>
      <c r="E12" s="98" t="s">
        <v>4</v>
      </c>
      <c r="F12" s="98" t="s">
        <v>7929</v>
      </c>
      <c r="G12" s="98" t="s">
        <v>8</v>
      </c>
      <c r="H12" s="98" t="s">
        <v>11903</v>
      </c>
      <c r="I12" s="103" t="s">
        <v>11905</v>
      </c>
      <c r="J12" s="98" t="s">
        <v>16</v>
      </c>
      <c r="K12" s="189" t="s">
        <v>11906</v>
      </c>
      <c r="L12" s="189" t="s">
        <v>11907</v>
      </c>
      <c r="M12" s="189" t="s">
        <v>11908</v>
      </c>
      <c r="N12" s="98" t="s">
        <v>11909</v>
      </c>
      <c r="O12" s="103" t="s">
        <v>15</v>
      </c>
      <c r="P12" s="117" t="s">
        <v>15</v>
      </c>
      <c r="Q12" s="117" t="s">
        <v>28</v>
      </c>
      <c r="R12" s="118" t="s">
        <v>11426</v>
      </c>
      <c r="S12" s="597" t="s">
        <v>31</v>
      </c>
      <c r="T12" s="597" t="s">
        <v>7934</v>
      </c>
      <c r="U12" s="597" t="s">
        <v>34</v>
      </c>
      <c r="V12" s="597" t="s">
        <v>11910</v>
      </c>
      <c r="W12" s="601" t="s">
        <v>30</v>
      </c>
      <c r="X12" s="601" t="s">
        <v>11911</v>
      </c>
      <c r="Y12" s="124" t="s">
        <v>36</v>
      </c>
    </row>
    <row r="13" s="91" customFormat="1" ht="20.25" customHeight="1" spans="1:25">
      <c r="A13" s="584"/>
      <c r="B13" s="585"/>
      <c r="C13" s="99"/>
      <c r="D13" s="99"/>
      <c r="E13" s="99"/>
      <c r="F13" s="99"/>
      <c r="G13" s="99"/>
      <c r="H13" s="99"/>
      <c r="I13" s="174" t="s">
        <v>37</v>
      </c>
      <c r="J13" s="115"/>
      <c r="K13" s="587"/>
      <c r="L13" s="588"/>
      <c r="M13" s="588"/>
      <c r="N13" s="593"/>
      <c r="O13" s="111"/>
      <c r="P13" s="119"/>
      <c r="Q13" s="119"/>
      <c r="R13" s="120"/>
      <c r="S13" s="598"/>
      <c r="T13" s="598"/>
      <c r="U13" s="598"/>
      <c r="V13" s="598"/>
      <c r="W13" s="602"/>
      <c r="X13" s="602"/>
      <c r="Y13" s="126"/>
    </row>
    <row r="14" s="93" customFormat="1" ht="21.75" spans="1:25">
      <c r="A14" s="1585" t="s">
        <v>39</v>
      </c>
      <c r="B14" s="100" t="s">
        <v>12078</v>
      </c>
      <c r="C14" s="101" t="s">
        <v>12020</v>
      </c>
      <c r="D14" s="102" t="s">
        <v>12021</v>
      </c>
      <c r="E14" s="102" t="s">
        <v>125</v>
      </c>
      <c r="F14" s="102" t="s">
        <v>254</v>
      </c>
      <c r="G14" s="432" t="s">
        <v>12022</v>
      </c>
      <c r="H14" s="466" t="s">
        <v>12023</v>
      </c>
      <c r="I14" s="531">
        <v>42705</v>
      </c>
      <c r="J14" s="589">
        <v>20544000</v>
      </c>
      <c r="K14" s="589"/>
      <c r="L14" s="589"/>
      <c r="M14" s="589"/>
      <c r="N14" s="474"/>
      <c r="O14" s="116"/>
      <c r="P14" s="432" t="s">
        <v>12079</v>
      </c>
      <c r="Q14" s="432" t="s">
        <v>12025</v>
      </c>
      <c r="R14" s="223" t="s">
        <v>12026</v>
      </c>
      <c r="S14" s="122" t="s">
        <v>12027</v>
      </c>
      <c r="T14" s="599"/>
      <c r="U14" s="603" t="s">
        <v>12028</v>
      </c>
      <c r="V14" s="604" t="s">
        <v>12029</v>
      </c>
      <c r="W14" s="599" t="s">
        <v>12030</v>
      </c>
      <c r="X14" s="122" t="s">
        <v>12031</v>
      </c>
      <c r="Y14" s="101"/>
    </row>
    <row r="15" s="93" customFormat="1" ht="42" spans="1:25">
      <c r="A15" s="1585" t="s">
        <v>56</v>
      </c>
      <c r="B15" s="100" t="s">
        <v>12080</v>
      </c>
      <c r="C15" s="101" t="s">
        <v>12043</v>
      </c>
      <c r="D15" s="102" t="s">
        <v>12044</v>
      </c>
      <c r="E15" s="102" t="s">
        <v>43</v>
      </c>
      <c r="F15" s="102" t="s">
        <v>60</v>
      </c>
      <c r="G15" s="432" t="s">
        <v>11984</v>
      </c>
      <c r="H15" s="466" t="s">
        <v>11985</v>
      </c>
      <c r="I15" s="531">
        <v>42705</v>
      </c>
      <c r="J15" s="589">
        <v>11000000</v>
      </c>
      <c r="K15" s="589">
        <v>3000000</v>
      </c>
      <c r="L15" s="589">
        <v>750000</v>
      </c>
      <c r="M15" s="589">
        <v>750000</v>
      </c>
      <c r="N15" s="589"/>
      <c r="O15" s="116"/>
      <c r="P15" s="432" t="s">
        <v>12079</v>
      </c>
      <c r="Q15" s="432" t="s">
        <v>12046</v>
      </c>
      <c r="R15" s="1604" t="s">
        <v>12047</v>
      </c>
      <c r="S15" s="599"/>
      <c r="T15" s="599" t="s">
        <v>12048</v>
      </c>
      <c r="U15" s="603" t="s">
        <v>12049</v>
      </c>
      <c r="V15" s="604" t="s">
        <v>12050</v>
      </c>
      <c r="W15" s="599" t="s">
        <v>12051</v>
      </c>
      <c r="X15" s="122" t="s">
        <v>12052</v>
      </c>
      <c r="Y15" s="101"/>
    </row>
    <row r="16" s="93" customFormat="1" ht="10.5" spans="1:25">
      <c r="A16" s="1585" t="s">
        <v>68</v>
      </c>
      <c r="B16" s="100" t="s">
        <v>12081</v>
      </c>
      <c r="C16" s="101" t="s">
        <v>12054</v>
      </c>
      <c r="D16" s="102" t="s">
        <v>12055</v>
      </c>
      <c r="E16" s="102" t="s">
        <v>125</v>
      </c>
      <c r="F16" s="102" t="s">
        <v>44</v>
      </c>
      <c r="G16" s="432" t="s">
        <v>12056</v>
      </c>
      <c r="H16" s="466" t="s">
        <v>583</v>
      </c>
      <c r="I16" s="531">
        <v>42705</v>
      </c>
      <c r="J16" s="589">
        <v>14256000</v>
      </c>
      <c r="K16" s="589"/>
      <c r="L16" s="589"/>
      <c r="M16" s="589">
        <v>750000</v>
      </c>
      <c r="N16" s="589"/>
      <c r="O16" s="116" t="s">
        <v>12082</v>
      </c>
      <c r="P16" s="432" t="s">
        <v>12079</v>
      </c>
      <c r="Q16" s="432" t="s">
        <v>12058</v>
      </c>
      <c r="R16" s="223" t="s">
        <v>12059</v>
      </c>
      <c r="S16" s="122" t="s">
        <v>12060</v>
      </c>
      <c r="T16" s="122" t="s">
        <v>12061</v>
      </c>
      <c r="U16" s="156" t="s">
        <v>4713</v>
      </c>
      <c r="V16" s="605" t="s">
        <v>12062</v>
      </c>
      <c r="W16" s="599" t="s">
        <v>12063</v>
      </c>
      <c r="X16" s="122" t="s">
        <v>12064</v>
      </c>
      <c r="Y16" s="101"/>
    </row>
    <row r="17" s="93" customFormat="1" ht="21" spans="1:25">
      <c r="A17" s="1585" t="s">
        <v>78</v>
      </c>
      <c r="B17" s="100" t="s">
        <v>12083</v>
      </c>
      <c r="C17" s="101" t="s">
        <v>12084</v>
      </c>
      <c r="D17" s="102" t="s">
        <v>12085</v>
      </c>
      <c r="E17" s="102" t="s">
        <v>125</v>
      </c>
      <c r="F17" s="102" t="s">
        <v>404</v>
      </c>
      <c r="G17" s="432" t="s">
        <v>12086</v>
      </c>
      <c r="H17" s="432" t="s">
        <v>583</v>
      </c>
      <c r="I17" s="531">
        <v>42877</v>
      </c>
      <c r="J17" s="589">
        <v>38000000</v>
      </c>
      <c r="K17" s="589"/>
      <c r="L17" s="589">
        <v>2125000</v>
      </c>
      <c r="M17" s="589" t="s">
        <v>583</v>
      </c>
      <c r="N17" s="1605" t="s">
        <v>12087</v>
      </c>
      <c r="O17" s="116" t="s">
        <v>583</v>
      </c>
      <c r="P17" s="432" t="s">
        <v>12079</v>
      </c>
      <c r="Q17" s="432" t="s">
        <v>12088</v>
      </c>
      <c r="R17" s="1577" t="s">
        <v>12089</v>
      </c>
      <c r="S17" s="122" t="s">
        <v>12090</v>
      </c>
      <c r="T17" s="122"/>
      <c r="U17" s="1606" t="s">
        <v>12091</v>
      </c>
      <c r="V17" s="130" t="s">
        <v>12092</v>
      </c>
      <c r="W17" s="122" t="s">
        <v>12093</v>
      </c>
      <c r="X17" s="122" t="s">
        <v>12094</v>
      </c>
      <c r="Y17" s="101"/>
    </row>
    <row r="18" s="93" customFormat="1" customHeight="1" spans="1:25">
      <c r="A18" s="1585" t="s">
        <v>92</v>
      </c>
      <c r="B18" s="100" t="s">
        <v>12095</v>
      </c>
      <c r="C18" s="101" t="s">
        <v>12096</v>
      </c>
      <c r="D18" s="102" t="s">
        <v>12097</v>
      </c>
      <c r="E18" s="102" t="s">
        <v>43</v>
      </c>
      <c r="F18" s="102" t="s">
        <v>404</v>
      </c>
      <c r="G18" s="432" t="s">
        <v>12098</v>
      </c>
      <c r="H18" s="432"/>
      <c r="I18" s="531">
        <v>42948</v>
      </c>
      <c r="J18" s="589">
        <v>38760000</v>
      </c>
      <c r="K18" s="589"/>
      <c r="L18" s="589">
        <v>3000000</v>
      </c>
      <c r="M18" s="589"/>
      <c r="N18" s="589"/>
      <c r="O18" s="116"/>
      <c r="P18" s="432" t="s">
        <v>12079</v>
      </c>
      <c r="Q18" s="432" t="s">
        <v>12099</v>
      </c>
      <c r="R18" s="1579" t="s">
        <v>12100</v>
      </c>
      <c r="S18" s="1579" t="s">
        <v>12101</v>
      </c>
      <c r="T18" s="122"/>
      <c r="U18" s="1600" t="s">
        <v>12102</v>
      </c>
      <c r="V18" s="130" t="s">
        <v>12103</v>
      </c>
      <c r="W18" s="122" t="s">
        <v>12104</v>
      </c>
      <c r="X18" s="122" t="s">
        <v>12105</v>
      </c>
      <c r="Y18" s="221"/>
    </row>
    <row r="19" s="93" customFormat="1" customHeight="1" spans="1:25">
      <c r="A19" s="1585" t="s">
        <v>107</v>
      </c>
      <c r="B19" s="100" t="s">
        <v>12106</v>
      </c>
      <c r="C19" s="101" t="s">
        <v>12107</v>
      </c>
      <c r="D19" s="102" t="s">
        <v>12108</v>
      </c>
      <c r="E19" s="102" t="s">
        <v>43</v>
      </c>
      <c r="F19" s="102" t="s">
        <v>60</v>
      </c>
      <c r="G19" s="432" t="s">
        <v>12109</v>
      </c>
      <c r="H19" s="432"/>
      <c r="I19" s="531">
        <v>42948</v>
      </c>
      <c r="J19" s="589">
        <v>16500000</v>
      </c>
      <c r="K19" s="589"/>
      <c r="L19" s="589">
        <v>1500000</v>
      </c>
      <c r="M19" s="589"/>
      <c r="N19" s="589"/>
      <c r="O19" s="116"/>
      <c r="P19" s="432" t="s">
        <v>12079</v>
      </c>
      <c r="Q19" s="432" t="s">
        <v>12110</v>
      </c>
      <c r="R19" s="1579" t="s">
        <v>12111</v>
      </c>
      <c r="S19" s="1579" t="s">
        <v>12112</v>
      </c>
      <c r="T19" s="122"/>
      <c r="U19" s="599"/>
      <c r="V19" s="127" t="s">
        <v>12113</v>
      </c>
      <c r="W19" s="122" t="s">
        <v>12114</v>
      </c>
      <c r="X19" s="122" t="s">
        <v>12115</v>
      </c>
      <c r="Y19" s="221"/>
    </row>
    <row r="20" s="93" customFormat="1" customHeight="1" spans="1:25">
      <c r="A20" s="1585" t="s">
        <v>121</v>
      </c>
      <c r="B20" s="100" t="s">
        <v>12116</v>
      </c>
      <c r="C20" s="101" t="s">
        <v>12117</v>
      </c>
      <c r="D20" s="102" t="s">
        <v>12118</v>
      </c>
      <c r="E20" s="102" t="s">
        <v>43</v>
      </c>
      <c r="F20" s="102" t="s">
        <v>44</v>
      </c>
      <c r="G20" s="432" t="s">
        <v>12119</v>
      </c>
      <c r="H20" s="432"/>
      <c r="I20" s="531">
        <v>43054</v>
      </c>
      <c r="J20" s="589">
        <v>60000000</v>
      </c>
      <c r="K20" s="589"/>
      <c r="L20" s="589">
        <v>3000000</v>
      </c>
      <c r="M20" s="589"/>
      <c r="N20" s="589"/>
      <c r="O20" s="116"/>
      <c r="P20" s="432" t="s">
        <v>12079</v>
      </c>
      <c r="Q20" s="432" t="s">
        <v>12120</v>
      </c>
      <c r="R20" s="1579" t="s">
        <v>12121</v>
      </c>
      <c r="S20" s="1579" t="s">
        <v>12122</v>
      </c>
      <c r="T20" s="122"/>
      <c r="U20" s="1600" t="s">
        <v>12123</v>
      </c>
      <c r="V20" s="127" t="s">
        <v>12124</v>
      </c>
      <c r="W20" s="122" t="s">
        <v>12125</v>
      </c>
      <c r="X20" s="122" t="s">
        <v>12126</v>
      </c>
      <c r="Y20" s="221"/>
    </row>
    <row r="21" s="93" customFormat="1" customHeight="1" spans="15:25">
      <c r="O21" s="594"/>
      <c r="R21" s="570"/>
      <c r="S21" s="570"/>
      <c r="T21" s="570"/>
      <c r="U21" s="570"/>
      <c r="V21" s="570"/>
      <c r="W21" s="570"/>
      <c r="X21" s="570"/>
      <c r="Y21" s="570"/>
    </row>
    <row r="22" s="93" customFormat="1" customHeight="1" spans="15:25">
      <c r="O22" s="594"/>
      <c r="R22" s="570"/>
      <c r="S22" s="570"/>
      <c r="T22" s="570"/>
      <c r="U22" s="570"/>
      <c r="V22" s="570"/>
      <c r="W22" s="570"/>
      <c r="X22" s="570"/>
      <c r="Y22" s="570"/>
    </row>
    <row r="23" s="93" customFormat="1" customHeight="1" spans="15:25">
      <c r="O23" s="594"/>
      <c r="R23" s="570"/>
      <c r="S23" s="570"/>
      <c r="T23" s="570"/>
      <c r="U23" s="570"/>
      <c r="V23" s="570"/>
      <c r="W23" s="570"/>
      <c r="X23" s="570"/>
      <c r="Y23" s="570"/>
    </row>
    <row r="24" s="93" customFormat="1" customHeight="1" spans="1:25">
      <c r="A24" s="464" t="s">
        <v>2552</v>
      </c>
      <c r="B24" s="586"/>
      <c r="O24" s="594"/>
      <c r="R24" s="570"/>
      <c r="S24" s="570"/>
      <c r="T24" s="570"/>
      <c r="U24" s="570"/>
      <c r="V24" s="570"/>
      <c r="W24" s="570"/>
      <c r="X24" s="570"/>
      <c r="Y24" s="570"/>
    </row>
    <row r="25" s="93" customFormat="1" customHeight="1" spans="1:25">
      <c r="A25" s="161">
        <v>1</v>
      </c>
      <c r="B25" s="161" t="s">
        <v>12127</v>
      </c>
      <c r="C25" s="163" t="s">
        <v>12005</v>
      </c>
      <c r="D25" s="173" t="s">
        <v>12006</v>
      </c>
      <c r="E25" s="173" t="s">
        <v>125</v>
      </c>
      <c r="F25" s="173" t="s">
        <v>44</v>
      </c>
      <c r="G25" s="180" t="s">
        <v>11928</v>
      </c>
      <c r="H25" s="467" t="s">
        <v>12007</v>
      </c>
      <c r="I25" s="590">
        <v>42705</v>
      </c>
      <c r="J25" s="591">
        <v>5340000</v>
      </c>
      <c r="K25" s="591">
        <v>750000</v>
      </c>
      <c r="L25" s="591">
        <v>1000000</v>
      </c>
      <c r="M25" s="591">
        <v>550000</v>
      </c>
      <c r="N25" s="591"/>
      <c r="O25" s="595" t="s">
        <v>12008</v>
      </c>
      <c r="P25" s="180" t="s">
        <v>12079</v>
      </c>
      <c r="Q25" s="180" t="s">
        <v>12010</v>
      </c>
      <c r="R25" s="235" t="s">
        <v>12011</v>
      </c>
      <c r="S25" s="224" t="s">
        <v>12012</v>
      </c>
      <c r="T25" s="600" t="s">
        <v>12013</v>
      </c>
      <c r="U25" s="606" t="s">
        <v>12014</v>
      </c>
      <c r="V25" s="232" t="s">
        <v>12015</v>
      </c>
      <c r="W25" s="600" t="s">
        <v>12016</v>
      </c>
      <c r="X25" s="224" t="s">
        <v>12017</v>
      </c>
      <c r="Y25" s="163" t="s">
        <v>2679</v>
      </c>
    </row>
    <row r="26" s="93" customFormat="1" customHeight="1" spans="1:25">
      <c r="A26" s="161">
        <v>3</v>
      </c>
      <c r="B26" s="161" t="s">
        <v>12128</v>
      </c>
      <c r="C26" s="163" t="s">
        <v>12033</v>
      </c>
      <c r="D26" s="173" t="s">
        <v>12034</v>
      </c>
      <c r="E26" s="173" t="s">
        <v>43</v>
      </c>
      <c r="F26" s="173" t="s">
        <v>60</v>
      </c>
      <c r="G26" s="180" t="s">
        <v>12035</v>
      </c>
      <c r="H26" s="467" t="s">
        <v>11942</v>
      </c>
      <c r="I26" s="590">
        <v>42705</v>
      </c>
      <c r="J26" s="591">
        <v>12393321</v>
      </c>
      <c r="K26" s="591">
        <v>3100000</v>
      </c>
      <c r="L26" s="591">
        <v>3897000</v>
      </c>
      <c r="M26" s="591">
        <v>1300000</v>
      </c>
      <c r="N26" s="591">
        <v>3000000</v>
      </c>
      <c r="O26" s="179"/>
      <c r="P26" s="180" t="s">
        <v>12079</v>
      </c>
      <c r="Q26" s="180" t="s">
        <v>12036</v>
      </c>
      <c r="R26" s="1603" t="s">
        <v>12037</v>
      </c>
      <c r="S26" s="600"/>
      <c r="T26" s="600"/>
      <c r="U26" s="606" t="s">
        <v>12038</v>
      </c>
      <c r="V26" s="232" t="s">
        <v>12039</v>
      </c>
      <c r="W26" s="600" t="s">
        <v>12040</v>
      </c>
      <c r="X26" s="224" t="s">
        <v>12041</v>
      </c>
      <c r="Y26" s="163" t="s">
        <v>2679</v>
      </c>
    </row>
    <row r="27" s="93" customFormat="1" customHeight="1" spans="1:25">
      <c r="A27" s="161">
        <v>6</v>
      </c>
      <c r="B27" s="161" t="s">
        <v>12129</v>
      </c>
      <c r="C27" s="163" t="s">
        <v>12066</v>
      </c>
      <c r="D27" s="173" t="s">
        <v>12067</v>
      </c>
      <c r="E27" s="173" t="s">
        <v>43</v>
      </c>
      <c r="F27" s="173" t="s">
        <v>254</v>
      </c>
      <c r="G27" s="180" t="s">
        <v>12068</v>
      </c>
      <c r="H27" s="180"/>
      <c r="I27" s="590">
        <v>42705</v>
      </c>
      <c r="J27" s="591">
        <v>10000000</v>
      </c>
      <c r="K27" s="591">
        <v>1500000</v>
      </c>
      <c r="L27" s="591"/>
      <c r="M27" s="591">
        <v>1050000</v>
      </c>
      <c r="N27" s="591"/>
      <c r="O27" s="179"/>
      <c r="P27" s="180" t="s">
        <v>12079</v>
      </c>
      <c r="Q27" s="180" t="s">
        <v>12069</v>
      </c>
      <c r="R27" s="180" t="s">
        <v>12070</v>
      </c>
      <c r="S27" s="224" t="s">
        <v>12071</v>
      </c>
      <c r="T27" s="224" t="s">
        <v>12072</v>
      </c>
      <c r="U27" s="606" t="s">
        <v>12073</v>
      </c>
      <c r="V27" s="232" t="s">
        <v>12074</v>
      </c>
      <c r="W27" s="224" t="s">
        <v>12075</v>
      </c>
      <c r="X27" s="224" t="s">
        <v>12076</v>
      </c>
      <c r="Y27" s="163" t="s">
        <v>2679</v>
      </c>
    </row>
    <row r="28" s="93" customFormat="1" customHeight="1" spans="1:25">
      <c r="A28" s="1590" t="s">
        <v>135</v>
      </c>
      <c r="B28" s="161" t="s">
        <v>12130</v>
      </c>
      <c r="C28" s="163" t="s">
        <v>12131</v>
      </c>
      <c r="D28" s="173" t="s">
        <v>12132</v>
      </c>
      <c r="E28" s="173"/>
      <c r="F28" s="173"/>
      <c r="G28" s="180" t="s">
        <v>12133</v>
      </c>
      <c r="H28" s="180"/>
      <c r="I28" s="590">
        <v>43010</v>
      </c>
      <c r="J28" s="591">
        <v>33500000</v>
      </c>
      <c r="K28" s="591"/>
      <c r="L28" s="591">
        <v>2000000</v>
      </c>
      <c r="M28" s="591"/>
      <c r="N28" s="591"/>
      <c r="O28" s="179"/>
      <c r="P28" s="596" t="s">
        <v>12079</v>
      </c>
      <c r="Q28" s="180" t="s">
        <v>12134</v>
      </c>
      <c r="R28" s="224"/>
      <c r="S28" s="224"/>
      <c r="T28" s="224"/>
      <c r="U28" s="600"/>
      <c r="V28" s="229"/>
      <c r="W28" s="224"/>
      <c r="X28" s="224"/>
      <c r="Y28" s="222" t="s">
        <v>2253</v>
      </c>
    </row>
    <row r="29" s="93" customFormat="1" customHeight="1" spans="1:25">
      <c r="A29" s="1585" t="s">
        <v>92</v>
      </c>
      <c r="B29" s="161" t="s">
        <v>12135</v>
      </c>
      <c r="C29" s="163" t="s">
        <v>12136</v>
      </c>
      <c r="D29" s="173" t="s">
        <v>12137</v>
      </c>
      <c r="E29" s="173" t="s">
        <v>43</v>
      </c>
      <c r="F29" s="173" t="s">
        <v>254</v>
      </c>
      <c r="G29" s="180" t="s">
        <v>12138</v>
      </c>
      <c r="H29" s="180"/>
      <c r="I29" s="590">
        <v>42934</v>
      </c>
      <c r="J29" s="591">
        <v>31337500</v>
      </c>
      <c r="K29" s="591"/>
      <c r="L29" s="591">
        <v>2000000</v>
      </c>
      <c r="M29" s="591"/>
      <c r="N29" s="591"/>
      <c r="O29" s="179"/>
      <c r="P29" s="180" t="s">
        <v>12079</v>
      </c>
      <c r="Q29" s="180" t="s">
        <v>12139</v>
      </c>
      <c r="R29" s="1594" t="s">
        <v>12140</v>
      </c>
      <c r="S29" s="1581" t="s">
        <v>12141</v>
      </c>
      <c r="T29" s="224"/>
      <c r="U29" s="606"/>
      <c r="V29" s="229" t="s">
        <v>12142</v>
      </c>
      <c r="W29" s="224" t="s">
        <v>12143</v>
      </c>
      <c r="X29" s="224" t="s">
        <v>12144</v>
      </c>
      <c r="Y29" s="163" t="s">
        <v>12145</v>
      </c>
    </row>
    <row r="30" s="93" customFormat="1" customHeight="1" spans="15:15">
      <c r="O30" s="594"/>
    </row>
    <row r="31" s="93" customFormat="1" customHeight="1" spans="15:15">
      <c r="O31" s="594"/>
    </row>
    <row r="32" s="93" customFormat="1" customHeight="1" spans="15:15">
      <c r="O32" s="594"/>
    </row>
    <row r="33" s="93" customFormat="1" customHeight="1" spans="15:15">
      <c r="O33" s="594"/>
    </row>
    <row r="34" s="93" customFormat="1" customHeight="1" spans="15:15">
      <c r="O34" s="594"/>
    </row>
    <row r="35" s="93" customFormat="1" customHeight="1" spans="15:15">
      <c r="O35" s="594"/>
    </row>
    <row r="36" s="93" customFormat="1" customHeight="1" spans="15:15">
      <c r="O36" s="594"/>
    </row>
    <row r="37" s="93" customFormat="1" customHeight="1" spans="15:15">
      <c r="O37" s="594"/>
    </row>
    <row r="38" s="93" customFormat="1" customHeight="1" spans="15:15">
      <c r="O38" s="594"/>
    </row>
    <row r="39" s="93" customFormat="1" customHeight="1" spans="15:15">
      <c r="O39" s="594"/>
    </row>
    <row r="40" s="93" customFormat="1" customHeight="1" spans="15:15">
      <c r="O40" s="594"/>
    </row>
    <row r="41" s="93" customFormat="1" customHeight="1" spans="15:15">
      <c r="O41" s="594"/>
    </row>
    <row r="42" s="93" customFormat="1" customHeight="1" spans="15:15">
      <c r="O42" s="594"/>
    </row>
    <row r="43" s="93" customFormat="1" customHeight="1" spans="15:15">
      <c r="O43" s="594"/>
    </row>
    <row r="44" s="93" customFormat="1" customHeight="1" spans="15:15">
      <c r="O44" s="594"/>
    </row>
    <row r="45" s="93" customFormat="1" customHeight="1" spans="15:15">
      <c r="O45" s="594"/>
    </row>
    <row r="46" s="93" customFormat="1" customHeight="1" spans="15:15">
      <c r="O46" s="594"/>
    </row>
    <row r="47" s="93" customFormat="1" customHeight="1" spans="15:15">
      <c r="O47" s="594"/>
    </row>
    <row r="48" s="93" customFormat="1" customHeight="1" spans="15:15">
      <c r="O48" s="594"/>
    </row>
    <row r="49" s="93" customFormat="1" customHeight="1" spans="15:15">
      <c r="O49" s="594"/>
    </row>
    <row r="50" s="93" customFormat="1" customHeight="1" spans="15:15">
      <c r="O50" s="594"/>
    </row>
    <row r="51" s="93" customFormat="1" customHeight="1" spans="15:15">
      <c r="O51" s="594"/>
    </row>
    <row r="52" s="93" customFormat="1" customHeight="1" spans="15:15">
      <c r="O52" s="594"/>
    </row>
    <row r="53" s="93" customFormat="1" customHeight="1" spans="15:15">
      <c r="O53" s="594"/>
    </row>
    <row r="54" s="93" customFormat="1" customHeight="1" spans="15:15">
      <c r="O54" s="594"/>
    </row>
    <row r="55" s="93" customFormat="1" customHeight="1" spans="15:15">
      <c r="O55" s="594"/>
    </row>
    <row r="56" s="93" customFormat="1" customHeight="1" spans="15:15">
      <c r="O56" s="594"/>
    </row>
    <row r="57" s="93" customFormat="1" customHeight="1" spans="15:15">
      <c r="O57" s="594"/>
    </row>
    <row r="58" s="93" customFormat="1" customHeight="1" spans="15:15">
      <c r="O58" s="594"/>
    </row>
    <row r="59" s="93" customFormat="1" customHeight="1" spans="15:15">
      <c r="O59" s="594"/>
    </row>
    <row r="60" s="93" customFormat="1" customHeight="1" spans="15:15">
      <c r="O60" s="594"/>
    </row>
    <row r="61" s="93" customFormat="1" customHeight="1" spans="15:15">
      <c r="O61" s="594"/>
    </row>
    <row r="62" s="93" customFormat="1" customHeight="1" spans="15:15">
      <c r="O62" s="594"/>
    </row>
    <row r="63" s="93" customFormat="1" customHeight="1" spans="15:15">
      <c r="O63" s="594"/>
    </row>
    <row r="64" s="93" customFormat="1" customHeight="1" spans="15:15">
      <c r="O64" s="594"/>
    </row>
    <row r="65" s="93" customFormat="1" customHeight="1" spans="15:15">
      <c r="O65" s="594"/>
    </row>
    <row r="66" s="93" customFormat="1" customHeight="1" spans="15:15">
      <c r="O66" s="594"/>
    </row>
    <row r="67" s="93" customFormat="1" customHeight="1" spans="15:15">
      <c r="O67" s="594"/>
    </row>
    <row r="68" s="93" customFormat="1" customHeight="1" spans="15:15">
      <c r="O68" s="594"/>
    </row>
    <row r="69" s="93" customFormat="1" customHeight="1" spans="15:15">
      <c r="O69" s="594"/>
    </row>
    <row r="70" s="93" customFormat="1" customHeight="1" spans="15:15">
      <c r="O70" s="594"/>
    </row>
    <row r="71" s="93" customFormat="1" customHeight="1" spans="15:15">
      <c r="O71" s="594"/>
    </row>
    <row r="72" s="93" customFormat="1" customHeight="1" spans="15:15">
      <c r="O72" s="594"/>
    </row>
    <row r="73" s="93" customFormat="1" customHeight="1" spans="15:15">
      <c r="O73" s="594"/>
    </row>
    <row r="74" s="93" customFormat="1" customHeight="1" spans="15:15">
      <c r="O74" s="594"/>
    </row>
    <row r="75" s="93" customFormat="1" customHeight="1" spans="15:15">
      <c r="O75" s="594"/>
    </row>
    <row r="76" s="93" customFormat="1" customHeight="1" spans="15:15">
      <c r="O76" s="594"/>
    </row>
    <row r="77" s="93" customFormat="1" customHeight="1" spans="15:15">
      <c r="O77" s="594"/>
    </row>
    <row r="78" s="93" customFormat="1" customHeight="1" spans="15:15">
      <c r="O78" s="594"/>
    </row>
    <row r="79" s="93" customFormat="1" customHeight="1" spans="15:15">
      <c r="O79" s="594"/>
    </row>
    <row r="80" s="93" customFormat="1" customHeight="1" spans="15:15">
      <c r="O80" s="594"/>
    </row>
    <row r="81" s="93" customFormat="1" customHeight="1" spans="15:15">
      <c r="O81" s="594"/>
    </row>
    <row r="82" s="93" customFormat="1" customHeight="1" spans="15:15">
      <c r="O82" s="594"/>
    </row>
    <row r="83" s="93" customFormat="1" customHeight="1" spans="15:15">
      <c r="O83" s="594"/>
    </row>
    <row r="84" s="93" customFormat="1" customHeight="1" spans="15:15">
      <c r="O84" s="594"/>
    </row>
    <row r="85" s="93" customFormat="1" customHeight="1" spans="15:15">
      <c r="O85" s="594"/>
    </row>
    <row r="86" s="93" customFormat="1" customHeight="1" spans="15:15">
      <c r="O86" s="594"/>
    </row>
    <row r="87" s="93" customFormat="1" customHeight="1" spans="15:15">
      <c r="O87" s="594"/>
    </row>
    <row r="88" s="93" customFormat="1" customHeight="1" spans="15:15">
      <c r="O88" s="594"/>
    </row>
    <row r="89" s="93" customFormat="1" customHeight="1" spans="15:15">
      <c r="O89" s="594"/>
    </row>
    <row r="90" s="93" customFormat="1" customHeight="1" spans="15:15">
      <c r="O90" s="594"/>
    </row>
    <row r="91" s="93" customFormat="1" customHeight="1" spans="15:15">
      <c r="O91" s="594"/>
    </row>
    <row r="92" s="93" customFormat="1" customHeight="1" spans="15:15">
      <c r="O92" s="594"/>
    </row>
    <row r="93" s="93" customFormat="1" customHeight="1" spans="15:15">
      <c r="O93" s="594"/>
    </row>
    <row r="94" s="93" customFormat="1" customHeight="1" spans="15:15">
      <c r="O94" s="594"/>
    </row>
    <row r="95" s="93" customFormat="1" customHeight="1" spans="15:15">
      <c r="O95" s="594"/>
    </row>
    <row r="96" s="93" customFormat="1" customHeight="1" spans="15:15">
      <c r="O96" s="594"/>
    </row>
    <row r="97" s="93" customFormat="1" customHeight="1" spans="15:15">
      <c r="O97" s="594"/>
    </row>
    <row r="98" s="93" customFormat="1" customHeight="1" spans="15:15">
      <c r="O98" s="594"/>
    </row>
    <row r="99" s="93" customFormat="1" customHeight="1" spans="15:15">
      <c r="O99" s="594"/>
    </row>
    <row r="100" s="93" customFormat="1" customHeight="1" spans="15:15">
      <c r="O100" s="594"/>
    </row>
    <row r="101" s="93" customFormat="1" customHeight="1" spans="15:15">
      <c r="O101" s="594"/>
    </row>
    <row r="102" s="93" customFormat="1" customHeight="1" spans="15:15">
      <c r="O102" s="594"/>
    </row>
    <row r="103" s="93" customFormat="1" customHeight="1" spans="15:15">
      <c r="O103" s="594"/>
    </row>
    <row r="104" s="93" customFormat="1" customHeight="1" spans="15:15">
      <c r="O104" s="594"/>
    </row>
    <row r="105" s="93" customFormat="1" customHeight="1" spans="15:15">
      <c r="O105" s="594"/>
    </row>
    <row r="106" s="93" customFormat="1" customHeight="1" spans="15:15">
      <c r="O106" s="594"/>
    </row>
    <row r="107" s="93" customFormat="1" customHeight="1" spans="15:15">
      <c r="O107" s="594"/>
    </row>
    <row r="108" s="93" customFormat="1" customHeight="1" spans="15:15">
      <c r="O108" s="594"/>
    </row>
    <row r="109" s="93" customFormat="1" customHeight="1" spans="15:15">
      <c r="O109" s="594"/>
    </row>
    <row r="110" s="93" customFormat="1" customHeight="1" spans="15:15">
      <c r="O110" s="594"/>
    </row>
    <row r="111" s="93" customFormat="1" customHeight="1" spans="15:15">
      <c r="O111" s="594"/>
    </row>
    <row r="112" s="93" customFormat="1" customHeight="1" spans="15:15">
      <c r="O112" s="594"/>
    </row>
    <row r="113" s="93" customFormat="1" customHeight="1" spans="15:15">
      <c r="O113" s="594"/>
    </row>
    <row r="114" s="93" customFormat="1" customHeight="1" spans="15:15">
      <c r="O114" s="594"/>
    </row>
    <row r="115" s="93" customFormat="1" customHeight="1" spans="15:15">
      <c r="O115" s="594"/>
    </row>
    <row r="116" s="93" customFormat="1" customHeight="1" spans="15:15">
      <c r="O116" s="594"/>
    </row>
    <row r="117" s="93" customFormat="1" customHeight="1" spans="15:15">
      <c r="O117" s="594"/>
    </row>
    <row r="118" s="93" customFormat="1" customHeight="1" spans="15:15">
      <c r="O118" s="594"/>
    </row>
    <row r="119" s="93" customFormat="1" customHeight="1" spans="15:15">
      <c r="O119" s="594"/>
    </row>
    <row r="120" s="93" customFormat="1" customHeight="1" spans="15:15">
      <c r="O120" s="594"/>
    </row>
    <row r="121" s="93" customFormat="1" customHeight="1" spans="15:15">
      <c r="O121" s="594"/>
    </row>
    <row r="122" s="93" customFormat="1" customHeight="1" spans="15:15">
      <c r="O122" s="594"/>
    </row>
    <row r="123" s="93" customFormat="1" customHeight="1" spans="15:15">
      <c r="O123" s="594"/>
    </row>
    <row r="124" s="93" customFormat="1" customHeight="1" spans="15:15">
      <c r="O124" s="594"/>
    </row>
    <row r="125" s="93" customFormat="1" customHeight="1" spans="15:15">
      <c r="O125" s="594"/>
    </row>
    <row r="126" s="93" customFormat="1" customHeight="1" spans="15:15">
      <c r="O126" s="594"/>
    </row>
    <row r="127" s="93" customFormat="1" customHeight="1" spans="15:15">
      <c r="O127" s="594"/>
    </row>
    <row r="128" s="93" customFormat="1" customHeight="1" spans="15:15">
      <c r="O128" s="594"/>
    </row>
    <row r="129" s="93" customFormat="1" customHeight="1" spans="15:15">
      <c r="O129" s="594"/>
    </row>
    <row r="130" s="93" customFormat="1" customHeight="1" spans="15:15">
      <c r="O130" s="594"/>
    </row>
    <row r="131" s="93" customFormat="1" customHeight="1" spans="15:15">
      <c r="O131" s="594"/>
    </row>
    <row r="132" s="93" customFormat="1" customHeight="1" spans="15:15">
      <c r="O132" s="594"/>
    </row>
    <row r="133" s="93" customFormat="1" customHeight="1" spans="15:15">
      <c r="O133" s="594"/>
    </row>
    <row r="134" s="93" customFormat="1" customHeight="1" spans="15:15">
      <c r="O134" s="594"/>
    </row>
    <row r="135" s="93" customFormat="1" customHeight="1" spans="15:15">
      <c r="O135" s="594"/>
    </row>
    <row r="136" s="93" customFormat="1" customHeight="1" spans="15:15">
      <c r="O136" s="594"/>
    </row>
    <row r="137" s="93" customFormat="1" customHeight="1" spans="15:15">
      <c r="O137" s="594"/>
    </row>
    <row r="138" s="93" customFormat="1" customHeight="1" spans="15:15">
      <c r="O138" s="594"/>
    </row>
    <row r="139" s="93" customFormat="1" customHeight="1" spans="15:15">
      <c r="O139" s="594"/>
    </row>
    <row r="140" s="93" customFormat="1" customHeight="1" spans="15:15">
      <c r="O140" s="594"/>
    </row>
    <row r="141" s="93" customFormat="1" customHeight="1" spans="15:15">
      <c r="O141" s="594"/>
    </row>
    <row r="142" s="93" customFormat="1" customHeight="1" spans="15:15">
      <c r="O142" s="594"/>
    </row>
    <row r="143" s="93" customFormat="1" customHeight="1" spans="15:15">
      <c r="O143" s="594"/>
    </row>
    <row r="144" s="93" customFormat="1" customHeight="1" spans="15:15">
      <c r="O144" s="594"/>
    </row>
    <row r="145" s="93" customFormat="1" customHeight="1" spans="15:15">
      <c r="O145" s="594"/>
    </row>
    <row r="146" s="93" customFormat="1" customHeight="1" spans="15:15">
      <c r="O146" s="594"/>
    </row>
    <row r="147" s="93" customFormat="1" customHeight="1" spans="15:15">
      <c r="O147" s="594"/>
    </row>
    <row r="148" s="93" customFormat="1" customHeight="1" spans="15:15">
      <c r="O148" s="594"/>
    </row>
    <row r="149" s="93" customFormat="1" customHeight="1" spans="15:15">
      <c r="O149" s="594"/>
    </row>
    <row r="150" s="93" customFormat="1" customHeight="1" spans="15:15">
      <c r="O150" s="594"/>
    </row>
    <row r="151" s="93" customFormat="1" customHeight="1" spans="15:15">
      <c r="O151" s="594"/>
    </row>
    <row r="152" s="93" customFormat="1" customHeight="1" spans="15:15">
      <c r="O152" s="594"/>
    </row>
    <row r="153" s="93" customFormat="1" customHeight="1" spans="15:15">
      <c r="O153" s="594"/>
    </row>
    <row r="154" s="93" customFormat="1" customHeight="1" spans="15:15">
      <c r="O154" s="594"/>
    </row>
    <row r="155" s="93" customFormat="1" customHeight="1" spans="15:15">
      <c r="O155" s="594"/>
    </row>
    <row r="156" s="93" customFormat="1" customHeight="1" spans="15:15">
      <c r="O156" s="594"/>
    </row>
    <row r="157" s="93" customFormat="1" customHeight="1" spans="15:15">
      <c r="O157" s="594"/>
    </row>
    <row r="158" s="93" customFormat="1" customHeight="1" spans="15:15">
      <c r="O158" s="594"/>
    </row>
    <row r="159" s="93" customFormat="1" customHeight="1" spans="15:15">
      <c r="O159" s="594"/>
    </row>
    <row r="160" s="93" customFormat="1" customHeight="1" spans="15:15">
      <c r="O160" s="594"/>
    </row>
    <row r="161" s="93" customFormat="1" customHeight="1" spans="15:15">
      <c r="O161" s="594"/>
    </row>
    <row r="162" s="93" customFormat="1" customHeight="1" spans="15:15">
      <c r="O162" s="594"/>
    </row>
    <row r="163" s="93" customFormat="1" customHeight="1" spans="15:15">
      <c r="O163" s="594"/>
    </row>
    <row r="164" s="93" customFormat="1" customHeight="1" spans="15:15">
      <c r="O164" s="594"/>
    </row>
    <row r="165" s="93" customFormat="1" customHeight="1" spans="15:15">
      <c r="O165" s="594"/>
    </row>
    <row r="166" s="93" customFormat="1" customHeight="1" spans="15:15">
      <c r="O166" s="594"/>
    </row>
    <row r="167" s="93" customFormat="1" customHeight="1" spans="15:15">
      <c r="O167" s="594"/>
    </row>
    <row r="168" s="93" customFormat="1" customHeight="1" spans="15:15">
      <c r="O168" s="594"/>
    </row>
    <row r="169" s="93" customFormat="1" customHeight="1" spans="15:15">
      <c r="O169" s="594"/>
    </row>
    <row r="170" s="93" customFormat="1" customHeight="1" spans="15:15">
      <c r="O170" s="594"/>
    </row>
    <row r="171" s="93" customFormat="1" customHeight="1" spans="15:15">
      <c r="O171" s="594"/>
    </row>
    <row r="172" s="93" customFormat="1" customHeight="1" spans="15:15">
      <c r="O172" s="594"/>
    </row>
    <row r="173" s="93" customFormat="1" customHeight="1" spans="15:15">
      <c r="O173" s="594"/>
    </row>
    <row r="174" s="93" customFormat="1" customHeight="1" spans="15:15">
      <c r="O174" s="594"/>
    </row>
    <row r="175" s="93" customFormat="1" customHeight="1" spans="15:15">
      <c r="O175" s="594"/>
    </row>
    <row r="176" s="93" customFormat="1" customHeight="1" spans="15:15">
      <c r="O176" s="594"/>
    </row>
    <row r="177" s="93" customFormat="1" customHeight="1" spans="15:15">
      <c r="O177" s="594"/>
    </row>
    <row r="178" s="93" customFormat="1" customHeight="1" spans="15:15">
      <c r="O178" s="594"/>
    </row>
    <row r="179" s="93" customFormat="1" customHeight="1" spans="15:15">
      <c r="O179" s="594"/>
    </row>
    <row r="180" s="93" customFormat="1" customHeight="1" spans="15:15">
      <c r="O180" s="594"/>
    </row>
    <row r="181" s="93" customFormat="1" customHeight="1" spans="15:15">
      <c r="O181" s="594"/>
    </row>
    <row r="182" s="93" customFormat="1" customHeight="1" spans="15:15">
      <c r="O182" s="594"/>
    </row>
    <row r="183" s="93" customFormat="1" customHeight="1" spans="15:15">
      <c r="O183" s="594"/>
    </row>
    <row r="184" s="93" customFormat="1" customHeight="1" spans="15:15">
      <c r="O184" s="594"/>
    </row>
    <row r="185" s="93" customFormat="1" customHeight="1" spans="15:15">
      <c r="O185" s="594"/>
    </row>
    <row r="186" s="93" customFormat="1" customHeight="1" spans="15:15">
      <c r="O186" s="594"/>
    </row>
    <row r="187" s="93" customFormat="1" customHeight="1" spans="15:15">
      <c r="O187" s="594"/>
    </row>
    <row r="188" s="93" customFormat="1" customHeight="1" spans="15:15">
      <c r="O188" s="594"/>
    </row>
    <row r="189" s="93" customFormat="1" customHeight="1" spans="15:15">
      <c r="O189" s="594"/>
    </row>
    <row r="190" s="93" customFormat="1" customHeight="1" spans="15:15">
      <c r="O190" s="594"/>
    </row>
    <row r="191" s="93" customFormat="1" customHeight="1" spans="15:15">
      <c r="O191" s="594"/>
    </row>
  </sheetData>
  <mergeCells count="31">
    <mergeCell ref="A1:C1"/>
    <mergeCell ref="A2:C2"/>
    <mergeCell ref="A3:C3"/>
    <mergeCell ref="A6:C6"/>
    <mergeCell ref="J6:K6"/>
    <mergeCell ref="A8:R8"/>
    <mergeCell ref="A9:R9"/>
    <mergeCell ref="A12:A13"/>
    <mergeCell ref="B12:B13"/>
    <mergeCell ref="C12:C13"/>
    <mergeCell ref="D12:D13"/>
    <mergeCell ref="E12:E13"/>
    <mergeCell ref="F12:F13"/>
    <mergeCell ref="G12:G13"/>
    <mergeCell ref="H12:H13"/>
    <mergeCell ref="J12:J13"/>
    <mergeCell ref="K12:K13"/>
    <mergeCell ref="L12:L13"/>
    <mergeCell ref="M12:M13"/>
    <mergeCell ref="N12:N13"/>
    <mergeCell ref="O12:O13"/>
    <mergeCell ref="P12:P13"/>
    <mergeCell ref="Q12:Q13"/>
    <mergeCell ref="R12:R13"/>
    <mergeCell ref="S12:S13"/>
    <mergeCell ref="T12:T13"/>
    <mergeCell ref="U12:U13"/>
    <mergeCell ref="V12:V13"/>
    <mergeCell ref="W12:W13"/>
    <mergeCell ref="X12:X13"/>
    <mergeCell ref="Y12:Y13"/>
  </mergeCells>
  <conditionalFormatting sqref="C14:H14;B15:H15;J14:U15;G16:H16;J16:T16;W14:Y16;I14:I16;P17:P20">
    <cfRule type="expression" dxfId="1348" priority="1" stopIfTrue="1">
      <formula>IF(OR($AN14="not",$AN14="resign",$AN14="resign",$AN14="end",$AN14="terminated",$AN14="permanent"),"TRUE","FALSE")</formula>
    </cfRule>
  </conditionalFormatting>
  <conditionalFormatting sqref="V14;V25;E25;N25;Q26:U26;J26:N27;X26:X27;C26:F27;Q27:V27;V16:V19;J17:N19;J29:N29;Q17:U19;Q29:V29;X17:X19;X29;C17:F19;C29:F29">
    <cfRule type="expression" dxfId="1349" priority="2" stopIfTrue="1">
      <formula>IF(OR(#REF!="not",#REF!="resign",#REF!="resign",#REF!="end",#REF!="terminated",#REF!="permanent"),"TRUE","FALSE")</formula>
    </cfRule>
  </conditionalFormatting>
  <conditionalFormatting sqref="E14;J15:N16;V14;X15:X16;C15:F16;Q15:U15;Q16:T16;V26:V27">
    <cfRule type="expression" dxfId="1350" priority="3" stopIfTrue="1">
      <formula>IF(OR(#REF!="not",#REF!="resign",#REF!="resign",#REF!="end",#REF!="terminated",#REF!="permanent"),"TRUE","FALSE")</formula>
    </cfRule>
  </conditionalFormatting>
  <conditionalFormatting sqref="T15;V15:V16;W15:W17;V26">
    <cfRule type="expression" dxfId="1351" priority="4" stopIfTrue="1">
      <formula>IF(OR(#REF!="not",#REF!="resign",#REF!="resign",#REF!="end",#REF!="terminated",#REF!="permanent"),"TRUE","FALSE")</formula>
    </cfRule>
  </conditionalFormatting>
  <conditionalFormatting sqref="B14">
    <cfRule type="expression" dxfId="1352" priority="5" stopIfTrue="1">
      <formula>IF(OR($AN14="not",$AN14="resign",$AN14="resign",$AN14="end",$AN14="terminated",$AN14="permanent"),"TRUE","FALSE")</formula>
    </cfRule>
  </conditionalFormatting>
  <conditionalFormatting sqref="C15:E15">
    <cfRule type="expression" dxfId="1353" priority="6" stopIfTrue="1">
      <formula>IF(OR($AO15="not",$AO15="resign",$AO15="resign",$AO15="end",$AO15="terminated",$AO15="permanent"),"TRUE","FALSE")</formula>
    </cfRule>
  </conditionalFormatting>
  <conditionalFormatting sqref="Q16:T16;Q15:U15;W15:X16">
    <cfRule type="expression" dxfId="1354" priority="7" stopIfTrue="1">
      <formula>IF(OR($AM15="not",$AM15="resign",$AM15="resign",$AM15="end",$AM15="terminated",$AM15="permanent"),"TRUE","FALSE")</formula>
    </cfRule>
  </conditionalFormatting>
  <conditionalFormatting sqref="R16:T16;V16:X16;V26;R27:X27;V15;R17:X19;R29:X29">
    <cfRule type="expression" dxfId="1355" priority="8" stopIfTrue="1">
      <formula>IF(OR(#REF!="not",#REF!="resign",#REF!="resign",#REF!="end",#REF!="terminated",#REF!="permanent"),"TRUE","FALSE")</formula>
    </cfRule>
  </conditionalFormatting>
  <conditionalFormatting sqref="B16">
    <cfRule type="expression" dxfId="1356" priority="9" stopIfTrue="1">
      <formula>IF(OR($AN16="not",$AN16="resign",$AN16="resign",$AN16="end",$AN16="terminated",$AN16="permanent"),"TRUE","FALSE")</formula>
    </cfRule>
  </conditionalFormatting>
  <conditionalFormatting sqref="F17:H17;J17:O17;W17:Y17;Q17:U17">
    <cfRule type="expression" dxfId="1357" priority="10" stopIfTrue="1">
      <formula>IF(OR($AN17="not",$AN17="resign",$AN17="resign",$AN17="end",$AN17="terminated",$AN17="permanent"),"TRUE","FALSE")</formula>
    </cfRule>
  </conditionalFormatting>
  <conditionalFormatting sqref="Q17:U17;W17:X17">
    <cfRule type="expression" dxfId="1358" priority="11" stopIfTrue="1">
      <formula>IF(OR($AM17="not",$AM17="resign",$AM17="resign",$AM17="end",$AM17="terminated",$AM17="permanent"),"TRUE","FALSE")</formula>
    </cfRule>
  </conditionalFormatting>
  <conditionalFormatting sqref="V17">
    <cfRule type="expression" dxfId="1359" priority="12" stopIfTrue="1">
      <formula>IF(OR($AN15="not",$AN15="resign",$AN15="resign",$AN15="end",$AN15="terminated",$AN15="permanent"),"TRUE","FALSE")</formula>
    </cfRule>
  </conditionalFormatting>
  <conditionalFormatting sqref="V19;V27;V17;V29">
    <cfRule type="expression" dxfId="1360" priority="13" stopIfTrue="1">
      <formula>IF(OR(#REF!="not",#REF!="resign",#REF!="resign",#REF!="end",#REF!="terminated",#REF!="permanent"),"TRUE","FALSE")</formula>
    </cfRule>
  </conditionalFormatting>
  <conditionalFormatting sqref="F17">
    <cfRule type="expression" dxfId="1361" priority="14" stopIfTrue="1">
      <formula>IF(OR($AN17="not",$AN17="resign",$AN17="resign",$AN17="end",$AN17="terminated",$AN17="permanent"),"TRUE","FALSE")</formula>
    </cfRule>
    <cfRule type="expression" dxfId="1362" priority="15" stopIfTrue="1">
      <formula>IF(OR($AN17="not",$AN17="resign",$AN17="resign",$AN17="end",$AN17="terminated",$AN17="permanent"),"TRUE","FALSE")</formula>
    </cfRule>
    <cfRule type="expression" dxfId="1363" priority="16" stopIfTrue="1">
      <formula>IF(OR($AN17="not",$AN17="resign",$AN17="resign",$AN17="end",$AN17="terminated",$AN17="permanent"),"TRUE","FALSE")</formula>
    </cfRule>
  </conditionalFormatting>
  <conditionalFormatting sqref="C17:F17">
    <cfRule type="expression" dxfId="1364" priority="17" stopIfTrue="1">
      <formula>IF(OR($AN17="not",$AN17="resign",$AN17="resign",$AN17="end",$AN17="terminated",$AN17="permanent"),"TRUE","FALSE")</formula>
    </cfRule>
    <cfRule type="expression" dxfId="1365" priority="18" stopIfTrue="1">
      <formula>IF(OR($AN17="not",$AN17="resign",$AN17="resign",$AN17="end",$AN17="terminated",$AN17="permanent"),"TRUE","FALSE")</formula>
    </cfRule>
  </conditionalFormatting>
  <conditionalFormatting sqref="B17">
    <cfRule type="expression" dxfId="1366" priority="19" stopIfTrue="1">
      <formula>IF(OR($AN17="not",$AN17="resign",$AN17="resign",$AN17="end",$AN17="terminated",$AN17="permanent"),"TRUE","FALSE")</formula>
    </cfRule>
  </conditionalFormatting>
  <conditionalFormatting sqref="C17">
    <cfRule type="expression" dxfId="1367" priority="20" stopIfTrue="1">
      <formula>IF(OR($AO17="not",$AO17="resign",$AO17="resign",$AO17="end",$AO17="terminated",$AO17="permanent"),"TRUE","FALSE")</formula>
    </cfRule>
    <cfRule type="expression" dxfId="1368" priority="21" stopIfTrue="1">
      <formula>IF(OR($AO17="not",$AO17="resign",$AO17="resign",$AO17="end",$AO17="terminated",$AO17="permanent"),"TRUE","FALSE")</formula>
    </cfRule>
  </conditionalFormatting>
  <conditionalFormatting sqref="D17:E17">
    <cfRule type="expression" dxfId="1369" priority="22" stopIfTrue="1">
      <formula>IF(OR($AO17="not",$AO17="resign",$AO17="resign",$AO17="end",$AO17="terminated",$AO17="permanent"),"TRUE","FALSE")</formula>
    </cfRule>
    <cfRule type="expression" dxfId="1370" priority="23" stopIfTrue="1">
      <formula>IF(OR($AO17="not",$AO17="resign",$AO17="resign",$AO17="end",$AO17="terminated",$AO17="permanent"),"TRUE","FALSE")</formula>
    </cfRule>
  </conditionalFormatting>
  <conditionalFormatting sqref="I17">
    <cfRule type="expression" dxfId="1371" priority="24" stopIfTrue="1">
      <formula>IF(OR($AN17="not",$AN17="resign",$AN17="resign",$AN17="end",$AN17="terminated",$AN17="permanent"),"TRUE","FALSE")</formula>
    </cfRule>
  </conditionalFormatting>
  <conditionalFormatting sqref="W29:Y29;J29:U29;C29:F29">
    <cfRule type="expression" dxfId="1372" priority="25" stopIfTrue="1">
      <formula>IF(OR(#REF!="not",#REF!="resign",#REF!="resign",#REF!="end",#REF!="terminated",#REF!="permanent"),"TRUE","FALSE")</formula>
    </cfRule>
  </conditionalFormatting>
  <conditionalFormatting sqref="F29:H29">
    <cfRule type="expression" dxfId="1373" priority="26" stopIfTrue="1">
      <formula>IF(OR(#REF!="not",#REF!="resign",#REF!="resign",#REF!="end",#REF!="terminated",#REF!="permanent"),"TRUE","FALSE")</formula>
    </cfRule>
  </conditionalFormatting>
  <conditionalFormatting sqref="V29">
    <cfRule type="expression" dxfId="1374" priority="27" stopIfTrue="1">
      <formula>IF(OR($AN16="not",$AN16="resign",$AN16="resign",$AN16="end",$AN16="terminated",$AN16="permanent"),"TRUE","FALSE")</formula>
    </cfRule>
    <cfRule type="expression" dxfId="1375" priority="28" stopIfTrue="1">
      <formula>IF(OR($AM17="not",$AM17="resign",$AM17="resign",$AM17="end",$AM17="terminated",$AM17="permanent"),"TRUE","FALSE")</formula>
    </cfRule>
    <cfRule type="expression" dxfId="1376" priority="29" stopIfTrue="1">
      <formula>IF(OR($AN17="not",$AN17="resign",$AN17="resign",$AN17="end",$AN17="terminated",$AN17="permanent"),"TRUE","FALSE")</formula>
    </cfRule>
  </conditionalFormatting>
  <conditionalFormatting sqref="Q29:U29;W29:X29">
    <cfRule type="expression" dxfId="1377" priority="30" stopIfTrue="1">
      <formula>IF(OR(#REF!="not",#REF!="resign",#REF!="resign",#REF!="end",#REF!="terminated",#REF!="permanent"),"TRUE","FALSE")</formula>
    </cfRule>
  </conditionalFormatting>
  <conditionalFormatting sqref="V27;W18:W19;W29">
    <cfRule type="expression" dxfId="1378" priority="31" stopIfTrue="1">
      <formula>IF(OR(#REF!="not",#REF!="resign",#REF!="resign",#REF!="end",#REF!="terminated",#REF!="permanent"),"TRUE","FALSE")</formula>
    </cfRule>
  </conditionalFormatting>
  <conditionalFormatting sqref="F29">
    <cfRule type="expression" dxfId="1379" priority="32" stopIfTrue="1">
      <formula>IF(OR(#REF!="not",#REF!="resign",#REF!="resign",#REF!="end",#REF!="terminated",#REF!="permanent"),"TRUE","FALSE")</formula>
    </cfRule>
    <cfRule type="expression" dxfId="1380" priority="33" stopIfTrue="1">
      <formula>IF(OR(#REF!="not",#REF!="resign",#REF!="resign",#REF!="end",#REF!="terminated",#REF!="permanent"),"TRUE","FALSE")</formula>
    </cfRule>
    <cfRule type="expression" dxfId="1381" priority="34" stopIfTrue="1">
      <formula>IF(OR(#REF!="not",#REF!="resign",#REF!="resign",#REF!="end",#REF!="terminated",#REF!="permanent"),"TRUE","FALSE")</formula>
    </cfRule>
  </conditionalFormatting>
  <conditionalFormatting sqref="C29:E29">
    <cfRule type="expression" dxfId="1382" priority="35" stopIfTrue="1">
      <formula>IF(OR(#REF!="not",#REF!="resign",#REF!="resign",#REF!="end",#REF!="terminated",#REF!="permanent"),"TRUE","FALSE")</formula>
    </cfRule>
  </conditionalFormatting>
  <conditionalFormatting sqref="C29">
    <cfRule type="expression" dxfId="1383" priority="36" stopIfTrue="1">
      <formula>IF(OR(#REF!="not",#REF!="resign",#REF!="resign",#REF!="end",#REF!="terminated",#REF!="permanent"),"TRUE","FALSE")</formula>
    </cfRule>
  </conditionalFormatting>
  <conditionalFormatting sqref="I29">
    <cfRule type="expression" dxfId="1384" priority="37" stopIfTrue="1">
      <formula>IF(OR(#REF!="not",#REF!="resign",#REF!="resign",#REF!="end",#REF!="terminated",#REF!="permanent"),"TRUE","FALSE")</formula>
    </cfRule>
  </conditionalFormatting>
  <conditionalFormatting sqref="B29">
    <cfRule type="expression" dxfId="1385" priority="38" stopIfTrue="1">
      <formula>IF(OR(#REF!="not",#REF!="resign",#REF!="resign",#REF!="end",#REF!="terminated",#REF!="permanent"),"TRUE","FALSE")</formula>
    </cfRule>
  </conditionalFormatting>
  <conditionalFormatting sqref="F18:H18;J18:O18;W18:Y18;Q18:U18">
    <cfRule type="expression" dxfId="1386" priority="39" stopIfTrue="1">
      <formula>IF(OR($AN18="not",$AN18="resign",$AN18="resign",$AN18="end",$AN18="terminated",$AN18="permanent"),"TRUE","FALSE")</formula>
    </cfRule>
  </conditionalFormatting>
  <conditionalFormatting sqref="V18">
    <cfRule type="expression" dxfId="1387" priority="40" stopIfTrue="1">
      <formula>IF(OR(#REF!="not",#REF!="resign",#REF!="resign",#REF!="end",#REF!="terminated",#REF!="permanent"),"TRUE","FALSE")</formula>
    </cfRule>
    <cfRule type="expression" dxfId="1388" priority="41" stopIfTrue="1">
      <formula>IF(OR(#REF!="not",#REF!="resign",#REF!="resign",#REF!="end",#REF!="terminated",#REF!="permanent"),"TRUE","FALSE")</formula>
    </cfRule>
  </conditionalFormatting>
  <conditionalFormatting sqref="Q18:U18;W18:X18">
    <cfRule type="expression" dxfId="1389" priority="42" stopIfTrue="1">
      <formula>IF(OR($AM18="not",$AM18="resign",$AM18="resign",$AM18="end",$AM18="terminated",$AM18="permanent"),"TRUE","FALSE")</formula>
    </cfRule>
  </conditionalFormatting>
  <conditionalFormatting sqref="F18">
    <cfRule type="expression" dxfId="1390" priority="43" stopIfTrue="1">
      <formula>IF(OR($AN18="not",$AN18="resign",$AN18="resign",$AN18="end",$AN18="terminated",$AN18="permanent"),"TRUE","FALSE")</formula>
    </cfRule>
    <cfRule type="expression" dxfId="1391" priority="44" stopIfTrue="1">
      <formula>IF(OR($AN18="not",$AN18="resign",$AN18="resign",$AN18="end",$AN18="terminated",$AN18="permanent"),"TRUE","FALSE")</formula>
    </cfRule>
    <cfRule type="expression" dxfId="1392" priority="45" stopIfTrue="1">
      <formula>IF(OR($AN18="not",$AN18="resign",$AN18="resign",$AN18="end",$AN18="terminated",$AN18="permanent"),"TRUE","FALSE")</formula>
    </cfRule>
  </conditionalFormatting>
  <conditionalFormatting sqref="C18:D18;F18">
    <cfRule type="expression" dxfId="1393" priority="46" stopIfTrue="1">
      <formula>IF(OR($AN18="not",$AN18="resign",$AN18="resign",$AN18="end",$AN18="terminated",$AN18="permanent"),"TRUE","FALSE")</formula>
    </cfRule>
    <cfRule type="expression" dxfId="1394" priority="47" stopIfTrue="1">
      <formula>IF(OR($AN18="not",$AN18="resign",$AN18="resign",$AN18="end",$AN18="terminated",$AN18="permanent"),"TRUE","FALSE")</formula>
    </cfRule>
  </conditionalFormatting>
  <conditionalFormatting sqref="C18">
    <cfRule type="expression" dxfId="1395" priority="48" stopIfTrue="1">
      <formula>IF(OR($AO18="not",$AO18="resign",$AO18="resign",$AO18="end",$AO18="terminated",$AO18="permanent"),"TRUE","FALSE")</formula>
    </cfRule>
    <cfRule type="expression" dxfId="1396" priority="49" stopIfTrue="1">
      <formula>IF(OR($AO18="not",$AO18="resign",$AO18="resign",$AO18="end",$AO18="terminated",$AO18="permanent"),"TRUE","FALSE")</formula>
    </cfRule>
  </conditionalFormatting>
  <conditionalFormatting sqref="D18">
    <cfRule type="expression" dxfId="1397" priority="50" stopIfTrue="1">
      <formula>IF(OR($AO18="not",$AO18="resign",$AO18="resign",$AO18="end",$AO18="terminated",$AO18="permanent"),"TRUE","FALSE")</formula>
    </cfRule>
    <cfRule type="expression" dxfId="1398" priority="51" stopIfTrue="1">
      <formula>IF(OR($AO18="not",$AO18="resign",$AO18="resign",$AO18="end",$AO18="terminated",$AO18="permanent"),"TRUE","FALSE")</formula>
    </cfRule>
  </conditionalFormatting>
  <conditionalFormatting sqref="I18:I19">
    <cfRule type="expression" dxfId="1399" priority="52" stopIfTrue="1">
      <formula>IF(OR($AN18="not",$AN18="resign",$AN18="resign",$AN18="end",$AN18="terminated",$AN18="permanent"),"TRUE","FALSE")</formula>
    </cfRule>
  </conditionalFormatting>
  <conditionalFormatting sqref="B18:B19">
    <cfRule type="expression" dxfId="1400" priority="53" stopIfTrue="1">
      <formula>IF(OR($AN18="not",$AN18="resign",$AN18="resign",$AN18="end",$AN18="terminated",$AN18="permanent"),"TRUE","FALSE")</formula>
    </cfRule>
  </conditionalFormatting>
  <conditionalFormatting sqref="F19:H19;J19:O19;W19:Y19;Q19:U19">
    <cfRule type="expression" dxfId="1401" priority="54" stopIfTrue="1">
      <formula>IF(OR($AN19="not",$AN19="resign",$AN19="resign",$AN19="end",$AN19="terminated",$AN19="permanent"),"TRUE","FALSE")</formula>
    </cfRule>
  </conditionalFormatting>
  <conditionalFormatting sqref="V19">
    <cfRule type="expression" dxfId="1402" priority="55" stopIfTrue="1">
      <formula>IF(OR($AN17="not",$AN17="resign",$AN17="resign",$AN17="end",$AN17="terminated",$AN17="permanent"),"TRUE","FALSE")</formula>
    </cfRule>
    <cfRule type="expression" dxfId="1403" priority="56" stopIfTrue="1">
      <formula>IF(OR($AM18="not",$AM18="resign",$AM18="resign",$AM18="end",$AM18="terminated",$AM18="permanent"),"TRUE","FALSE")</formula>
    </cfRule>
    <cfRule type="expression" dxfId="1404" priority="57" stopIfTrue="1">
      <formula>IF(OR($AN18="not",$AN18="resign",$AN18="resign",$AN18="end",$AN18="terminated",$AN18="permanent"),"TRUE","FALSE")</formula>
    </cfRule>
  </conditionalFormatting>
  <conditionalFormatting sqref="Q19:U19;W19:X19">
    <cfRule type="expression" dxfId="1405" priority="58" stopIfTrue="1">
      <formula>IF(OR($AM19="not",$AM19="resign",$AM19="resign",$AM19="end",$AM19="terminated",$AM19="permanent"),"TRUE","FALSE")</formula>
    </cfRule>
  </conditionalFormatting>
  <conditionalFormatting sqref="F19">
    <cfRule type="expression" dxfId="1406" priority="59" stopIfTrue="1">
      <formula>IF(OR($AN19="not",$AN19="resign",$AN19="resign",$AN19="end",$AN19="terminated",$AN19="permanent"),"TRUE","FALSE")</formula>
    </cfRule>
    <cfRule type="expression" dxfId="1407" priority="60" stopIfTrue="1">
      <formula>IF(OR($AN19="not",$AN19="resign",$AN19="resign",$AN19="end",$AN19="terminated",$AN19="permanent"),"TRUE","FALSE")</formula>
    </cfRule>
    <cfRule type="expression" dxfId="1408" priority="61" stopIfTrue="1">
      <formula>IF(OR($AN19="not",$AN19="resign",$AN19="resign",$AN19="end",$AN19="terminated",$AN19="permanent"),"TRUE","FALSE")</formula>
    </cfRule>
  </conditionalFormatting>
  <conditionalFormatting sqref="C19:D19;F19">
    <cfRule type="expression" dxfId="1409" priority="62" stopIfTrue="1">
      <formula>IF(OR($AN19="not",$AN19="resign",$AN19="resign",$AN19="end",$AN19="terminated",$AN19="permanent"),"TRUE","FALSE")</formula>
    </cfRule>
    <cfRule type="expression" dxfId="1410" priority="63" stopIfTrue="1">
      <formula>IF(OR($AN19="not",$AN19="resign",$AN19="resign",$AN19="end",$AN19="terminated",$AN19="permanent"),"TRUE","FALSE")</formula>
    </cfRule>
  </conditionalFormatting>
  <conditionalFormatting sqref="C19">
    <cfRule type="expression" dxfId="1411" priority="64" stopIfTrue="1">
      <formula>IF(OR($AO19="not",$AO19="resign",$AO19="resign",$AO19="end",$AO19="terminated",$AO19="permanent"),"TRUE","FALSE")</formula>
    </cfRule>
    <cfRule type="expression" dxfId="1412" priority="65" stopIfTrue="1">
      <formula>IF(OR($AO19="not",$AO19="resign",$AO19="resign",$AO19="end",$AO19="terminated",$AO19="permanent"),"TRUE","FALSE")</formula>
    </cfRule>
  </conditionalFormatting>
  <conditionalFormatting sqref="D19">
    <cfRule type="expression" dxfId="1413" priority="66" stopIfTrue="1">
      <formula>IF(OR($AO19="not",$AO19="resign",$AO19="resign",$AO19="end",$AO19="terminated",$AO19="permanent"),"TRUE","FALSE")</formula>
    </cfRule>
    <cfRule type="expression" dxfId="1414" priority="67" stopIfTrue="1">
      <formula>IF(OR($AO19="not",$AO19="resign",$AO19="resign",$AO19="end",$AO19="terminated",$AO19="permanent"),"TRUE","FALSE")</formula>
    </cfRule>
  </conditionalFormatting>
  <conditionalFormatting sqref="C25:U25;B26:H26;F27:H27;J26:U27;W25:Y27">
    <cfRule type="expression" dxfId="1415" priority="68" stopIfTrue="1">
      <formula>IF(OR($AN25="not",$AN25="resign",$AN25="resign",$AN25="end",$AN25="terminated",$AN25="permanent"),"TRUE","FALSE")</formula>
    </cfRule>
  </conditionalFormatting>
  <conditionalFormatting sqref="B25">
    <cfRule type="expression" dxfId="1416" priority="69" stopIfTrue="1">
      <formula>IF(OR($AN25="not",$AN25="resign",$AN25="resign",$AN25="end",$AN25="terminated",$AN25="permanent"),"TRUE","FALSE")</formula>
    </cfRule>
  </conditionalFormatting>
  <conditionalFormatting sqref="C26:E26">
    <cfRule type="expression" dxfId="1417" priority="70" stopIfTrue="1">
      <formula>IF(OR($AO26="not",$AO26="resign",$AO26="resign",$AO26="end",$AO26="terminated",$AO26="permanent"),"TRUE","FALSE")</formula>
    </cfRule>
  </conditionalFormatting>
  <conditionalFormatting sqref="Q26:U27;W26:X27">
    <cfRule type="expression" dxfId="1418" priority="71" stopIfTrue="1">
      <formula>IF(OR($AM26="not",$AM26="resign",$AM26="resign",$AM26="end",$AM26="terminated",$AM26="permanent"),"TRUE","FALSE")</formula>
    </cfRule>
  </conditionalFormatting>
  <conditionalFormatting sqref="I26:I27">
    <cfRule type="expression" dxfId="1419" priority="72" stopIfTrue="1">
      <formula>IF(OR($AN26="not",$AN26="resign",$AN26="resign",$AN26="end",$AN26="terminated",$AN26="permanent"),"TRUE","FALSE")</formula>
    </cfRule>
  </conditionalFormatting>
  <conditionalFormatting sqref="V27">
    <cfRule type="expression" dxfId="1420" priority="73" stopIfTrue="1">
      <formula>IF(OR($AN24="not",$AN24="resign",$AN24="resign",$AN24="end",$AN24="terminated",$AN24="permanent"),"TRUE","FALSE")</formula>
    </cfRule>
    <cfRule type="expression" dxfId="1421" priority="74" stopIfTrue="1">
      <formula>IF(OR($AM26="not",$AM26="resign",$AM26="resign",$AM26="end",$AM26="terminated",$AM26="permanent"),"TRUE","FALSE")</formula>
    </cfRule>
    <cfRule type="expression" dxfId="1422" priority="75" stopIfTrue="1">
      <formula>IF(OR($AN26="not",$AN26="resign",$AN26="resign",$AN26="end",$AN26="terminated",$AN26="permanent"),"TRUE","FALSE")</formula>
    </cfRule>
  </conditionalFormatting>
  <conditionalFormatting sqref="F27">
    <cfRule type="expression" dxfId="1423" priority="76" stopIfTrue="1">
      <formula>IF(OR($AN27="not",$AN27="resign",$AN27="resign",$AN27="end",$AN27="terminated",$AN27="permanent"),"TRUE","FALSE")</formula>
    </cfRule>
    <cfRule type="expression" dxfId="1424" priority="77" stopIfTrue="1">
      <formula>IF(OR($AN27="not",$AN27="resign",$AN27="resign",$AN27="end",$AN27="terminated",$AN27="permanent"),"TRUE","FALSE")</formula>
    </cfRule>
    <cfRule type="expression" dxfId="1425" priority="78" stopIfTrue="1">
      <formula>IF(OR($AN27="not",$AN27="resign",$AN27="resign",$AN27="end",$AN27="terminated",$AN27="permanent"),"TRUE","FALSE")</formula>
    </cfRule>
  </conditionalFormatting>
  <conditionalFormatting sqref="C27:F27">
    <cfRule type="expression" dxfId="1426" priority="79" stopIfTrue="1">
      <formula>IF(OR($AN27="not",$AN27="resign",$AN27="resign",$AN27="end",$AN27="terminated",$AN27="permanent"),"TRUE","FALSE")</formula>
    </cfRule>
    <cfRule type="expression" dxfId="1427" priority="80" stopIfTrue="1">
      <formula>IF(OR($AN27="not",$AN27="resign",$AN27="resign",$AN27="end",$AN27="terminated",$AN27="permanent"),"TRUE","FALSE")</formula>
    </cfRule>
  </conditionalFormatting>
  <conditionalFormatting sqref="B27">
    <cfRule type="expression" dxfId="1428" priority="81" stopIfTrue="1">
      <formula>IF(OR($AN27="not",$AN27="resign",$AN27="resign",$AN27="end",$AN27="terminated",$AN27="permanent"),"TRUE","FALSE")</formula>
    </cfRule>
  </conditionalFormatting>
  <conditionalFormatting sqref="C27">
    <cfRule type="expression" dxfId="1429" priority="82" stopIfTrue="1">
      <formula>IF(OR($AO27="not",$AO27="resign",$AO27="resign",$AO27="end",$AO27="terminated",$AO27="permanent"),"TRUE","FALSE")</formula>
    </cfRule>
    <cfRule type="expression" dxfId="1430" priority="83" stopIfTrue="1">
      <formula>IF(OR($AO27="not",$AO27="resign",$AO27="resign",$AO27="end",$AO27="terminated",$AO27="permanent"),"TRUE","FALSE")</formula>
    </cfRule>
  </conditionalFormatting>
  <conditionalFormatting sqref="D27:E27">
    <cfRule type="expression" dxfId="1431" priority="84" stopIfTrue="1">
      <formula>IF(OR($AO27="not",$AO27="resign",$AO27="resign",$AO27="end",$AO27="terminated",$AO27="permanent"),"TRUE","FALSE")</formula>
    </cfRule>
    <cfRule type="expression" dxfId="1432" priority="85" stopIfTrue="1">
      <formula>IF(OR($AO27="not",$AO27="resign",$AO27="resign",$AO27="end",$AO27="terminated",$AO27="permanent"),"TRUE","FALSE")</formula>
    </cfRule>
  </conditionalFormatting>
  <conditionalFormatting sqref="W28:Y28;I28:U28">
    <cfRule type="expression" dxfId="1433" priority="86" stopIfTrue="1">
      <formula>IF(OR(#REF!="not",#REF!="resign",#REF!="resign",#REF!="end",#REF!="terminated",#REF!="permanent"),"TRUE","FALSE")</formula>
    </cfRule>
  </conditionalFormatting>
  <conditionalFormatting sqref="B28">
    <cfRule type="expression" dxfId="1434" priority="87" stopIfTrue="1">
      <formula>IF(OR(#REF!="not",#REF!="resign",#REF!="resign",#REF!="end",#REF!="terminated",#REF!="permanent"),"TRUE","FALSE")</formula>
    </cfRule>
  </conditionalFormatting>
  <conditionalFormatting sqref="F28:H28">
    <cfRule type="expression" dxfId="1435" priority="88" stopIfTrue="1">
      <formula>IF(OR(#REF!="not",#REF!="resign",#REF!="resign",#REF!="end",#REF!="terminated",#REF!="permanent"),"TRUE","FALSE")</formula>
    </cfRule>
  </conditionalFormatting>
  <conditionalFormatting sqref="V28">
    <cfRule type="expression" dxfId="1436" priority="89" stopIfTrue="1">
      <formula>IF(OR(#REF!="not",#REF!="resign",#REF!="resign",#REF!="end",#REF!="terminated",#REF!="permanent"),"TRUE","FALSE")</formula>
    </cfRule>
    <cfRule type="expression" dxfId="1437" priority="90" stopIfTrue="1">
      <formula>IF(OR(#REF!="not",#REF!="resign",#REF!="resign",#REF!="end",#REF!="terminated",#REF!="permanent"),"TRUE","FALSE")</formula>
    </cfRule>
    <cfRule type="expression" dxfId="1438" priority="91" stopIfTrue="1">
      <formula>IF(OR(#REF!="not",#REF!="resign",#REF!="resign",#REF!="end",#REF!="terminated",#REF!="permanent"),"TRUE","FALSE")</formula>
    </cfRule>
  </conditionalFormatting>
  <conditionalFormatting sqref="J28:N28;Q28:V28;X28;C28:F28">
    <cfRule type="expression" dxfId="1439" priority="92" stopIfTrue="1">
      <formula>IF(OR(#REF!="not",#REF!="resign",#REF!="resign",#REF!="end",#REF!="terminated",#REF!="permanent"),"TRUE","FALSE")</formula>
    </cfRule>
  </conditionalFormatting>
  <conditionalFormatting sqref="Q28:U28;W28:X28">
    <cfRule type="expression" dxfId="1440" priority="93" stopIfTrue="1">
      <formula>IF(OR(#REF!="not",#REF!="resign",#REF!="resign",#REF!="end",#REF!="terminated",#REF!="permanent"),"TRUE","FALSE")</formula>
    </cfRule>
  </conditionalFormatting>
  <conditionalFormatting sqref="R28:X28">
    <cfRule type="expression" dxfId="1441" priority="94" stopIfTrue="1">
      <formula>IF(OR(#REF!="not",#REF!="resign",#REF!="resign",#REF!="end",#REF!="terminated",#REF!="permanent"),"TRUE","FALSE")</formula>
    </cfRule>
  </conditionalFormatting>
  <conditionalFormatting sqref="W28">
    <cfRule type="expression" dxfId="1442" priority="95" stopIfTrue="1">
      <formula>IF(OR(#REF!="not",#REF!="resign",#REF!="resign",#REF!="end",#REF!="terminated",#REF!="permanent"),"TRUE","FALSE")</formula>
    </cfRule>
  </conditionalFormatting>
  <conditionalFormatting sqref="F28">
    <cfRule type="expression" dxfId="1443" priority="96" stopIfTrue="1">
      <formula>IF(OR(#REF!="not",#REF!="resign",#REF!="resign",#REF!="end",#REF!="terminated",#REF!="permanent"),"TRUE","FALSE")</formula>
    </cfRule>
    <cfRule type="expression" dxfId="1444" priority="97" stopIfTrue="1">
      <formula>IF(OR(#REF!="not",#REF!="resign",#REF!="resign",#REF!="end",#REF!="terminated",#REF!="permanent"),"TRUE","FALSE")</formula>
    </cfRule>
    <cfRule type="expression" dxfId="1445" priority="98" stopIfTrue="1">
      <formula>IF(OR(#REF!="not",#REF!="resign",#REF!="resign",#REF!="end",#REF!="terminated",#REF!="permanent"),"TRUE","FALSE")</formula>
    </cfRule>
  </conditionalFormatting>
  <conditionalFormatting sqref="C28:F28">
    <cfRule type="expression" dxfId="1446" priority="99" stopIfTrue="1">
      <formula>IF(OR(#REF!="not",#REF!="resign",#REF!="resign",#REF!="end",#REF!="terminated",#REF!="permanent"),"TRUE","FALSE")</formula>
    </cfRule>
    <cfRule type="expression" dxfId="1447" priority="100" stopIfTrue="1">
      <formula>IF(OR(#REF!="not",#REF!="resign",#REF!="resign",#REF!="end",#REF!="terminated",#REF!="permanent"),"TRUE","FALSE")</formula>
    </cfRule>
  </conditionalFormatting>
  <conditionalFormatting sqref="C28">
    <cfRule type="expression" dxfId="1448" priority="101" stopIfTrue="1">
      <formula>IF(OR(#REF!="not",#REF!="resign",#REF!="resign",#REF!="end",#REF!="terminated",#REF!="permanent"),"TRUE","FALSE")</formula>
    </cfRule>
    <cfRule type="expression" dxfId="1449" priority="102" stopIfTrue="1">
      <formula>IF(OR(#REF!="not",#REF!="resign",#REF!="resign",#REF!="end",#REF!="terminated",#REF!="permanent"),"TRUE","FALSE")</formula>
    </cfRule>
  </conditionalFormatting>
  <conditionalFormatting sqref="D28:E28">
    <cfRule type="expression" dxfId="1450" priority="103" stopIfTrue="1">
      <formula>IF(OR(#REF!="not",#REF!="resign",#REF!="resign",#REF!="end",#REF!="terminated",#REF!="permanent"),"TRUE","FALSE")</formula>
    </cfRule>
    <cfRule type="expression" dxfId="1451" priority="104" stopIfTrue="1">
      <formula>IF(OR(#REF!="not",#REF!="resign",#REF!="resign",#REF!="end",#REF!="terminated",#REF!="permanent"),"TRUE","FALSE")</formula>
    </cfRule>
  </conditionalFormatting>
  <conditionalFormatting sqref="V20">
    <cfRule type="expression" dxfId="1452" priority="105" stopIfTrue="1">
      <formula>IF(OR(#REF!="not",#REF!="resign",#REF!="resign",#REF!="end",#REF!="terminated",#REF!="permanent"),"TRUE","FALSE")</formula>
    </cfRule>
  </conditionalFormatting>
  <conditionalFormatting sqref="W20">
    <cfRule type="expression" dxfId="1453" priority="106" stopIfTrue="1">
      <formula>IF(OR(#REF!="not",#REF!="resign",#REF!="resign",#REF!="end",#REF!="terminated",#REF!="permanent"),"TRUE","FALSE")</formula>
    </cfRule>
  </conditionalFormatting>
  <conditionalFormatting sqref="E20">
    <cfRule type="expression" dxfId="1454" priority="107" stopIfTrue="1">
      <formula>IF(OR($AN20="not",$AN20="resign",$AN20="resign",$AN20="end",$AN20="terminated",$AN20="permanent"),"TRUE","FALSE")</formula>
    </cfRule>
  </conditionalFormatting>
  <conditionalFormatting sqref="I20">
    <cfRule type="expression" dxfId="1455" priority="108" stopIfTrue="1">
      <formula>IF(OR($AN20="not",$AN20="resign",$AN20="resign",$AN20="end",$AN20="terminated",$AN20="permanent"),"TRUE","FALSE")</formula>
    </cfRule>
  </conditionalFormatting>
  <conditionalFormatting sqref="F20">
    <cfRule type="expression" dxfId="1456" priority="109" stopIfTrue="1">
      <formula>IF(OR($AN20="not",$AN20="resign",$AN20="resign",$AN20="end",$AN20="terminated",$AN20="permanent"),"TRUE","FALSE")</formula>
    </cfRule>
  </conditionalFormatting>
  <conditionalFormatting sqref="C20">
    <cfRule type="expression" dxfId="1457" priority="110" stopIfTrue="1">
      <formula>IF(OR($AO20="not",$AO20="resign",$AO20="resign",$AO20="end",$AO20="terminated",$AO20="permanent"),"TRUE","FALSE")</formula>
    </cfRule>
  </conditionalFormatting>
  <conditionalFormatting sqref="D20">
    <cfRule type="expression" dxfId="1458" priority="111" stopIfTrue="1">
      <formula>IF(OR($AO20="not",$AO20="resign",$AO20="resign",$AO20="end",$AO20="terminated",$AO20="permanent"),"TRUE","FALSE")</formula>
    </cfRule>
  </conditionalFormatting>
  <conditionalFormatting sqref="L20">
    <cfRule type="expression" dxfId="1459" priority="112" stopIfTrue="1">
      <formula>IF(OR(#REF!="not",#REF!="resign",#REF!="resign",#REF!="end",#REF!="terminated",#REF!="permanent"),"TRUE","FALSE")</formula>
    </cfRule>
  </conditionalFormatting>
  <conditionalFormatting sqref="B20">
    <cfRule type="expression" dxfId="1460" priority="113" stopIfTrue="1">
      <formula>IF(OR($AN20="not",$AN20="resign",$AN20="resign",$AN20="end",$AN20="terminated",$AN20="permanent"),"TRUE","FALSE")</formula>
    </cfRule>
  </conditionalFormatting>
  <hyperlinks>
    <hyperlink ref="V14" location="" display="komala.satriana@gmail.com"/>
    <hyperlink ref="V15" location="" display="dennycandra@windowslive.com"/>
    <hyperlink ref="V16" location="" display="feilie.hambali@microsoft.com"/>
    <hyperlink ref="V17" location="" display="isurijono@gmail.com"/>
    <hyperlink ref="V29" location="" display="filino.nicholas@gmail.com"/>
    <hyperlink ref="V25" location="" display="lydiads19@gmail.com, lydiadewi@corphr.com"/>
    <hyperlink ref="O25" location="" display="marcus.maelissa@microsoft.com"/>
    <hyperlink ref="V26" location="" display="ext-drajat.pradono@microsoft.com"/>
    <hyperlink ref="V27" location="" display="riqbest@gmail.com"/>
    <hyperlink ref="V18" location="" display="nevymailoa1970@gmail.com"/>
    <hyperlink ref="V19" location="" display="irvan.ridha80@gmail.com"/>
    <hyperlink ref="V20" location="" display="tony.alexander.brand@gmail.com"/>
  </hyperlinks>
  <pageMargins left="0" right="0" top="1" bottom="1" header="0" footer="0"/>
  <pageSetup paperSize="9" scale="33" orientation="landscape"/>
  <headerFooter alignWithMargins="0"/>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8"/>
  <sheetViews>
    <sheetView showGridLines="0" topLeftCell="A9" workbookViewId="0">
      <pane xSplit="3" ySplit="5" topLeftCell="D14" activePane="bottomRight" state="frozen"/>
      <selection/>
      <selection pane="topRight"/>
      <selection pane="bottomLeft"/>
      <selection pane="bottomRight" activeCell="C26" sqref="C26"/>
    </sheetView>
  </sheetViews>
  <sheetFormatPr defaultColWidth="9" defaultRowHeight="12.95" customHeight="1"/>
  <cols>
    <col min="1" max="1" width="3.425" style="2" customWidth="1"/>
    <col min="2" max="2" width="9.425" style="2" customWidth="1"/>
    <col min="3" max="3" width="15.1416666666667" style="2" customWidth="1"/>
    <col min="4" max="4" width="11.1416666666667" style="2" customWidth="1"/>
    <col min="5" max="5" width="3.56666666666667" style="2" customWidth="1"/>
    <col min="6" max="6" width="8.14166666666667" style="2" customWidth="1"/>
    <col min="7" max="7" width="12" style="2" customWidth="1"/>
    <col min="8" max="8" width="9.28333333333333" style="2" customWidth="1"/>
    <col min="9" max="9" width="9.70833333333333" style="2" customWidth="1"/>
    <col min="10" max="10" width="8.70833333333333" style="2" customWidth="1"/>
    <col min="11" max="18" width="8.56666666666667" style="2" customWidth="1"/>
    <col min="19" max="19" width="8.85833333333333" style="2" customWidth="1"/>
    <col min="20" max="20" width="9.85833333333333" style="2" customWidth="1"/>
    <col min="21" max="22" width="10.1416666666667" style="2" customWidth="1"/>
    <col min="23" max="23" width="14.425" style="2" customWidth="1"/>
    <col min="24" max="24" width="26.8583333333333" style="2" customWidth="1"/>
    <col min="25" max="25" width="35" style="2" customWidth="1"/>
    <col min="26" max="26" width="13.1416666666667" style="2" customWidth="1"/>
    <col min="27" max="27" width="20.7083333333333" style="2" customWidth="1"/>
    <col min="28" max="28" width="17.2833333333333" style="2" customWidth="1"/>
    <col min="29" max="29" width="15" style="2" customWidth="1"/>
    <col min="30" max="30" width="10.425" style="2" customWidth="1"/>
    <col min="31" max="31" width="13.7083333333333" style="2" customWidth="1"/>
    <col min="32" max="32" width="28.5666666666667" style="2" customWidth="1"/>
    <col min="33" max="33" width="19.2833333333333" style="2" customWidth="1"/>
    <col min="34" max="16384" width="9.14166666666667" style="2"/>
  </cols>
  <sheetData>
    <row r="1" s="1" customFormat="1" customHeight="1" spans="1:32">
      <c r="A1" s="9"/>
      <c r="B1" s="9"/>
      <c r="C1" s="9"/>
      <c r="D1" s="9"/>
      <c r="E1" s="9"/>
      <c r="F1" s="9"/>
      <c r="AB1" s="145" t="s">
        <v>11108</v>
      </c>
      <c r="AC1" s="145"/>
      <c r="AD1" s="145"/>
      <c r="AE1" s="145"/>
      <c r="AF1" s="145"/>
    </row>
    <row r="2" s="1" customFormat="1" customHeight="1" spans="1:32">
      <c r="A2" s="9"/>
      <c r="B2" s="9"/>
      <c r="C2" s="9"/>
      <c r="D2" s="9"/>
      <c r="E2" s="9"/>
      <c r="F2" s="9"/>
      <c r="AB2" s="146" t="s">
        <v>11109</v>
      </c>
      <c r="AC2" s="146"/>
      <c r="AD2" s="146"/>
      <c r="AE2" s="146"/>
      <c r="AF2" s="146"/>
    </row>
    <row r="3" s="1" customFormat="1" customHeight="1" spans="1:32">
      <c r="A3" s="9"/>
      <c r="B3" s="9"/>
      <c r="C3" s="9"/>
      <c r="D3" s="9"/>
      <c r="E3" s="9"/>
      <c r="F3" s="9"/>
      <c r="S3" s="241"/>
      <c r="AB3" s="146" t="s">
        <v>11110</v>
      </c>
      <c r="AC3" s="146"/>
      <c r="AD3" s="146"/>
      <c r="AE3" s="146"/>
      <c r="AF3" s="146"/>
    </row>
    <row r="4" s="1" customFormat="1" customHeight="1" spans="1:32">
      <c r="A4" s="9"/>
      <c r="B4" s="9"/>
      <c r="C4" s="9"/>
      <c r="D4" s="9"/>
      <c r="E4" s="9"/>
      <c r="F4" s="9"/>
      <c r="AB4" s="146" t="s">
        <v>11111</v>
      </c>
      <c r="AC4" s="146"/>
      <c r="AD4" s="146"/>
      <c r="AE4" s="146"/>
      <c r="AF4" s="146"/>
    </row>
    <row r="5" s="1" customFormat="1" customHeight="1" spans="1:6">
      <c r="A5" s="9"/>
      <c r="B5" s="9"/>
      <c r="C5" s="9"/>
      <c r="D5" s="9"/>
      <c r="E5" s="9"/>
      <c r="F5" s="9"/>
    </row>
    <row r="6" s="1" customFormat="1" customHeight="1" spans="1:6">
      <c r="A6" s="9"/>
      <c r="B6" s="9"/>
      <c r="C6" s="9"/>
      <c r="D6" s="9"/>
      <c r="E6" s="9"/>
      <c r="F6" s="9"/>
    </row>
    <row r="7" s="1" customFormat="1" customHeight="1" spans="3:6">
      <c r="C7" s="9"/>
      <c r="D7" s="9"/>
      <c r="E7" s="9"/>
      <c r="F7" s="9"/>
    </row>
    <row r="8" s="1" customFormat="1" customHeight="1" spans="1:26">
      <c r="A8" s="10" t="s">
        <v>7926</v>
      </c>
      <c r="B8" s="10"/>
      <c r="C8" s="10"/>
      <c r="D8" s="10"/>
      <c r="E8" s="10"/>
      <c r="F8" s="10"/>
      <c r="G8" s="10"/>
      <c r="H8" s="10"/>
      <c r="I8" s="10"/>
      <c r="J8" s="10"/>
      <c r="K8" s="10"/>
      <c r="L8" s="10"/>
      <c r="M8" s="10"/>
      <c r="N8" s="10"/>
      <c r="O8" s="10"/>
      <c r="P8" s="10"/>
      <c r="Q8" s="10"/>
      <c r="R8" s="10"/>
      <c r="S8" s="10"/>
      <c r="T8" s="10"/>
      <c r="U8" s="10"/>
      <c r="V8" s="10"/>
      <c r="W8" s="10"/>
      <c r="X8" s="10"/>
      <c r="Y8" s="10"/>
      <c r="Z8" s="10"/>
    </row>
    <row r="9" s="1" customFormat="1" customHeight="1" spans="1:26">
      <c r="A9" s="10" t="s">
        <v>12146</v>
      </c>
      <c r="B9" s="10"/>
      <c r="C9" s="10"/>
      <c r="D9" s="10"/>
      <c r="E9" s="10"/>
      <c r="F9" s="10"/>
      <c r="G9" s="10"/>
      <c r="H9" s="10"/>
      <c r="I9" s="10"/>
      <c r="J9" s="10"/>
      <c r="K9" s="10"/>
      <c r="L9" s="10"/>
      <c r="M9" s="10"/>
      <c r="N9" s="10"/>
      <c r="O9" s="10"/>
      <c r="P9" s="10"/>
      <c r="Q9" s="10"/>
      <c r="R9" s="10"/>
      <c r="S9" s="10"/>
      <c r="T9" s="10"/>
      <c r="U9" s="10"/>
      <c r="V9" s="10"/>
      <c r="W9" s="10"/>
      <c r="X9" s="10"/>
      <c r="Y9" s="10"/>
      <c r="Z9" s="10"/>
    </row>
    <row r="10" s="1" customFormat="1" customHeight="1" spans="1:24">
      <c r="A10" s="10"/>
      <c r="B10" s="10"/>
      <c r="C10" s="10"/>
      <c r="D10" s="10"/>
      <c r="E10" s="10"/>
      <c r="F10" s="10"/>
      <c r="G10" s="10"/>
      <c r="H10" s="10"/>
      <c r="I10" s="10"/>
      <c r="J10" s="10"/>
      <c r="K10" s="10"/>
      <c r="L10" s="10"/>
      <c r="M10" s="10"/>
      <c r="N10" s="10"/>
      <c r="O10" s="10"/>
      <c r="P10" s="10"/>
      <c r="Q10" s="10"/>
      <c r="R10" s="10"/>
      <c r="S10" s="10"/>
      <c r="T10" s="10"/>
      <c r="U10" s="10"/>
      <c r="V10" s="10"/>
      <c r="W10" s="10"/>
      <c r="X10" s="10"/>
    </row>
    <row r="11" s="1" customFormat="1" customHeight="1" spans="3:33">
      <c r="C11" s="9"/>
      <c r="D11" s="9"/>
      <c r="E11" s="9"/>
      <c r="F11" s="9"/>
      <c r="AG11" s="1" t="s">
        <v>12147</v>
      </c>
    </row>
    <row r="12" s="1" customFormat="1" customHeight="1" spans="1:33">
      <c r="A12" s="11" t="s">
        <v>0</v>
      </c>
      <c r="B12" s="11" t="s">
        <v>1</v>
      </c>
      <c r="C12" s="11" t="s">
        <v>2</v>
      </c>
      <c r="D12" s="11" t="s">
        <v>3</v>
      </c>
      <c r="E12" s="11" t="s">
        <v>4</v>
      </c>
      <c r="F12" s="11" t="s">
        <v>7929</v>
      </c>
      <c r="G12" s="11" t="s">
        <v>8</v>
      </c>
      <c r="H12" s="43" t="s">
        <v>9</v>
      </c>
      <c r="I12" s="44"/>
      <c r="J12" s="44"/>
      <c r="K12" s="44"/>
      <c r="L12" s="242"/>
      <c r="M12" s="242"/>
      <c r="N12" s="43" t="s">
        <v>11</v>
      </c>
      <c r="O12" s="44"/>
      <c r="P12" s="242"/>
      <c r="Q12" s="433" t="s">
        <v>12148</v>
      </c>
      <c r="R12" s="435"/>
      <c r="S12" s="11" t="s">
        <v>14</v>
      </c>
      <c r="T12" s="33" t="s">
        <v>15</v>
      </c>
      <c r="U12" s="11" t="s">
        <v>16</v>
      </c>
      <c r="V12" s="11" t="s">
        <v>12149</v>
      </c>
      <c r="W12" s="11" t="s">
        <v>3509</v>
      </c>
      <c r="X12" s="11" t="s">
        <v>15</v>
      </c>
      <c r="Y12" s="60" t="s">
        <v>28</v>
      </c>
      <c r="Z12" s="61" t="s">
        <v>29</v>
      </c>
      <c r="AA12" s="71" t="s">
        <v>30</v>
      </c>
      <c r="AB12" s="251" t="s">
        <v>32</v>
      </c>
      <c r="AC12" s="251" t="s">
        <v>31</v>
      </c>
      <c r="AD12" s="251" t="s">
        <v>33</v>
      </c>
      <c r="AE12" s="251" t="s">
        <v>34</v>
      </c>
      <c r="AF12" s="251" t="s">
        <v>12150</v>
      </c>
      <c r="AG12" s="72" t="s">
        <v>36</v>
      </c>
    </row>
    <row r="13" s="1" customFormat="1" customHeight="1" spans="1:33">
      <c r="A13" s="236"/>
      <c r="B13" s="236"/>
      <c r="C13" s="236"/>
      <c r="D13" s="236"/>
      <c r="E13" s="236"/>
      <c r="F13" s="236"/>
      <c r="G13" s="236"/>
      <c r="H13" s="33" t="s">
        <v>37</v>
      </c>
      <c r="I13" s="33" t="s">
        <v>38</v>
      </c>
      <c r="J13" s="33">
        <v>1</v>
      </c>
      <c r="K13" s="33">
        <v>2</v>
      </c>
      <c r="L13" s="236">
        <v>3</v>
      </c>
      <c r="M13" s="236">
        <v>4</v>
      </c>
      <c r="N13" s="33" t="s">
        <v>37</v>
      </c>
      <c r="O13" s="33" t="s">
        <v>38</v>
      </c>
      <c r="P13" s="236">
        <v>1</v>
      </c>
      <c r="Q13" s="434" t="s">
        <v>37</v>
      </c>
      <c r="R13" s="434" t="s">
        <v>38</v>
      </c>
      <c r="S13" s="236"/>
      <c r="T13" s="243"/>
      <c r="U13" s="236"/>
      <c r="V13" s="236"/>
      <c r="W13" s="244"/>
      <c r="X13" s="244"/>
      <c r="Y13" s="247"/>
      <c r="Z13" s="248"/>
      <c r="AA13" s="249"/>
      <c r="AB13" s="252"/>
      <c r="AC13" s="252"/>
      <c r="AD13" s="252"/>
      <c r="AE13" s="252"/>
      <c r="AF13" s="252"/>
      <c r="AG13" s="256"/>
    </row>
    <row r="14" ht="34.5" spans="1:33">
      <c r="A14" s="1607" t="s">
        <v>39</v>
      </c>
      <c r="B14" s="1607" t="s">
        <v>12151</v>
      </c>
      <c r="C14" s="497" t="s">
        <v>12152</v>
      </c>
      <c r="D14" s="578" t="s">
        <v>12153</v>
      </c>
      <c r="E14" s="508" t="s">
        <v>125</v>
      </c>
      <c r="F14" s="16" t="s">
        <v>44</v>
      </c>
      <c r="G14" s="65" t="s">
        <v>12154</v>
      </c>
      <c r="H14" s="436">
        <v>42948</v>
      </c>
      <c r="I14" s="436">
        <v>43131</v>
      </c>
      <c r="J14" s="436">
        <v>43220</v>
      </c>
      <c r="K14" s="436">
        <v>43281</v>
      </c>
      <c r="L14" s="436"/>
      <c r="M14" s="436"/>
      <c r="N14" s="436"/>
      <c r="O14" s="436"/>
      <c r="P14" s="436"/>
      <c r="Q14" s="436"/>
      <c r="R14" s="436"/>
      <c r="S14" s="48">
        <f ca="1">SUM(K14-NOW())</f>
        <v>8.61546296296001</v>
      </c>
      <c r="T14" s="65" t="str">
        <f ca="1">IF(S14&lt;=35,"WARNING","ACTIVE")</f>
        <v>WARNING</v>
      </c>
      <c r="U14" s="444">
        <v>9000000</v>
      </c>
      <c r="V14" s="444">
        <v>1250000</v>
      </c>
      <c r="W14" s="444" t="s">
        <v>12155</v>
      </c>
      <c r="X14" s="444" t="s">
        <v>12156</v>
      </c>
      <c r="Y14" s="65" t="s">
        <v>12157</v>
      </c>
      <c r="Z14" s="76">
        <v>87885883668</v>
      </c>
      <c r="AA14" s="76" t="s">
        <v>12158</v>
      </c>
      <c r="AB14" s="76" t="s">
        <v>12159</v>
      </c>
      <c r="AC14" s="76" t="s">
        <v>12160</v>
      </c>
      <c r="AD14" s="76" t="s">
        <v>12161</v>
      </c>
      <c r="AE14" s="1608" t="s">
        <v>12162</v>
      </c>
      <c r="AF14" s="127" t="s">
        <v>12163</v>
      </c>
      <c r="AG14" s="582"/>
    </row>
    <row r="15" s="3" customFormat="1" ht="12"/>
    <row r="16" s="3" customFormat="1" ht="12"/>
    <row r="17" customHeight="1" spans="26:32">
      <c r="Z17" s="78"/>
      <c r="AA17" s="78"/>
      <c r="AB17" s="78"/>
      <c r="AC17" s="78"/>
      <c r="AD17" s="78"/>
      <c r="AE17" s="78"/>
      <c r="AF17" s="78"/>
    </row>
    <row r="18" customHeight="1" spans="26:32">
      <c r="Z18" s="78"/>
      <c r="AA18" s="78"/>
      <c r="AB18" s="78"/>
      <c r="AC18" s="78"/>
      <c r="AD18" s="78"/>
      <c r="AE18" s="78"/>
      <c r="AF18" s="78"/>
    </row>
    <row r="19" customHeight="1" spans="26:32">
      <c r="Z19" s="78"/>
      <c r="AA19" s="78"/>
      <c r="AB19" s="78"/>
      <c r="AC19" s="78"/>
      <c r="AD19" s="78"/>
      <c r="AE19" s="78"/>
      <c r="AF19" s="78"/>
    </row>
    <row r="20" customHeight="1" spans="26:32">
      <c r="Z20" s="78"/>
      <c r="AA20" s="78"/>
      <c r="AB20" s="78"/>
      <c r="AC20" s="78"/>
      <c r="AD20" s="78"/>
      <c r="AE20" s="78"/>
      <c r="AF20" s="78"/>
    </row>
    <row r="21" customHeight="1" spans="26:38">
      <c r="Z21" s="78"/>
      <c r="AA21" s="78"/>
      <c r="AB21" s="78"/>
      <c r="AC21" s="78"/>
      <c r="AD21" s="78"/>
      <c r="AE21" s="78"/>
      <c r="AF21" s="78"/>
      <c r="AL21" s="2" t="s">
        <v>4826</v>
      </c>
    </row>
    <row r="22" customHeight="1" spans="1:2">
      <c r="A22" s="17" t="s">
        <v>2552</v>
      </c>
      <c r="B22" s="165"/>
    </row>
    <row r="23" customHeight="1" spans="1:33">
      <c r="A23" s="20">
        <v>2</v>
      </c>
      <c r="B23" s="1609" t="s">
        <v>12164</v>
      </c>
      <c r="C23" s="498" t="s">
        <v>12165</v>
      </c>
      <c r="D23" s="579" t="s">
        <v>12166</v>
      </c>
      <c r="E23" s="510" t="s">
        <v>125</v>
      </c>
      <c r="F23" s="22" t="s">
        <v>44</v>
      </c>
      <c r="G23" s="27" t="s">
        <v>12167</v>
      </c>
      <c r="H23" s="439">
        <v>42317</v>
      </c>
      <c r="I23" s="439">
        <v>42498</v>
      </c>
      <c r="J23" s="439"/>
      <c r="K23" s="439"/>
      <c r="L23" s="439"/>
      <c r="M23" s="439"/>
      <c r="N23" s="439"/>
      <c r="O23" s="439"/>
      <c r="P23" s="439"/>
      <c r="Q23" s="439"/>
      <c r="R23" s="439"/>
      <c r="S23" s="53">
        <f ca="1" t="shared" ref="S23:S27" si="0">SUM(I23-NOW())</f>
        <v>-774.38453703704</v>
      </c>
      <c r="T23" s="27" t="str">
        <f ca="1" t="shared" ref="T23:T28" si="1">IF(S23&lt;=35,"WARNING","ACTIVE")</f>
        <v>WARNING</v>
      </c>
      <c r="U23" s="445">
        <v>6000000</v>
      </c>
      <c r="V23" s="445" t="s">
        <v>12168</v>
      </c>
      <c r="W23" s="445" t="s">
        <v>12169</v>
      </c>
      <c r="X23" s="445" t="s">
        <v>12170</v>
      </c>
      <c r="Y23" s="27" t="s">
        <v>12171</v>
      </c>
      <c r="Z23" s="1610" t="s">
        <v>12172</v>
      </c>
      <c r="AA23" s="27" t="s">
        <v>12173</v>
      </c>
      <c r="AB23" s="27" t="s">
        <v>12174</v>
      </c>
      <c r="AC23" s="83"/>
      <c r="AD23" s="27">
        <v>11008148451</v>
      </c>
      <c r="AE23" s="27" t="s">
        <v>12175</v>
      </c>
      <c r="AF23" s="86" t="s">
        <v>12176</v>
      </c>
      <c r="AG23" s="29" t="s">
        <v>12177</v>
      </c>
    </row>
    <row r="24" customHeight="1" spans="1:33">
      <c r="A24" s="20">
        <v>2</v>
      </c>
      <c r="B24" s="1609" t="s">
        <v>12178</v>
      </c>
      <c r="C24" s="498" t="s">
        <v>12179</v>
      </c>
      <c r="D24" s="579" t="s">
        <v>12180</v>
      </c>
      <c r="E24" s="510" t="s">
        <v>125</v>
      </c>
      <c r="F24" s="22" t="s">
        <v>60</v>
      </c>
      <c r="G24" s="27" t="s">
        <v>12181</v>
      </c>
      <c r="H24" s="439">
        <v>42563</v>
      </c>
      <c r="I24" s="439">
        <v>42654</v>
      </c>
      <c r="J24" s="439">
        <v>43019</v>
      </c>
      <c r="K24" s="439"/>
      <c r="L24" s="439"/>
      <c r="M24" s="439"/>
      <c r="N24" s="439"/>
      <c r="O24" s="439"/>
      <c r="P24" s="439"/>
      <c r="Q24" s="439"/>
      <c r="R24" s="439"/>
      <c r="S24" s="53">
        <f ca="1">SUM(J24-NOW())</f>
        <v>-253.38453703704</v>
      </c>
      <c r="T24" s="27" t="str">
        <f ca="1">IF(S24&lt;=40,"WARNING","ACTIVE")</f>
        <v>WARNING</v>
      </c>
      <c r="U24" s="445">
        <v>5000000</v>
      </c>
      <c r="V24" s="445">
        <v>1250000</v>
      </c>
      <c r="W24" s="445" t="s">
        <v>12155</v>
      </c>
      <c r="X24" s="445"/>
      <c r="Y24" s="27" t="s">
        <v>12182</v>
      </c>
      <c r="Z24" s="27">
        <v>81291127024</v>
      </c>
      <c r="AA24" s="27" t="s">
        <v>12183</v>
      </c>
      <c r="AB24" s="27" t="s">
        <v>12184</v>
      </c>
      <c r="AC24" s="83" t="s">
        <v>12185</v>
      </c>
      <c r="AD24" s="27">
        <v>0</v>
      </c>
      <c r="AE24" s="1609" t="s">
        <v>12186</v>
      </c>
      <c r="AF24" s="86" t="s">
        <v>12187</v>
      </c>
      <c r="AG24" s="238" t="s">
        <v>12188</v>
      </c>
    </row>
    <row r="25" customHeight="1" spans="1:33">
      <c r="A25" s="20">
        <v>1</v>
      </c>
      <c r="B25" s="1609" t="s">
        <v>12189</v>
      </c>
      <c r="C25" s="498" t="s">
        <v>12190</v>
      </c>
      <c r="D25" s="579" t="s">
        <v>12191</v>
      </c>
      <c r="E25" s="510" t="s">
        <v>125</v>
      </c>
      <c r="F25" s="22" t="s">
        <v>404</v>
      </c>
      <c r="G25" s="27" t="s">
        <v>12192</v>
      </c>
      <c r="H25" s="439">
        <v>42019</v>
      </c>
      <c r="I25" s="439">
        <v>42108</v>
      </c>
      <c r="J25" s="439">
        <v>42195</v>
      </c>
      <c r="K25" s="439">
        <v>42369</v>
      </c>
      <c r="L25" s="439">
        <v>42490</v>
      </c>
      <c r="M25" s="439">
        <v>42749</v>
      </c>
      <c r="N25" s="439">
        <v>42750</v>
      </c>
      <c r="O25" s="439">
        <v>42855</v>
      </c>
      <c r="P25" s="439">
        <v>43114</v>
      </c>
      <c r="Q25" s="439">
        <v>43115</v>
      </c>
      <c r="R25" s="439">
        <v>43220</v>
      </c>
      <c r="S25" s="53">
        <f ca="1">SUM(P25-NOW())</f>
        <v>-158.38453703704</v>
      </c>
      <c r="T25" s="27" t="str">
        <f ca="1">IF(S25&lt;=40,"WARNING","ACTIVE")</f>
        <v>WARNING</v>
      </c>
      <c r="U25" s="445">
        <v>9000000</v>
      </c>
      <c r="V25" s="445">
        <v>1250000</v>
      </c>
      <c r="W25" s="445" t="s">
        <v>12155</v>
      </c>
      <c r="X25" s="445" t="s">
        <v>12193</v>
      </c>
      <c r="Y25" s="27" t="s">
        <v>12194</v>
      </c>
      <c r="Z25" s="1610" t="s">
        <v>12195</v>
      </c>
      <c r="AA25" s="27" t="s">
        <v>12196</v>
      </c>
      <c r="AB25" s="27" t="s">
        <v>12197</v>
      </c>
      <c r="AC25" s="83" t="s">
        <v>12198</v>
      </c>
      <c r="AD25" s="27">
        <v>11000185790</v>
      </c>
      <c r="AE25" s="1609" t="s">
        <v>12199</v>
      </c>
      <c r="AF25" s="86" t="s">
        <v>12200</v>
      </c>
      <c r="AG25" s="28" t="s">
        <v>2577</v>
      </c>
    </row>
    <row r="26" customHeight="1" spans="1:33">
      <c r="A26" s="1609" t="s">
        <v>56</v>
      </c>
      <c r="B26" s="1609" t="s">
        <v>12201</v>
      </c>
      <c r="C26" s="498" t="s">
        <v>12202</v>
      </c>
      <c r="D26" s="579" t="s">
        <v>242</v>
      </c>
      <c r="E26" s="510" t="s">
        <v>125</v>
      </c>
      <c r="F26" s="22" t="s">
        <v>60</v>
      </c>
      <c r="G26" s="27" t="s">
        <v>12181</v>
      </c>
      <c r="H26" s="439">
        <v>42955</v>
      </c>
      <c r="I26" s="439">
        <v>43220</v>
      </c>
      <c r="J26" s="439"/>
      <c r="K26" s="439"/>
      <c r="L26" s="439"/>
      <c r="M26" s="439"/>
      <c r="N26" s="439"/>
      <c r="O26" s="439"/>
      <c r="P26" s="439"/>
      <c r="Q26" s="439"/>
      <c r="R26" s="439"/>
      <c r="S26" s="53">
        <f ca="1" t="shared" si="0"/>
        <v>-52.38453703704</v>
      </c>
      <c r="T26" s="27" t="str">
        <f ca="1" t="shared" si="1"/>
        <v>WARNING</v>
      </c>
      <c r="U26" s="445">
        <v>5000000</v>
      </c>
      <c r="V26" s="445">
        <v>1250000</v>
      </c>
      <c r="W26" s="444" t="s">
        <v>12155</v>
      </c>
      <c r="X26" s="445"/>
      <c r="Y26" s="27" t="s">
        <v>12203</v>
      </c>
      <c r="Z26" s="1599" t="s">
        <v>12204</v>
      </c>
      <c r="AA26" s="83" t="s">
        <v>12205</v>
      </c>
      <c r="AB26" s="83" t="s">
        <v>12206</v>
      </c>
      <c r="AC26" s="83" t="s">
        <v>12207</v>
      </c>
      <c r="AD26" s="83" t="s">
        <v>12208</v>
      </c>
      <c r="AE26" s="1611" t="s">
        <v>12209</v>
      </c>
      <c r="AF26" s="229" t="s">
        <v>12210</v>
      </c>
      <c r="AG26" s="28" t="s">
        <v>12211</v>
      </c>
    </row>
    <row r="27" customHeight="1" spans="1:33">
      <c r="A27" s="1609" t="s">
        <v>68</v>
      </c>
      <c r="B27" s="1609" t="s">
        <v>12212</v>
      </c>
      <c r="C27" s="498" t="s">
        <v>12213</v>
      </c>
      <c r="D27" s="579" t="s">
        <v>12214</v>
      </c>
      <c r="E27" s="510" t="s">
        <v>43</v>
      </c>
      <c r="F27" s="22" t="s">
        <v>44</v>
      </c>
      <c r="G27" s="27" t="s">
        <v>12215</v>
      </c>
      <c r="H27" s="439">
        <v>43021</v>
      </c>
      <c r="I27" s="439">
        <v>43220</v>
      </c>
      <c r="J27" s="439"/>
      <c r="K27" s="439"/>
      <c r="L27" s="439"/>
      <c r="M27" s="439"/>
      <c r="N27" s="439"/>
      <c r="O27" s="439"/>
      <c r="P27" s="439"/>
      <c r="Q27" s="439"/>
      <c r="R27" s="439"/>
      <c r="S27" s="53">
        <f ca="1" t="shared" si="0"/>
        <v>-52.38453703704</v>
      </c>
      <c r="T27" s="27" t="str">
        <f ca="1" t="shared" si="1"/>
        <v>WARNING</v>
      </c>
      <c r="U27" s="445">
        <v>9000000</v>
      </c>
      <c r="V27" s="445">
        <v>1250000</v>
      </c>
      <c r="W27" s="445" t="s">
        <v>12155</v>
      </c>
      <c r="X27" s="445"/>
      <c r="Y27" s="27" t="s">
        <v>12216</v>
      </c>
      <c r="Z27" s="1599" t="s">
        <v>12217</v>
      </c>
      <c r="AA27" s="83" t="s">
        <v>12218</v>
      </c>
      <c r="AB27" s="83" t="s">
        <v>12219</v>
      </c>
      <c r="AC27" s="83" t="s">
        <v>12220</v>
      </c>
      <c r="AD27" s="83" t="s">
        <v>12221</v>
      </c>
      <c r="AE27" s="1611" t="s">
        <v>12222</v>
      </c>
      <c r="AF27" s="229" t="s">
        <v>12223</v>
      </c>
      <c r="AG27" s="28" t="s">
        <v>12224</v>
      </c>
    </row>
    <row r="28" customHeight="1" spans="1:33">
      <c r="A28" s="1609" t="s">
        <v>56</v>
      </c>
      <c r="B28" s="1609" t="s">
        <v>12225</v>
      </c>
      <c r="C28" s="498" t="s">
        <v>12226</v>
      </c>
      <c r="D28" s="579" t="s">
        <v>12227</v>
      </c>
      <c r="E28" s="510" t="s">
        <v>125</v>
      </c>
      <c r="F28" s="22" t="s">
        <v>60</v>
      </c>
      <c r="G28" s="27" t="s">
        <v>12228</v>
      </c>
      <c r="H28" s="439">
        <v>42961</v>
      </c>
      <c r="I28" s="439">
        <v>43100</v>
      </c>
      <c r="J28" s="439">
        <v>43159</v>
      </c>
      <c r="K28" s="439"/>
      <c r="L28" s="439"/>
      <c r="M28" s="439"/>
      <c r="N28" s="439"/>
      <c r="O28" s="439"/>
      <c r="P28" s="439"/>
      <c r="Q28" s="439"/>
      <c r="R28" s="439"/>
      <c r="S28" s="53">
        <f ca="1">SUM(J28-NOW())</f>
        <v>-113.38453703704</v>
      </c>
      <c r="T28" s="27" t="str">
        <f ca="1" t="shared" si="1"/>
        <v>WARNING</v>
      </c>
      <c r="U28" s="445">
        <v>7750000</v>
      </c>
      <c r="V28" s="445">
        <v>1250000</v>
      </c>
      <c r="W28" s="445" t="s">
        <v>12155</v>
      </c>
      <c r="X28" s="445" t="s">
        <v>12229</v>
      </c>
      <c r="Y28" s="27" t="s">
        <v>12230</v>
      </c>
      <c r="Z28" s="1599" t="s">
        <v>12231</v>
      </c>
      <c r="AA28" s="83" t="s">
        <v>12232</v>
      </c>
      <c r="AB28" s="83" t="s">
        <v>12233</v>
      </c>
      <c r="AC28" s="83" t="s">
        <v>12234</v>
      </c>
      <c r="AD28" s="83"/>
      <c r="AE28" s="1611" t="s">
        <v>12235</v>
      </c>
      <c r="AF28" s="229" t="s">
        <v>12236</v>
      </c>
      <c r="AG28" s="28" t="s">
        <v>7317</v>
      </c>
    </row>
  </sheetData>
  <mergeCells count="32">
    <mergeCell ref="A1:C1"/>
    <mergeCell ref="A2:C2"/>
    <mergeCell ref="A3:C3"/>
    <mergeCell ref="A6:C6"/>
    <mergeCell ref="U6:W6"/>
    <mergeCell ref="A8:Z8"/>
    <mergeCell ref="A9:Z9"/>
    <mergeCell ref="H12:I12"/>
    <mergeCell ref="N12:O12"/>
    <mergeCell ref="Q12:R12"/>
    <mergeCell ref="A12:A13"/>
    <mergeCell ref="B12:B13"/>
    <mergeCell ref="C12:C13"/>
    <mergeCell ref="D12:D13"/>
    <mergeCell ref="E12:E13"/>
    <mergeCell ref="F12:F13"/>
    <mergeCell ref="G12:G13"/>
    <mergeCell ref="S12:S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s>
  <conditionalFormatting sqref="S23:T23;S14:T14;S25:T28">
    <cfRule type="expression" dxfId="1461" priority="1" stopIfTrue="1">
      <formula>IF($T14="warning",TRUE,FALSE)</formula>
    </cfRule>
  </conditionalFormatting>
  <conditionalFormatting sqref="W25;W14;W27:W28">
    <cfRule type="expression" dxfId="1462" priority="2" stopIfTrue="1">
      <formula>IF(OR(#REF!="not",#REF!="resign",#REF!="resign",#REF!="end",#REF!="terminated",#REF!="permanent"),"TRUE","FALSE")</formula>
    </cfRule>
  </conditionalFormatting>
  <conditionalFormatting sqref="E23:F23">
    <cfRule type="expression" dxfId="1463" priority="3" stopIfTrue="1">
      <formula>IF(OR(#REF!="not",#REF!="resign",#REF!="resign",#REF!="end",#REF!="terminated",#REF!="permanent"),"TRUE","FALSE")</formula>
    </cfRule>
  </conditionalFormatting>
  <conditionalFormatting sqref="W23">
    <cfRule type="expression" dxfId="1464" priority="4" stopIfTrue="1">
      <formula>IF(OR(#REF!="not",#REF!="resign",#REF!="resign",#REF!="end",#REF!="terminated",#REF!="permanent"),"TRUE","FALSE")</formula>
    </cfRule>
  </conditionalFormatting>
  <conditionalFormatting sqref="W26">
    <cfRule type="expression" dxfId="1465" priority="5" stopIfTrue="1">
      <formula>IF(OR(#REF!="not",#REF!="resign",#REF!="resign",#REF!="end",#REF!="terminated",#REF!="permanent"),"TRUE","FALSE")</formula>
    </cfRule>
  </conditionalFormatting>
  <hyperlinks>
    <hyperlink ref="AF25" location="" display="fransiska_melania@yahoo.com"/>
    <hyperlink ref="AF23" location="" display="v3_haye@yahoo.co.id"/>
    <hyperlink ref="AF24" location="" display="yh171182@gmail.com"/>
    <hyperlink ref="AF14" location="" display="rini_silaen@yahoo.co.uk"/>
    <hyperlink ref="AF26" location="" display="icha_ckalie@yahoo.com"/>
    <hyperlink ref="AF28" location="" display="tidjalinda@gmail.com"/>
    <hyperlink ref="AF27" location="" display="reza.s.rachman@gmail.com"/>
  </hyperlinks>
  <printOptions horizontalCentered="1"/>
  <pageMargins left="0.25" right="0.25" top="1" bottom="1" header="0.5" footer="0.5"/>
  <pageSetup paperSize="9" scale="75" orientation="landscape"/>
  <headerFooter alignWithMargins="0"/>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21"/>
  <sheetViews>
    <sheetView showGridLines="0" topLeftCell="A7" workbookViewId="0">
      <pane xSplit="3" ySplit="7" topLeftCell="W14" activePane="bottomRight" state="frozen"/>
      <selection/>
      <selection pane="topRight"/>
      <selection pane="bottomLeft"/>
      <selection pane="bottomRight" activeCell="AD16" sqref="AD16"/>
    </sheetView>
  </sheetViews>
  <sheetFormatPr defaultColWidth="9" defaultRowHeight="12.95" customHeight="1"/>
  <cols>
    <col min="1" max="1" width="3.56666666666667" style="2" customWidth="1"/>
    <col min="2" max="2" width="9.425" style="2" customWidth="1"/>
    <col min="3" max="3" width="10.2833333333333" style="2" customWidth="1"/>
    <col min="4" max="4" width="11.2833333333333" style="2" customWidth="1"/>
    <col min="5" max="5" width="3.56666666666667" style="2" customWidth="1"/>
    <col min="6" max="6" width="8.14166666666667" style="2" customWidth="1"/>
    <col min="7" max="7" width="12" style="2" customWidth="1"/>
    <col min="8" max="8" width="9.14166666666667" style="2"/>
    <col min="9" max="9" width="9" style="2" customWidth="1"/>
    <col min="10" max="11" width="11.1416666666667" style="2" customWidth="1"/>
    <col min="12" max="18" width="8.56666666666667" style="2" customWidth="1"/>
    <col min="19" max="19" width="9" style="2" customWidth="1"/>
    <col min="20" max="20" width="9.85833333333333" style="2" customWidth="1"/>
    <col min="21" max="21" width="10.2833333333333" style="2" customWidth="1"/>
    <col min="22" max="22" width="10.1416666666667" style="2" customWidth="1"/>
    <col min="23" max="23" width="17.5666666666667" style="2" customWidth="1"/>
    <col min="24" max="24" width="23.425" style="2" customWidth="1"/>
    <col min="25" max="25" width="25.425" style="2" customWidth="1"/>
    <col min="26" max="26" width="14.425" style="2" customWidth="1"/>
    <col min="27" max="27" width="14.5666666666667" style="2" customWidth="1"/>
    <col min="28" max="28" width="20.7083333333333" style="2" customWidth="1"/>
    <col min="29" max="29" width="18.2833333333333" style="2" customWidth="1"/>
    <col min="30" max="30" width="20.2833333333333" style="2" customWidth="1"/>
    <col min="31" max="31" width="13.8583333333333" style="2" customWidth="1"/>
    <col min="32" max="32" width="27.425" style="2" customWidth="1"/>
    <col min="33" max="33" width="19.2833333333333" style="2" customWidth="1"/>
    <col min="34" max="16384" width="9.14166666666667" style="2"/>
  </cols>
  <sheetData>
    <row r="1" s="1" customFormat="1" customHeight="1" spans="1:32">
      <c r="A1" s="9"/>
      <c r="B1" s="9"/>
      <c r="C1" s="9"/>
      <c r="D1" s="9"/>
      <c r="E1" s="9"/>
      <c r="F1" s="9"/>
      <c r="AF1" s="145" t="s">
        <v>11108</v>
      </c>
    </row>
    <row r="2" s="1" customFormat="1" customHeight="1" spans="1:32">
      <c r="A2" s="9"/>
      <c r="B2" s="9"/>
      <c r="C2" s="9"/>
      <c r="D2" s="9"/>
      <c r="E2" s="9"/>
      <c r="F2" s="9"/>
      <c r="AF2" s="146" t="s">
        <v>11109</v>
      </c>
    </row>
    <row r="3" s="1" customFormat="1" customHeight="1" spans="1:32">
      <c r="A3" s="9"/>
      <c r="B3" s="9"/>
      <c r="C3" s="9"/>
      <c r="D3" s="9"/>
      <c r="E3" s="9"/>
      <c r="F3" s="9"/>
      <c r="AF3" s="146" t="s">
        <v>11110</v>
      </c>
    </row>
    <row r="4" s="1" customFormat="1" customHeight="1" spans="1:32">
      <c r="A4" s="9"/>
      <c r="B4" s="9"/>
      <c r="C4" s="9"/>
      <c r="D4" s="9"/>
      <c r="E4" s="9"/>
      <c r="F4" s="9"/>
      <c r="AF4" s="146" t="s">
        <v>11111</v>
      </c>
    </row>
    <row r="5" s="1" customFormat="1" customHeight="1" spans="1:6">
      <c r="A5" s="9"/>
      <c r="B5" s="9"/>
      <c r="C5" s="9"/>
      <c r="D5" s="9"/>
      <c r="E5" s="9"/>
      <c r="F5" s="9"/>
    </row>
    <row r="6" s="1" customFormat="1" customHeight="1" spans="1:6">
      <c r="A6" s="9"/>
      <c r="B6" s="9"/>
      <c r="C6" s="9"/>
      <c r="D6" s="9"/>
      <c r="E6" s="9"/>
      <c r="F6" s="9"/>
    </row>
    <row r="7" s="1" customFormat="1" customHeight="1" spans="3:6">
      <c r="C7" s="9"/>
      <c r="D7" s="9"/>
      <c r="E7" s="9"/>
      <c r="F7" s="9"/>
    </row>
    <row r="8" s="1" customFormat="1" customHeight="1" spans="1:26">
      <c r="A8" s="10" t="s">
        <v>7926</v>
      </c>
      <c r="B8" s="10"/>
      <c r="C8" s="10"/>
      <c r="D8" s="10"/>
      <c r="E8" s="10"/>
      <c r="F8" s="10"/>
      <c r="G8" s="10"/>
      <c r="H8" s="10"/>
      <c r="I8" s="10"/>
      <c r="J8" s="10"/>
      <c r="K8" s="10"/>
      <c r="L8" s="10"/>
      <c r="M8" s="10"/>
      <c r="N8" s="10"/>
      <c r="O8" s="10"/>
      <c r="P8" s="10"/>
      <c r="Q8" s="10"/>
      <c r="R8" s="10"/>
      <c r="S8" s="10"/>
      <c r="T8" s="10"/>
      <c r="U8" s="10"/>
      <c r="V8" s="10"/>
      <c r="W8" s="10"/>
      <c r="X8" s="10"/>
      <c r="Y8" s="10"/>
      <c r="Z8" s="10"/>
    </row>
    <row r="9" s="1" customFormat="1" customHeight="1" spans="1:26">
      <c r="A9" s="10" t="s">
        <v>12237</v>
      </c>
      <c r="B9" s="10"/>
      <c r="C9" s="10"/>
      <c r="D9" s="10"/>
      <c r="E9" s="10"/>
      <c r="F9" s="10"/>
      <c r="G9" s="10"/>
      <c r="H9" s="10"/>
      <c r="I9" s="10"/>
      <c r="J9" s="10"/>
      <c r="K9" s="10"/>
      <c r="L9" s="10"/>
      <c r="M9" s="10"/>
      <c r="N9" s="10"/>
      <c r="O9" s="10"/>
      <c r="P9" s="10"/>
      <c r="Q9" s="10"/>
      <c r="R9" s="10"/>
      <c r="S9" s="10"/>
      <c r="T9" s="10"/>
      <c r="U9" s="10"/>
      <c r="V9" s="10"/>
      <c r="W9" s="10"/>
      <c r="X9" s="10"/>
      <c r="Y9" s="10"/>
      <c r="Z9" s="10"/>
    </row>
    <row r="10" s="1" customFormat="1" customHeight="1" spans="1:24">
      <c r="A10" s="10"/>
      <c r="B10" s="10"/>
      <c r="C10" s="10"/>
      <c r="D10" s="10"/>
      <c r="E10" s="10"/>
      <c r="F10" s="10"/>
      <c r="G10" s="10"/>
      <c r="H10" s="10"/>
      <c r="I10" s="10"/>
      <c r="J10" s="10"/>
      <c r="K10" s="10"/>
      <c r="L10" s="10"/>
      <c r="M10" s="10"/>
      <c r="N10" s="10"/>
      <c r="O10" s="10"/>
      <c r="P10" s="10"/>
      <c r="Q10" s="10"/>
      <c r="R10" s="10"/>
      <c r="S10" s="10"/>
      <c r="T10" s="10"/>
      <c r="U10" s="10"/>
      <c r="V10" s="10"/>
      <c r="W10" s="10"/>
      <c r="X10" s="10"/>
    </row>
    <row r="11" s="1" customFormat="1" customHeight="1" spans="3:33">
      <c r="C11" s="9"/>
      <c r="D11" s="9"/>
      <c r="E11" s="9"/>
      <c r="F11" s="9"/>
      <c r="AG11" s="1" t="s">
        <v>12147</v>
      </c>
    </row>
    <row r="12" s="1" customFormat="1" ht="32.25" customHeight="1" spans="1:33">
      <c r="A12" s="11" t="s">
        <v>0</v>
      </c>
      <c r="B12" s="11" t="s">
        <v>1</v>
      </c>
      <c r="C12" s="11" t="s">
        <v>2</v>
      </c>
      <c r="D12" s="11" t="s">
        <v>3</v>
      </c>
      <c r="E12" s="11" t="s">
        <v>4</v>
      </c>
      <c r="F12" s="11" t="s">
        <v>7929</v>
      </c>
      <c r="G12" s="11" t="s">
        <v>8</v>
      </c>
      <c r="H12" s="43" t="s">
        <v>9</v>
      </c>
      <c r="I12" s="44"/>
      <c r="J12" s="43" t="s">
        <v>10</v>
      </c>
      <c r="K12" s="44"/>
      <c r="L12" s="43" t="s">
        <v>11</v>
      </c>
      <c r="M12" s="44"/>
      <c r="N12" s="500" t="s">
        <v>4811</v>
      </c>
      <c r="O12" s="501"/>
      <c r="P12" s="43" t="s">
        <v>13</v>
      </c>
      <c r="Q12" s="44"/>
      <c r="R12" s="242"/>
      <c r="S12" s="11" t="s">
        <v>14</v>
      </c>
      <c r="T12" s="33" t="s">
        <v>15</v>
      </c>
      <c r="U12" s="11" t="s">
        <v>16</v>
      </c>
      <c r="V12" s="442" t="s">
        <v>12238</v>
      </c>
      <c r="W12" s="11" t="s">
        <v>3509</v>
      </c>
      <c r="X12" s="33" t="s">
        <v>15</v>
      </c>
      <c r="Y12" s="60" t="s">
        <v>28</v>
      </c>
      <c r="Z12" s="61" t="s">
        <v>29</v>
      </c>
      <c r="AA12" s="71" t="s">
        <v>30</v>
      </c>
      <c r="AB12" s="71" t="s">
        <v>31</v>
      </c>
      <c r="AC12" s="71" t="s">
        <v>32</v>
      </c>
      <c r="AD12" s="71" t="s">
        <v>7934</v>
      </c>
      <c r="AE12" s="71" t="s">
        <v>34</v>
      </c>
      <c r="AF12" s="251" t="s">
        <v>7936</v>
      </c>
      <c r="AG12" s="72" t="s">
        <v>36</v>
      </c>
    </row>
    <row r="13" s="1" customFormat="1" ht="13.5" spans="1:33">
      <c r="A13" s="236"/>
      <c r="B13" s="236"/>
      <c r="C13" s="236"/>
      <c r="D13" s="236"/>
      <c r="E13" s="236"/>
      <c r="F13" s="236"/>
      <c r="G13" s="236"/>
      <c r="H13" s="33" t="s">
        <v>37</v>
      </c>
      <c r="I13" s="33" t="s">
        <v>38</v>
      </c>
      <c r="J13" s="33">
        <v>1</v>
      </c>
      <c r="K13" s="33">
        <v>2</v>
      </c>
      <c r="L13" s="33" t="s">
        <v>37</v>
      </c>
      <c r="M13" s="33" t="s">
        <v>38</v>
      </c>
      <c r="N13" s="502" t="s">
        <v>37</v>
      </c>
      <c r="O13" s="502" t="s">
        <v>38</v>
      </c>
      <c r="P13" s="33" t="s">
        <v>37</v>
      </c>
      <c r="Q13" s="33" t="s">
        <v>38</v>
      </c>
      <c r="R13" s="236"/>
      <c r="S13" s="236"/>
      <c r="T13" s="243"/>
      <c r="U13" s="236"/>
      <c r="V13" s="443"/>
      <c r="W13" s="244"/>
      <c r="X13" s="243"/>
      <c r="Y13" s="247"/>
      <c r="Z13" s="248"/>
      <c r="AA13" s="249"/>
      <c r="AB13" s="249"/>
      <c r="AC13" s="249"/>
      <c r="AD13" s="249"/>
      <c r="AE13" s="249"/>
      <c r="AF13" s="252"/>
      <c r="AG13" s="256"/>
    </row>
    <row r="14" ht="46.5" spans="1:33">
      <c r="A14" s="1607" t="s">
        <v>39</v>
      </c>
      <c r="B14" s="497" t="s">
        <v>12239</v>
      </c>
      <c r="C14" s="497" t="s">
        <v>12240</v>
      </c>
      <c r="D14" s="578" t="s">
        <v>12241</v>
      </c>
      <c r="E14" s="578" t="s">
        <v>43</v>
      </c>
      <c r="F14" s="16" t="s">
        <v>2069</v>
      </c>
      <c r="G14" s="65" t="s">
        <v>1533</v>
      </c>
      <c r="H14" s="436">
        <v>41673</v>
      </c>
      <c r="I14" s="436">
        <v>42037</v>
      </c>
      <c r="J14" s="436">
        <v>42402</v>
      </c>
      <c r="K14" s="436"/>
      <c r="L14" s="436">
        <v>42403</v>
      </c>
      <c r="M14" s="436">
        <v>42768</v>
      </c>
      <c r="N14" s="436">
        <v>42769</v>
      </c>
      <c r="O14" s="436">
        <v>42796</v>
      </c>
      <c r="P14" s="436">
        <v>42797</v>
      </c>
      <c r="Q14" s="436">
        <v>43498</v>
      </c>
      <c r="R14" s="436"/>
      <c r="S14" s="503">
        <f ca="1">SUM(Q14-NOW())</f>
        <v>225.61546296296</v>
      </c>
      <c r="T14" s="504" t="str">
        <f ca="1" t="shared" ref="T14:T17" si="0">IF(S14&lt;=40,"WARNING","ACTIVE")</f>
        <v>ACTIVE</v>
      </c>
      <c r="U14" s="444">
        <v>2736027</v>
      </c>
      <c r="V14" s="444">
        <v>912009</v>
      </c>
      <c r="W14" s="444" t="s">
        <v>12242</v>
      </c>
      <c r="X14" s="444" t="s">
        <v>12243</v>
      </c>
      <c r="Y14" s="65" t="s">
        <v>12244</v>
      </c>
      <c r="Z14" s="65" t="s">
        <v>12245</v>
      </c>
      <c r="AA14" s="65" t="s">
        <v>12246</v>
      </c>
      <c r="AB14" s="65"/>
      <c r="AC14" s="65" t="s">
        <v>12247</v>
      </c>
      <c r="AD14" s="65"/>
      <c r="AE14" s="580" t="s">
        <v>12147</v>
      </c>
      <c r="AF14" s="65"/>
      <c r="AG14" s="582"/>
    </row>
    <row r="15" ht="35.25" spans="1:33">
      <c r="A15" s="1607" t="s">
        <v>56</v>
      </c>
      <c r="B15" s="497" t="s">
        <v>12248</v>
      </c>
      <c r="C15" s="497" t="s">
        <v>12249</v>
      </c>
      <c r="D15" s="578" t="s">
        <v>12250</v>
      </c>
      <c r="E15" s="578" t="s">
        <v>125</v>
      </c>
      <c r="F15" s="16" t="s">
        <v>44</v>
      </c>
      <c r="G15" s="65" t="s">
        <v>7940</v>
      </c>
      <c r="H15" s="436">
        <v>42865</v>
      </c>
      <c r="I15" s="436">
        <v>43048</v>
      </c>
      <c r="J15" s="436">
        <v>43229</v>
      </c>
      <c r="K15" s="499">
        <v>43594</v>
      </c>
      <c r="L15" s="436"/>
      <c r="M15" s="436"/>
      <c r="N15" s="436"/>
      <c r="O15" s="436"/>
      <c r="P15" s="436"/>
      <c r="Q15" s="436"/>
      <c r="R15" s="436"/>
      <c r="S15" s="503">
        <f ca="1">SUM(K15-NOW())</f>
        <v>321.61546296296</v>
      </c>
      <c r="T15" s="504" t="str">
        <f ca="1" t="shared" si="0"/>
        <v>ACTIVE</v>
      </c>
      <c r="U15" s="444">
        <v>3350000</v>
      </c>
      <c r="V15" s="444">
        <v>400000</v>
      </c>
      <c r="W15" s="444" t="s">
        <v>12251</v>
      </c>
      <c r="X15" s="444" t="s">
        <v>12252</v>
      </c>
      <c r="Y15" s="65" t="s">
        <v>12253</v>
      </c>
      <c r="Z15" s="65">
        <v>85892208921</v>
      </c>
      <c r="AA15" s="65" t="s">
        <v>12254</v>
      </c>
      <c r="AB15" s="1612" t="s">
        <v>12255</v>
      </c>
      <c r="AC15" s="65" t="s">
        <v>12256</v>
      </c>
      <c r="AD15" s="65"/>
      <c r="AE15" s="580" t="s">
        <v>12147</v>
      </c>
      <c r="AF15" s="154" t="s">
        <v>12257</v>
      </c>
      <c r="AG15" s="582"/>
    </row>
    <row r="16" s="3" customFormat="1" ht="35.25" spans="1:33">
      <c r="A16" s="1609" t="s">
        <v>68</v>
      </c>
      <c r="B16" s="498" t="s">
        <v>12258</v>
      </c>
      <c r="C16" s="498" t="s">
        <v>12259</v>
      </c>
      <c r="D16" s="579" t="s">
        <v>12260</v>
      </c>
      <c r="E16" s="579" t="s">
        <v>125</v>
      </c>
      <c r="F16" s="22" t="s">
        <v>60</v>
      </c>
      <c r="G16" s="27" t="s">
        <v>9398</v>
      </c>
      <c r="H16" s="439">
        <v>43171</v>
      </c>
      <c r="I16" s="439">
        <v>43262</v>
      </c>
      <c r="J16" s="439"/>
      <c r="K16" s="439"/>
      <c r="L16" s="439"/>
      <c r="M16" s="439"/>
      <c r="N16" s="439"/>
      <c r="O16" s="439"/>
      <c r="P16" s="439"/>
      <c r="Q16" s="439"/>
      <c r="R16" s="439"/>
      <c r="S16" s="56">
        <f ca="1">SUM(I16-NOW())</f>
        <v>-10.38453703704</v>
      </c>
      <c r="T16" s="41" t="str">
        <f ca="1" t="shared" si="0"/>
        <v>WARNING</v>
      </c>
      <c r="U16" s="445">
        <v>3648036</v>
      </c>
      <c r="V16" s="445"/>
      <c r="W16" s="445" t="s">
        <v>12251</v>
      </c>
      <c r="X16" s="445"/>
      <c r="Y16" s="27" t="s">
        <v>12261</v>
      </c>
      <c r="Z16" s="27">
        <v>85710010553</v>
      </c>
      <c r="AA16" s="27" t="s">
        <v>12262</v>
      </c>
      <c r="AB16" s="1610" t="s">
        <v>12263</v>
      </c>
      <c r="AC16" s="1610" t="s">
        <v>12264</v>
      </c>
      <c r="AD16" s="27"/>
      <c r="AE16" s="1613" t="s">
        <v>12265</v>
      </c>
      <c r="AF16" s="86"/>
      <c r="AG16" s="28" t="s">
        <v>12266</v>
      </c>
    </row>
    <row r="17" customHeight="1" spans="1:33">
      <c r="A17" s="1607" t="s">
        <v>78</v>
      </c>
      <c r="B17" s="497" t="s">
        <v>12267</v>
      </c>
      <c r="C17" s="497" t="s">
        <v>12268</v>
      </c>
      <c r="D17" s="578" t="s">
        <v>12269</v>
      </c>
      <c r="E17" s="578"/>
      <c r="F17" s="16"/>
      <c r="G17" s="65" t="s">
        <v>1533</v>
      </c>
      <c r="H17" s="436">
        <v>43216</v>
      </c>
      <c r="I17" s="436">
        <v>43580</v>
      </c>
      <c r="J17" s="436"/>
      <c r="K17" s="436"/>
      <c r="L17" s="436"/>
      <c r="M17" s="436"/>
      <c r="N17" s="436"/>
      <c r="O17" s="436"/>
      <c r="P17" s="436"/>
      <c r="Q17" s="436"/>
      <c r="R17" s="436"/>
      <c r="S17" s="503">
        <f ca="1">SUM(I17-NOW())</f>
        <v>307.61546296296</v>
      </c>
      <c r="T17" s="504" t="str">
        <f ca="1" t="shared" si="0"/>
        <v>ACTIVE</v>
      </c>
      <c r="U17" s="444">
        <v>2736027</v>
      </c>
      <c r="V17" s="444">
        <v>912009</v>
      </c>
      <c r="W17" s="444" t="s">
        <v>12242</v>
      </c>
      <c r="X17" s="444"/>
      <c r="Y17" s="65" t="s">
        <v>12270</v>
      </c>
      <c r="Z17" s="1612" t="s">
        <v>12271</v>
      </c>
      <c r="AA17" s="65" t="s">
        <v>12272</v>
      </c>
      <c r="AB17" s="1612" t="s">
        <v>12273</v>
      </c>
      <c r="AC17" s="65"/>
      <c r="AD17" s="65"/>
      <c r="AE17" s="1614" t="s">
        <v>12274</v>
      </c>
      <c r="AF17" s="154"/>
      <c r="AG17" s="582"/>
    </row>
    <row r="21" customHeight="1" spans="1:2">
      <c r="A21" s="134" t="s">
        <v>2552</v>
      </c>
      <c r="B21" s="135"/>
    </row>
  </sheetData>
  <mergeCells count="34">
    <mergeCell ref="A1:C1"/>
    <mergeCell ref="A2:C2"/>
    <mergeCell ref="A3:C3"/>
    <mergeCell ref="A6:C6"/>
    <mergeCell ref="U6:W6"/>
    <mergeCell ref="A8:Z8"/>
    <mergeCell ref="A9:Z9"/>
    <mergeCell ref="H12:I12"/>
    <mergeCell ref="J12:K12"/>
    <mergeCell ref="L12:M12"/>
    <mergeCell ref="N12:O12"/>
    <mergeCell ref="P12:Q12"/>
    <mergeCell ref="A12:A13"/>
    <mergeCell ref="B12:B13"/>
    <mergeCell ref="C12:C13"/>
    <mergeCell ref="D12:D13"/>
    <mergeCell ref="E12:E13"/>
    <mergeCell ref="F12:F13"/>
    <mergeCell ref="G12:G13"/>
    <mergeCell ref="S12:S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s>
  <conditionalFormatting sqref="S14:T21">
    <cfRule type="expression" dxfId="1466" priority="1" stopIfTrue="1">
      <formula>IF($T14="warning",TRUE,FALSE)</formula>
    </cfRule>
  </conditionalFormatting>
  <hyperlinks>
    <hyperlink ref="AF15" location="" display="mitasahara05@gmail.com"/>
  </hyperlinks>
  <printOptions horizontalCentered="1"/>
  <pageMargins left="0.25" right="0.25" top="1" bottom="1" header="0.5" footer="0.5"/>
  <pageSetup paperSize="9" scale="75" orientation="landscape"/>
  <headerFooter alignWithMargins="0"/>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I154"/>
  <sheetViews>
    <sheetView topLeftCell="A10" workbookViewId="0">
      <pane xSplit="4" ySplit="4" topLeftCell="R41" activePane="bottomRight" state="frozen"/>
      <selection/>
      <selection pane="topRight"/>
      <selection pane="bottomLeft"/>
      <selection pane="bottomRight" activeCell="D44" sqref="D44"/>
    </sheetView>
  </sheetViews>
  <sheetFormatPr defaultColWidth="9" defaultRowHeight="10.5"/>
  <cols>
    <col min="1" max="1" width="4.28333333333333" style="94" customWidth="1"/>
    <col min="2" max="2" width="10.1416666666667" style="94" customWidth="1"/>
    <col min="3" max="3" width="8.56666666666667" style="94" customWidth="1"/>
    <col min="4" max="4" width="27.425" style="94" customWidth="1"/>
    <col min="5" max="5" width="21.5666666666667" style="94" customWidth="1"/>
    <col min="6" max="6" width="5.70833333333333" style="94" customWidth="1"/>
    <col min="7" max="7" width="8.14166666666667" style="94" customWidth="1"/>
    <col min="8" max="10" width="13.1416666666667" style="94" customWidth="1"/>
    <col min="11" max="12" width="10.1416666666667" style="94" customWidth="1"/>
    <col min="13" max="13" width="10.425" style="94" customWidth="1"/>
    <col min="14" max="18" width="11.5666666666667" style="94" customWidth="1"/>
    <col min="19" max="19" width="10.425" style="94" customWidth="1"/>
    <col min="20" max="22" width="10.2833333333333" style="94" customWidth="1"/>
    <col min="23" max="23" width="10.7083333333333" style="94" customWidth="1"/>
    <col min="24" max="24" width="11.7083333333333" style="94" customWidth="1"/>
    <col min="25" max="25" width="8.85833333333333" style="94" customWidth="1"/>
    <col min="26" max="26" width="9.85833333333333" style="94" customWidth="1"/>
    <col min="27" max="29" width="14.2833333333333" style="93" customWidth="1"/>
    <col min="30" max="30" width="36.2833333333333" style="94" customWidth="1"/>
    <col min="31" max="31" width="6.28333333333333" style="94" customWidth="1"/>
    <col min="32" max="32" width="17" style="94" customWidth="1"/>
    <col min="33" max="33" width="39.1416666666667" style="94" customWidth="1"/>
    <col min="34" max="34" width="15.7083333333333" style="94" customWidth="1"/>
    <col min="35" max="35" width="22.1416666666667" style="94" customWidth="1"/>
    <col min="36" max="36" width="21.2833333333333" style="518" customWidth="1"/>
    <col min="37" max="37" width="18.1416666666667" style="94" customWidth="1"/>
    <col min="38" max="38" width="12" style="94" customWidth="1"/>
    <col min="39" max="39" width="17.5666666666667" style="94" customWidth="1"/>
    <col min="40" max="40" width="27.8583333333333" style="94" customWidth="1"/>
    <col min="41" max="41" width="28.8583333333333" style="519" customWidth="1"/>
    <col min="42" max="16384" width="9.14166666666667" style="94"/>
  </cols>
  <sheetData>
    <row r="1" spans="1:39">
      <c r="A1" s="96"/>
      <c r="B1" s="96"/>
      <c r="C1" s="96"/>
      <c r="D1" s="96"/>
      <c r="E1" s="96"/>
      <c r="F1" s="96"/>
      <c r="G1" s="96"/>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213"/>
      <c r="AK1" s="123" t="s">
        <v>11108</v>
      </c>
      <c r="AL1" s="123"/>
      <c r="AM1" s="123"/>
    </row>
    <row r="2" spans="1:39">
      <c r="A2" s="96"/>
      <c r="B2" s="96"/>
      <c r="C2" s="96"/>
      <c r="D2" s="96"/>
      <c r="E2" s="96"/>
      <c r="F2" s="96"/>
      <c r="G2" s="96"/>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213"/>
      <c r="AK2" s="123" t="s">
        <v>11109</v>
      </c>
      <c r="AL2" s="123"/>
      <c r="AM2" s="123"/>
    </row>
    <row r="3" spans="1:39">
      <c r="A3" s="96"/>
      <c r="B3" s="96"/>
      <c r="C3" s="96"/>
      <c r="D3" s="96"/>
      <c r="E3" s="96"/>
      <c r="F3" s="96"/>
      <c r="G3" s="96"/>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213"/>
      <c r="AK3" s="123" t="s">
        <v>11110</v>
      </c>
      <c r="AL3" s="123"/>
      <c r="AM3" s="123"/>
    </row>
    <row r="4" spans="1:39">
      <c r="A4" s="96"/>
      <c r="B4" s="96"/>
      <c r="C4" s="96"/>
      <c r="D4" s="96"/>
      <c r="E4" s="96"/>
      <c r="F4" s="96"/>
      <c r="G4" s="96"/>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213"/>
      <c r="AK4" s="123" t="s">
        <v>11111</v>
      </c>
      <c r="AL4" s="123"/>
      <c r="AM4" s="123"/>
    </row>
    <row r="5" spans="1:39">
      <c r="A5" s="96"/>
      <c r="B5" s="96"/>
      <c r="C5" s="96"/>
      <c r="D5" s="96"/>
      <c r="E5" s="96"/>
      <c r="F5" s="96"/>
      <c r="G5" s="96"/>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213"/>
      <c r="AK5" s="91"/>
      <c r="AL5" s="91"/>
      <c r="AM5" s="91"/>
    </row>
    <row r="6" spans="1:39">
      <c r="A6" s="96"/>
      <c r="B6" s="96"/>
      <c r="C6" s="96"/>
      <c r="D6" s="96"/>
      <c r="E6" s="96"/>
      <c r="F6" s="96"/>
      <c r="G6" s="96"/>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213"/>
      <c r="AK6" s="91"/>
      <c r="AL6" s="91"/>
      <c r="AM6" s="91"/>
    </row>
    <row r="7" spans="1:39">
      <c r="A7" s="91"/>
      <c r="B7" s="91"/>
      <c r="C7" s="91"/>
      <c r="D7" s="96"/>
      <c r="E7" s="96"/>
      <c r="F7" s="96"/>
      <c r="G7" s="96"/>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213"/>
      <c r="AK7" s="91"/>
      <c r="AL7" s="91"/>
      <c r="AM7" s="91"/>
    </row>
    <row r="8" spans="1:39">
      <c r="A8" s="97" t="s">
        <v>7926</v>
      </c>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1"/>
      <c r="AJ8" s="213"/>
      <c r="AK8" s="91"/>
      <c r="AL8" s="91"/>
      <c r="AM8" s="91"/>
    </row>
    <row r="9" spans="1:39">
      <c r="A9" s="97" t="s">
        <v>12275</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1"/>
      <c r="AJ9" s="213"/>
      <c r="AK9" s="91"/>
      <c r="AL9" s="91"/>
      <c r="AM9" s="91"/>
    </row>
    <row r="10" spans="1:39">
      <c r="A10" s="97"/>
      <c r="B10" s="97"/>
      <c r="C10" s="97" t="s">
        <v>12276</v>
      </c>
      <c r="D10" s="97"/>
      <c r="E10" s="97"/>
      <c r="F10" s="97"/>
      <c r="G10" s="97"/>
      <c r="H10" s="97"/>
      <c r="I10" s="97"/>
      <c r="J10" s="97" t="str">
        <f>21&amp;26</f>
        <v>2126</v>
      </c>
      <c r="K10" s="97"/>
      <c r="L10" s="97"/>
      <c r="M10" s="97"/>
      <c r="N10" s="97"/>
      <c r="O10" s="97"/>
      <c r="P10" s="97"/>
      <c r="Q10" s="97"/>
      <c r="R10" s="97"/>
      <c r="S10" s="97"/>
      <c r="T10" s="97"/>
      <c r="U10" s="97"/>
      <c r="V10" s="97"/>
      <c r="W10" s="97"/>
      <c r="X10" s="97"/>
      <c r="Y10" s="97"/>
      <c r="Z10" s="97"/>
      <c r="AA10" s="97"/>
      <c r="AB10" s="97"/>
      <c r="AC10" s="97"/>
      <c r="AD10" s="97"/>
      <c r="AE10" s="97"/>
      <c r="AF10" s="97"/>
      <c r="AG10" s="91"/>
      <c r="AH10" s="91"/>
      <c r="AI10" s="91"/>
      <c r="AJ10" s="213"/>
      <c r="AK10" s="91"/>
      <c r="AL10" s="91"/>
      <c r="AM10" s="91"/>
    </row>
    <row r="11" ht="11.25" spans="1:39">
      <c r="A11" s="91"/>
      <c r="B11" s="91"/>
      <c r="C11" s="91" t="s">
        <v>12277</v>
      </c>
      <c r="D11" s="96"/>
      <c r="E11" s="96"/>
      <c r="F11" s="96"/>
      <c r="G11" s="96"/>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213"/>
      <c r="AK11" s="91"/>
      <c r="AL11" s="91"/>
      <c r="AM11" s="91"/>
    </row>
    <row r="12" ht="14.25" customHeight="1" spans="1:41">
      <c r="A12" s="98" t="s">
        <v>0</v>
      </c>
      <c r="B12" s="98" t="s">
        <v>1</v>
      </c>
      <c r="C12" s="98" t="s">
        <v>12278</v>
      </c>
      <c r="D12" s="98" t="s">
        <v>2</v>
      </c>
      <c r="E12" s="98" t="s">
        <v>3</v>
      </c>
      <c r="F12" s="98" t="s">
        <v>4</v>
      </c>
      <c r="G12" s="98" t="s">
        <v>7929</v>
      </c>
      <c r="H12" s="98" t="s">
        <v>8</v>
      </c>
      <c r="I12" s="98" t="s">
        <v>12279</v>
      </c>
      <c r="J12" s="98" t="s">
        <v>12280</v>
      </c>
      <c r="K12" s="174" t="s">
        <v>9</v>
      </c>
      <c r="L12" s="186"/>
      <c r="M12" s="174" t="s">
        <v>10</v>
      </c>
      <c r="N12" s="532"/>
      <c r="O12" s="532"/>
      <c r="P12" s="532"/>
      <c r="Q12" s="186"/>
      <c r="R12" s="532"/>
      <c r="S12" s="174" t="s">
        <v>11</v>
      </c>
      <c r="T12" s="186"/>
      <c r="U12" s="535" t="s">
        <v>8243</v>
      </c>
      <c r="V12" s="536"/>
      <c r="W12" s="174" t="s">
        <v>13</v>
      </c>
      <c r="X12" s="186"/>
      <c r="Y12" s="98" t="s">
        <v>14</v>
      </c>
      <c r="Z12" s="103" t="s">
        <v>15</v>
      </c>
      <c r="AA12" s="537" t="s">
        <v>7931</v>
      </c>
      <c r="AB12" s="537" t="s">
        <v>12281</v>
      </c>
      <c r="AC12" s="537" t="s">
        <v>12282</v>
      </c>
      <c r="AD12" s="98" t="s">
        <v>12283</v>
      </c>
      <c r="AE12" s="98" t="s">
        <v>25</v>
      </c>
      <c r="AF12" s="98" t="s">
        <v>3509</v>
      </c>
      <c r="AG12" s="117" t="s">
        <v>28</v>
      </c>
      <c r="AH12" s="118" t="s">
        <v>29</v>
      </c>
      <c r="AI12" s="104" t="s">
        <v>30</v>
      </c>
      <c r="AJ12" s="217" t="s">
        <v>31</v>
      </c>
      <c r="AK12" s="548" t="s">
        <v>32</v>
      </c>
      <c r="AL12" s="548" t="s">
        <v>33</v>
      </c>
      <c r="AM12" s="548" t="s">
        <v>34</v>
      </c>
      <c r="AN12" s="548" t="s">
        <v>35</v>
      </c>
      <c r="AO12" s="124" t="s">
        <v>36</v>
      </c>
    </row>
    <row r="13" ht="12" spans="1:41">
      <c r="A13" s="99"/>
      <c r="B13" s="99"/>
      <c r="C13" s="99"/>
      <c r="D13" s="99"/>
      <c r="E13" s="99"/>
      <c r="F13" s="99"/>
      <c r="G13" s="99"/>
      <c r="H13" s="99"/>
      <c r="I13" s="99"/>
      <c r="J13" s="99"/>
      <c r="K13" s="103" t="s">
        <v>37</v>
      </c>
      <c r="L13" s="103" t="s">
        <v>38</v>
      </c>
      <c r="M13" s="103">
        <v>1</v>
      </c>
      <c r="N13" s="103">
        <v>2</v>
      </c>
      <c r="O13" s="103">
        <v>3</v>
      </c>
      <c r="P13" s="103">
        <v>4</v>
      </c>
      <c r="Q13" s="103">
        <v>5</v>
      </c>
      <c r="R13" s="103">
        <v>6</v>
      </c>
      <c r="S13" s="103" t="s">
        <v>37</v>
      </c>
      <c r="T13" s="103" t="s">
        <v>38</v>
      </c>
      <c r="U13" s="99">
        <v>1</v>
      </c>
      <c r="V13" s="99"/>
      <c r="W13" s="103" t="s">
        <v>37</v>
      </c>
      <c r="X13" s="103" t="s">
        <v>38</v>
      </c>
      <c r="Y13" s="99"/>
      <c r="Z13" s="111"/>
      <c r="AA13" s="538"/>
      <c r="AB13" s="539"/>
      <c r="AC13" s="539"/>
      <c r="AD13" s="99"/>
      <c r="AE13" s="99"/>
      <c r="AF13" s="99"/>
      <c r="AG13" s="119"/>
      <c r="AH13" s="120"/>
      <c r="AI13" s="125"/>
      <c r="AJ13" s="220"/>
      <c r="AK13" s="549"/>
      <c r="AL13" s="549"/>
      <c r="AM13" s="549"/>
      <c r="AN13" s="549"/>
      <c r="AO13" s="126"/>
    </row>
    <row r="14" s="93" customFormat="1" ht="42.75" spans="1:58">
      <c r="A14" s="1615" t="s">
        <v>39</v>
      </c>
      <c r="B14" s="100" t="s">
        <v>12284</v>
      </c>
      <c r="C14" s="160">
        <v>5814</v>
      </c>
      <c r="D14" s="461" t="s">
        <v>12285</v>
      </c>
      <c r="E14" s="170" t="s">
        <v>12286</v>
      </c>
      <c r="F14" s="170" t="s">
        <v>125</v>
      </c>
      <c r="G14" s="102" t="s">
        <v>44</v>
      </c>
      <c r="H14" s="432" t="s">
        <v>12287</v>
      </c>
      <c r="I14" s="466" t="s">
        <v>12288</v>
      </c>
      <c r="J14" s="466"/>
      <c r="K14" s="468">
        <v>42869</v>
      </c>
      <c r="L14" s="468">
        <v>43233</v>
      </c>
      <c r="M14" s="469">
        <v>43598</v>
      </c>
      <c r="N14" s="468"/>
      <c r="O14" s="468"/>
      <c r="P14" s="468"/>
      <c r="Q14" s="468"/>
      <c r="R14" s="468"/>
      <c r="S14" s="468"/>
      <c r="T14" s="468"/>
      <c r="U14" s="468"/>
      <c r="V14" s="468"/>
      <c r="W14" s="468"/>
      <c r="X14" s="468"/>
      <c r="Y14" s="540">
        <f ca="1">SUM(M14-NOW())</f>
        <v>325.61546296296</v>
      </c>
      <c r="Z14" s="106" t="str">
        <f ca="1" t="shared" ref="Z14:Z20" si="0">IF(Y14&lt;=46,"WARNING","ACTIVE")</f>
        <v>ACTIVE</v>
      </c>
      <c r="AA14" s="207">
        <f>114%*4166800</f>
        <v>4750152</v>
      </c>
      <c r="AB14" s="207"/>
      <c r="AC14" s="207"/>
      <c r="AD14" s="207" t="s">
        <v>12289</v>
      </c>
      <c r="AE14" s="207" t="s">
        <v>112</v>
      </c>
      <c r="AF14" s="207" t="s">
        <v>12290</v>
      </c>
      <c r="AG14" s="432" t="s">
        <v>12291</v>
      </c>
      <c r="AH14" s="463" t="s">
        <v>12292</v>
      </c>
      <c r="AI14" s="432" t="s">
        <v>12293</v>
      </c>
      <c r="AJ14" s="1579" t="s">
        <v>12294</v>
      </c>
      <c r="AK14" s="432" t="s">
        <v>12295</v>
      </c>
      <c r="AL14" s="432"/>
      <c r="AM14" s="432" t="s">
        <v>12296</v>
      </c>
      <c r="AN14" s="370" t="s">
        <v>12297</v>
      </c>
      <c r="AO14" s="101" t="s">
        <v>12298</v>
      </c>
      <c r="AQ14" s="556"/>
      <c r="BF14" s="490"/>
    </row>
    <row r="15" s="93" customFormat="1" ht="31.5" spans="1:58">
      <c r="A15" s="1615" t="s">
        <v>56</v>
      </c>
      <c r="B15" s="100" t="s">
        <v>12299</v>
      </c>
      <c r="C15" s="160" t="s">
        <v>12300</v>
      </c>
      <c r="D15" s="461" t="s">
        <v>12301</v>
      </c>
      <c r="E15" s="170" t="s">
        <v>12302</v>
      </c>
      <c r="F15" s="170" t="s">
        <v>43</v>
      </c>
      <c r="G15" s="102" t="s">
        <v>254</v>
      </c>
      <c r="H15" s="432" t="s">
        <v>12303</v>
      </c>
      <c r="I15" s="466" t="s">
        <v>12288</v>
      </c>
      <c r="J15" s="466" t="s">
        <v>583</v>
      </c>
      <c r="K15" s="528">
        <v>43252</v>
      </c>
      <c r="L15" s="528"/>
      <c r="M15" s="468"/>
      <c r="N15" s="468"/>
      <c r="O15" s="468"/>
      <c r="P15" s="468"/>
      <c r="Q15" s="468"/>
      <c r="R15" s="468"/>
      <c r="S15" s="468"/>
      <c r="T15" s="468"/>
      <c r="U15" s="468"/>
      <c r="V15" s="468"/>
      <c r="W15" s="468"/>
      <c r="X15" s="468"/>
      <c r="Y15" s="540">
        <f ca="1">SUM(L15-NOW())</f>
        <v>-43272.384537037</v>
      </c>
      <c r="Z15" s="106" t="str">
        <f ca="1" t="shared" si="0"/>
        <v>WARNING</v>
      </c>
      <c r="AA15" s="207">
        <f>110%*4457750</f>
        <v>4903525</v>
      </c>
      <c r="AB15" s="207"/>
      <c r="AC15" s="207">
        <v>150000</v>
      </c>
      <c r="AD15" s="207" t="s">
        <v>12304</v>
      </c>
      <c r="AE15" s="207" t="s">
        <v>112</v>
      </c>
      <c r="AF15" s="207" t="s">
        <v>12290</v>
      </c>
      <c r="AG15" s="432" t="s">
        <v>12305</v>
      </c>
      <c r="AH15" s="432">
        <v>82221521392</v>
      </c>
      <c r="AI15" s="432" t="s">
        <v>12306</v>
      </c>
      <c r="AJ15" s="1579" t="s">
        <v>12307</v>
      </c>
      <c r="AK15" s="432" t="s">
        <v>12308</v>
      </c>
      <c r="AL15" s="432">
        <v>0</v>
      </c>
      <c r="AM15" s="432" t="s">
        <v>12309</v>
      </c>
      <c r="AN15" s="370"/>
      <c r="AO15" s="101" t="s">
        <v>12298</v>
      </c>
      <c r="AQ15" s="556"/>
      <c r="BF15" s="490"/>
    </row>
    <row r="16" s="93" customFormat="1" ht="21" spans="1:58">
      <c r="A16" s="1615" t="s">
        <v>68</v>
      </c>
      <c r="B16" s="100" t="s">
        <v>12310</v>
      </c>
      <c r="C16" s="160">
        <v>5814</v>
      </c>
      <c r="D16" s="461" t="s">
        <v>12311</v>
      </c>
      <c r="E16" s="170" t="s">
        <v>12312</v>
      </c>
      <c r="F16" s="170" t="s">
        <v>125</v>
      </c>
      <c r="G16" s="102" t="s">
        <v>44</v>
      </c>
      <c r="H16" s="432" t="s">
        <v>12313</v>
      </c>
      <c r="I16" s="466" t="s">
        <v>12288</v>
      </c>
      <c r="J16" s="466" t="s">
        <v>583</v>
      </c>
      <c r="K16" s="468">
        <v>42293</v>
      </c>
      <c r="L16" s="468">
        <v>42475</v>
      </c>
      <c r="M16" s="468">
        <v>42840</v>
      </c>
      <c r="N16" s="468">
        <v>43023</v>
      </c>
      <c r="O16" s="468"/>
      <c r="P16" s="468"/>
      <c r="Q16" s="468"/>
      <c r="R16" s="468"/>
      <c r="S16" s="468">
        <v>43024</v>
      </c>
      <c r="T16" s="468">
        <v>43205</v>
      </c>
      <c r="U16" s="469">
        <v>43388</v>
      </c>
      <c r="V16" s="468"/>
      <c r="W16" s="468"/>
      <c r="X16" s="468"/>
      <c r="Y16" s="540">
        <f ca="1">SUM(U16-NOW())</f>
        <v>115.61546296296</v>
      </c>
      <c r="Z16" s="106" t="str">
        <f ca="1" t="shared" si="0"/>
        <v>ACTIVE</v>
      </c>
      <c r="AA16" s="207">
        <v>4141335</v>
      </c>
      <c r="AB16" s="207"/>
      <c r="AC16" s="207"/>
      <c r="AD16" s="207" t="s">
        <v>12314</v>
      </c>
      <c r="AE16" s="207" t="s">
        <v>112</v>
      </c>
      <c r="AF16" s="207" t="s">
        <v>12290</v>
      </c>
      <c r="AG16" s="432" t="s">
        <v>12315</v>
      </c>
      <c r="AH16" s="432" t="s">
        <v>12316</v>
      </c>
      <c r="AI16" s="432" t="s">
        <v>12317</v>
      </c>
      <c r="AJ16" s="1579" t="s">
        <v>12318</v>
      </c>
      <c r="AK16" s="432" t="s">
        <v>12319</v>
      </c>
      <c r="AL16" s="432">
        <v>0</v>
      </c>
      <c r="AM16" s="432" t="s">
        <v>12320</v>
      </c>
      <c r="AN16" s="370" t="s">
        <v>12321</v>
      </c>
      <c r="AO16" s="101"/>
      <c r="AP16" s="557"/>
      <c r="AQ16" s="556"/>
      <c r="BF16" s="490"/>
    </row>
    <row r="17" s="93" customFormat="1" ht="31.5" spans="1:58">
      <c r="A17" s="1615" t="s">
        <v>78</v>
      </c>
      <c r="B17" s="100" t="s">
        <v>12322</v>
      </c>
      <c r="C17" s="160">
        <v>5814</v>
      </c>
      <c r="D17" s="461" t="s">
        <v>12323</v>
      </c>
      <c r="E17" s="170" t="s">
        <v>12324</v>
      </c>
      <c r="F17" s="170" t="s">
        <v>125</v>
      </c>
      <c r="G17" s="102" t="s">
        <v>44</v>
      </c>
      <c r="H17" s="432" t="s">
        <v>12325</v>
      </c>
      <c r="I17" s="466" t="s">
        <v>12288</v>
      </c>
      <c r="J17" s="466" t="s">
        <v>583</v>
      </c>
      <c r="K17" s="468">
        <v>42310</v>
      </c>
      <c r="L17" s="468">
        <v>42491</v>
      </c>
      <c r="M17" s="468">
        <v>42856</v>
      </c>
      <c r="N17" s="468">
        <v>43040</v>
      </c>
      <c r="O17" s="468"/>
      <c r="P17" s="468"/>
      <c r="Q17" s="468"/>
      <c r="R17" s="468"/>
      <c r="S17" s="468">
        <v>43041</v>
      </c>
      <c r="T17" s="468">
        <v>43405</v>
      </c>
      <c r="U17" s="468"/>
      <c r="V17" s="468"/>
      <c r="W17" s="468"/>
      <c r="X17" s="468"/>
      <c r="Y17" s="540">
        <f ca="1" t="shared" ref="Y17:Y20" si="1">SUM(T17-NOW())</f>
        <v>132.61546296296</v>
      </c>
      <c r="Z17" s="106" t="str">
        <f ca="1" t="shared" si="0"/>
        <v>ACTIVE</v>
      </c>
      <c r="AA17" s="207">
        <v>6534000</v>
      </c>
      <c r="AB17" s="207"/>
      <c r="AC17" s="207"/>
      <c r="AD17" s="207" t="s">
        <v>12326</v>
      </c>
      <c r="AE17" s="207" t="s">
        <v>112</v>
      </c>
      <c r="AF17" s="207" t="s">
        <v>12290</v>
      </c>
      <c r="AG17" s="432" t="s">
        <v>12327</v>
      </c>
      <c r="AH17" s="432" t="s">
        <v>12328</v>
      </c>
      <c r="AI17" s="432" t="s">
        <v>12329</v>
      </c>
      <c r="AJ17" s="1579" t="s">
        <v>12330</v>
      </c>
      <c r="AK17" s="432">
        <v>0</v>
      </c>
      <c r="AL17" s="432">
        <v>12007596757</v>
      </c>
      <c r="AM17" s="432" t="s">
        <v>12331</v>
      </c>
      <c r="AN17" s="370" t="s">
        <v>12332</v>
      </c>
      <c r="AO17" s="101"/>
      <c r="AP17" s="557"/>
      <c r="AQ17" s="556"/>
      <c r="BF17" s="490"/>
    </row>
    <row r="18" s="93" customFormat="1" ht="21" spans="1:58">
      <c r="A18" s="1615" t="s">
        <v>92</v>
      </c>
      <c r="B18" s="100" t="s">
        <v>12333</v>
      </c>
      <c r="C18" s="160">
        <v>5814</v>
      </c>
      <c r="D18" s="461" t="s">
        <v>12334</v>
      </c>
      <c r="E18" s="170" t="s">
        <v>12335</v>
      </c>
      <c r="F18" s="170" t="s">
        <v>43</v>
      </c>
      <c r="G18" s="102" t="s">
        <v>44</v>
      </c>
      <c r="H18" s="432" t="s">
        <v>12336</v>
      </c>
      <c r="I18" s="466" t="s">
        <v>12288</v>
      </c>
      <c r="J18" s="466"/>
      <c r="K18" s="468">
        <v>42334</v>
      </c>
      <c r="L18" s="468">
        <v>42699</v>
      </c>
      <c r="M18" s="468">
        <v>43064</v>
      </c>
      <c r="N18" s="468"/>
      <c r="O18" s="468"/>
      <c r="P18" s="468"/>
      <c r="Q18" s="468"/>
      <c r="R18" s="468"/>
      <c r="S18" s="468">
        <v>43065</v>
      </c>
      <c r="T18" s="468">
        <v>43430</v>
      </c>
      <c r="U18" s="468"/>
      <c r="V18" s="468"/>
      <c r="W18" s="468"/>
      <c r="X18" s="468"/>
      <c r="Y18" s="540">
        <f ca="1" t="shared" si="1"/>
        <v>157.61546296296</v>
      </c>
      <c r="Z18" s="106" t="str">
        <f ca="1" t="shared" si="0"/>
        <v>ACTIVE</v>
      </c>
      <c r="AA18" s="207">
        <v>4141335</v>
      </c>
      <c r="AB18" s="207"/>
      <c r="AC18" s="207"/>
      <c r="AD18" s="207" t="s">
        <v>12337</v>
      </c>
      <c r="AE18" s="207" t="s">
        <v>112</v>
      </c>
      <c r="AF18" s="207" t="s">
        <v>12290</v>
      </c>
      <c r="AG18" s="432" t="s">
        <v>12338</v>
      </c>
      <c r="AH18" s="432" t="s">
        <v>12339</v>
      </c>
      <c r="AI18" s="432" t="s">
        <v>12340</v>
      </c>
      <c r="AJ18" s="1579" t="s">
        <v>12341</v>
      </c>
      <c r="AK18" s="432" t="s">
        <v>12342</v>
      </c>
      <c r="AL18" s="432"/>
      <c r="AM18" s="432" t="s">
        <v>12343</v>
      </c>
      <c r="AN18" s="370" t="s">
        <v>12344</v>
      </c>
      <c r="AO18" s="101"/>
      <c r="AP18" s="557"/>
      <c r="AQ18" s="556"/>
      <c r="BF18" s="490"/>
    </row>
    <row r="19" s="93" customFormat="1" ht="21" spans="1:58">
      <c r="A19" s="1615" t="s">
        <v>107</v>
      </c>
      <c r="B19" s="100" t="s">
        <v>12345</v>
      </c>
      <c r="C19" s="160">
        <v>5814</v>
      </c>
      <c r="D19" s="461" t="s">
        <v>12346</v>
      </c>
      <c r="E19" s="170" t="s">
        <v>12347</v>
      </c>
      <c r="F19" s="170" t="s">
        <v>125</v>
      </c>
      <c r="G19" s="525" t="s">
        <v>60</v>
      </c>
      <c r="H19" s="432" t="s">
        <v>12348</v>
      </c>
      <c r="I19" s="466" t="s">
        <v>12288</v>
      </c>
      <c r="J19" s="466"/>
      <c r="K19" s="468">
        <v>42341</v>
      </c>
      <c r="L19" s="468">
        <v>42706</v>
      </c>
      <c r="M19" s="468">
        <v>43071</v>
      </c>
      <c r="N19" s="468"/>
      <c r="O19" s="468"/>
      <c r="P19" s="468"/>
      <c r="Q19" s="468"/>
      <c r="R19" s="468"/>
      <c r="S19" s="468">
        <v>43072</v>
      </c>
      <c r="T19" s="468">
        <v>43436</v>
      </c>
      <c r="U19" s="468"/>
      <c r="V19" s="468"/>
      <c r="W19" s="468"/>
      <c r="X19" s="468"/>
      <c r="Y19" s="540">
        <f ca="1" t="shared" si="1"/>
        <v>163.61546296296</v>
      </c>
      <c r="Z19" s="106" t="str">
        <f ca="1" t="shared" si="0"/>
        <v>ACTIVE</v>
      </c>
      <c r="AA19" s="207">
        <v>5051200</v>
      </c>
      <c r="AB19" s="207"/>
      <c r="AC19" s="207"/>
      <c r="AD19" s="207" t="s">
        <v>12349</v>
      </c>
      <c r="AE19" s="207" t="s">
        <v>112</v>
      </c>
      <c r="AF19" s="207" t="s">
        <v>12290</v>
      </c>
      <c r="AG19" s="432" t="s">
        <v>12350</v>
      </c>
      <c r="AH19" s="432" t="s">
        <v>12351</v>
      </c>
      <c r="AI19" s="432" t="s">
        <v>12352</v>
      </c>
      <c r="AJ19" s="1579" t="s">
        <v>12353</v>
      </c>
      <c r="AK19" s="432" t="s">
        <v>12354</v>
      </c>
      <c r="AL19" s="432">
        <v>14044441666</v>
      </c>
      <c r="AM19" s="432" t="s">
        <v>12355</v>
      </c>
      <c r="AN19" s="370" t="s">
        <v>12356</v>
      </c>
      <c r="AO19" s="101"/>
      <c r="AP19" s="557"/>
      <c r="AQ19" s="556"/>
      <c r="BF19" s="490"/>
    </row>
    <row r="20" s="93" customFormat="1" ht="21" spans="1:58">
      <c r="A20" s="1615" t="s">
        <v>121</v>
      </c>
      <c r="B20" s="100" t="s">
        <v>12357</v>
      </c>
      <c r="C20" s="160">
        <v>5814</v>
      </c>
      <c r="D20" s="461" t="s">
        <v>12358</v>
      </c>
      <c r="E20" s="170" t="s">
        <v>12359</v>
      </c>
      <c r="F20" s="170" t="s">
        <v>43</v>
      </c>
      <c r="G20" s="102" t="s">
        <v>44</v>
      </c>
      <c r="H20" s="432" t="s">
        <v>12336</v>
      </c>
      <c r="I20" s="466" t="s">
        <v>12288</v>
      </c>
      <c r="J20" s="466"/>
      <c r="K20" s="468">
        <v>42353</v>
      </c>
      <c r="L20" s="468">
        <v>42718</v>
      </c>
      <c r="M20" s="468">
        <v>43083</v>
      </c>
      <c r="N20" s="468"/>
      <c r="O20" s="468"/>
      <c r="P20" s="468"/>
      <c r="Q20" s="468"/>
      <c r="R20" s="468"/>
      <c r="S20" s="468">
        <v>43084</v>
      </c>
      <c r="T20" s="468">
        <v>43448</v>
      </c>
      <c r="U20" s="468"/>
      <c r="V20" s="468"/>
      <c r="W20" s="468"/>
      <c r="X20" s="468"/>
      <c r="Y20" s="540">
        <f ca="1" t="shared" si="1"/>
        <v>175.61546296296</v>
      </c>
      <c r="Z20" s="106" t="str">
        <f ca="1" t="shared" si="0"/>
        <v>ACTIVE</v>
      </c>
      <c r="AA20" s="207">
        <v>4141335</v>
      </c>
      <c r="AB20" s="207"/>
      <c r="AC20" s="207"/>
      <c r="AD20" s="207" t="s">
        <v>12360</v>
      </c>
      <c r="AE20" s="207" t="s">
        <v>112</v>
      </c>
      <c r="AF20" s="207" t="s">
        <v>12290</v>
      </c>
      <c r="AG20" s="432" t="s">
        <v>12361</v>
      </c>
      <c r="AH20" s="432">
        <v>89689164460</v>
      </c>
      <c r="AI20" s="432" t="s">
        <v>12362</v>
      </c>
      <c r="AJ20" s="1579" t="s">
        <v>12363</v>
      </c>
      <c r="AK20" s="432" t="s">
        <v>12364</v>
      </c>
      <c r="AL20" s="432">
        <v>0</v>
      </c>
      <c r="AM20" s="1616" t="s">
        <v>12365</v>
      </c>
      <c r="AN20" s="370" t="s">
        <v>12366</v>
      </c>
      <c r="AO20" s="101"/>
      <c r="AQ20" s="556"/>
      <c r="BF20" s="490"/>
    </row>
    <row r="21" s="204" customFormat="1" ht="21" spans="1:58">
      <c r="A21" s="1615" t="s">
        <v>135</v>
      </c>
      <c r="B21" s="100" t="s">
        <v>12367</v>
      </c>
      <c r="C21" s="160">
        <v>5814</v>
      </c>
      <c r="D21" s="461" t="s">
        <v>12368</v>
      </c>
      <c r="E21" s="170" t="s">
        <v>12369</v>
      </c>
      <c r="F21" s="170" t="s">
        <v>125</v>
      </c>
      <c r="G21" s="102" t="s">
        <v>254</v>
      </c>
      <c r="H21" s="432" t="s">
        <v>12370</v>
      </c>
      <c r="I21" s="466" t="s">
        <v>12371</v>
      </c>
      <c r="J21" s="466"/>
      <c r="K21" s="468">
        <v>42430</v>
      </c>
      <c r="L21" s="468">
        <v>43159</v>
      </c>
      <c r="M21" s="468"/>
      <c r="N21" s="468"/>
      <c r="O21" s="468"/>
      <c r="P21" s="468"/>
      <c r="Q21" s="468"/>
      <c r="R21" s="468"/>
      <c r="S21" s="468">
        <v>43160</v>
      </c>
      <c r="T21" s="468">
        <v>43524</v>
      </c>
      <c r="U21" s="468"/>
      <c r="V21" s="468"/>
      <c r="W21" s="468"/>
      <c r="X21" s="468"/>
      <c r="Y21" s="540">
        <f ca="1" t="shared" ref="Y21:Y27" si="2">SUM(T21-NOW())</f>
        <v>251.61546296296</v>
      </c>
      <c r="Z21" s="106" t="str">
        <f ca="1" t="shared" ref="Z21:Z29" si="3">IF(Y21&lt;=46,"WARNING","ACTIVE")</f>
        <v>ACTIVE</v>
      </c>
      <c r="AA21" s="207">
        <f>110%*14145080</f>
        <v>15559588</v>
      </c>
      <c r="AB21" s="207"/>
      <c r="AC21" s="207"/>
      <c r="AD21" s="207" t="s">
        <v>12372</v>
      </c>
      <c r="AE21" s="207" t="s">
        <v>112</v>
      </c>
      <c r="AF21" s="207" t="s">
        <v>12290</v>
      </c>
      <c r="AG21" s="432" t="s">
        <v>12373</v>
      </c>
      <c r="AH21" s="432" t="s">
        <v>12374</v>
      </c>
      <c r="AI21" s="432" t="s">
        <v>12375</v>
      </c>
      <c r="AJ21" s="122"/>
      <c r="AK21" s="432" t="s">
        <v>12376</v>
      </c>
      <c r="AL21" s="432" t="s">
        <v>6517</v>
      </c>
      <c r="AM21" s="432" t="s">
        <v>12377</v>
      </c>
      <c r="AN21" s="370" t="s">
        <v>12378</v>
      </c>
      <c r="AO21" s="101"/>
      <c r="AP21" s="93"/>
      <c r="BF21" s="562"/>
    </row>
    <row r="22" s="204" customFormat="1" ht="21" spans="1:58">
      <c r="A22" s="1615" t="s">
        <v>146</v>
      </c>
      <c r="B22" s="100" t="s">
        <v>12379</v>
      </c>
      <c r="C22" s="160" t="s">
        <v>12300</v>
      </c>
      <c r="D22" s="461" t="s">
        <v>12380</v>
      </c>
      <c r="E22" s="170" t="s">
        <v>12381</v>
      </c>
      <c r="F22" s="170" t="s">
        <v>43</v>
      </c>
      <c r="G22" s="102" t="s">
        <v>254</v>
      </c>
      <c r="H22" s="432" t="s">
        <v>12382</v>
      </c>
      <c r="I22" s="466" t="s">
        <v>12371</v>
      </c>
      <c r="J22" s="466"/>
      <c r="K22" s="468">
        <v>42430</v>
      </c>
      <c r="L22" s="468">
        <v>43159</v>
      </c>
      <c r="M22" s="468"/>
      <c r="N22" s="468"/>
      <c r="O22" s="468"/>
      <c r="P22" s="468"/>
      <c r="Q22" s="468"/>
      <c r="R22" s="468"/>
      <c r="S22" s="468">
        <v>43160</v>
      </c>
      <c r="T22" s="468">
        <v>43524</v>
      </c>
      <c r="U22" s="468"/>
      <c r="V22" s="468"/>
      <c r="W22" s="468"/>
      <c r="X22" s="468"/>
      <c r="Y22" s="540">
        <f ca="1" t="shared" si="2"/>
        <v>251.61546296296</v>
      </c>
      <c r="Z22" s="106" t="str">
        <f ca="1" t="shared" si="3"/>
        <v>ACTIVE</v>
      </c>
      <c r="AA22" s="207">
        <f>106%*6749961</f>
        <v>7154958.66</v>
      </c>
      <c r="AB22" s="207"/>
      <c r="AC22" s="207">
        <v>150000</v>
      </c>
      <c r="AD22" s="207" t="s">
        <v>12383</v>
      </c>
      <c r="AE22" s="207" t="s">
        <v>112</v>
      </c>
      <c r="AF22" s="207" t="s">
        <v>12290</v>
      </c>
      <c r="AG22" s="432" t="s">
        <v>12384</v>
      </c>
      <c r="AH22" s="432" t="s">
        <v>12385</v>
      </c>
      <c r="AI22" s="432" t="s">
        <v>12386</v>
      </c>
      <c r="AJ22" s="122"/>
      <c r="AK22" s="432" t="s">
        <v>12387</v>
      </c>
      <c r="AL22" s="432">
        <v>11014702424</v>
      </c>
      <c r="AM22" s="432" t="s">
        <v>12388</v>
      </c>
      <c r="AN22" s="370"/>
      <c r="AO22" s="101"/>
      <c r="AP22" s="93"/>
      <c r="BF22" s="562"/>
    </row>
    <row r="23" s="204" customFormat="1" ht="21" spans="1:58">
      <c r="A23" s="1615" t="s">
        <v>157</v>
      </c>
      <c r="B23" s="100" t="s">
        <v>12389</v>
      </c>
      <c r="C23" s="160" t="s">
        <v>12300</v>
      </c>
      <c r="D23" s="461" t="s">
        <v>12390</v>
      </c>
      <c r="E23" s="170" t="s">
        <v>12391</v>
      </c>
      <c r="F23" s="170" t="s">
        <v>125</v>
      </c>
      <c r="G23" s="102" t="s">
        <v>404</v>
      </c>
      <c r="H23" s="432" t="s">
        <v>9747</v>
      </c>
      <c r="I23" s="466" t="s">
        <v>12371</v>
      </c>
      <c r="J23" s="466"/>
      <c r="K23" s="468">
        <v>42430</v>
      </c>
      <c r="L23" s="468">
        <v>43159</v>
      </c>
      <c r="M23" s="468"/>
      <c r="N23" s="468"/>
      <c r="O23" s="468"/>
      <c r="P23" s="468"/>
      <c r="Q23" s="468"/>
      <c r="R23" s="468"/>
      <c r="S23" s="468">
        <v>43160</v>
      </c>
      <c r="T23" s="468">
        <v>43524</v>
      </c>
      <c r="U23" s="468"/>
      <c r="V23" s="468"/>
      <c r="W23" s="468"/>
      <c r="X23" s="468"/>
      <c r="Y23" s="540">
        <f ca="1" t="shared" si="2"/>
        <v>251.61546296296</v>
      </c>
      <c r="Z23" s="106" t="str">
        <f ca="1" t="shared" si="3"/>
        <v>ACTIVE</v>
      </c>
      <c r="AA23" s="207">
        <f>110%*5333387</f>
        <v>5866725.7</v>
      </c>
      <c r="AB23" s="207"/>
      <c r="AC23" s="207"/>
      <c r="AD23" s="207" t="s">
        <v>12392</v>
      </c>
      <c r="AE23" s="207" t="s">
        <v>112</v>
      </c>
      <c r="AF23" s="207" t="s">
        <v>12290</v>
      </c>
      <c r="AG23" s="432" t="s">
        <v>12393</v>
      </c>
      <c r="AH23" s="432" t="s">
        <v>12394</v>
      </c>
      <c r="AI23" s="432" t="s">
        <v>12395</v>
      </c>
      <c r="AJ23" s="122"/>
      <c r="AK23" s="432" t="s">
        <v>12396</v>
      </c>
      <c r="AL23" s="432">
        <v>11014702523</v>
      </c>
      <c r="AM23" s="432" t="s">
        <v>12397</v>
      </c>
      <c r="AN23" s="370" t="s">
        <v>12398</v>
      </c>
      <c r="AO23" s="101"/>
      <c r="AP23" s="93"/>
      <c r="BF23" s="562"/>
    </row>
    <row r="24" s="204" customFormat="1" ht="21" spans="1:58">
      <c r="A24" s="1615" t="s">
        <v>168</v>
      </c>
      <c r="B24" s="100" t="s">
        <v>12399</v>
      </c>
      <c r="C24" s="160">
        <v>5814</v>
      </c>
      <c r="D24" s="461" t="s">
        <v>12400</v>
      </c>
      <c r="E24" s="170" t="s">
        <v>12401</v>
      </c>
      <c r="F24" s="170" t="s">
        <v>43</v>
      </c>
      <c r="G24" s="102" t="s">
        <v>44</v>
      </c>
      <c r="H24" s="432" t="s">
        <v>12402</v>
      </c>
      <c r="I24" s="466" t="s">
        <v>12371</v>
      </c>
      <c r="J24" s="466"/>
      <c r="K24" s="468">
        <v>42430</v>
      </c>
      <c r="L24" s="468">
        <v>43159</v>
      </c>
      <c r="M24" s="468"/>
      <c r="N24" s="468"/>
      <c r="O24" s="468"/>
      <c r="P24" s="468"/>
      <c r="Q24" s="468"/>
      <c r="R24" s="468"/>
      <c r="S24" s="468">
        <v>43160</v>
      </c>
      <c r="T24" s="468">
        <v>43524</v>
      </c>
      <c r="U24" s="468"/>
      <c r="V24" s="468"/>
      <c r="W24" s="468"/>
      <c r="X24" s="468"/>
      <c r="Y24" s="540">
        <f ca="1" t="shared" si="2"/>
        <v>251.61546296296</v>
      </c>
      <c r="Z24" s="106" t="str">
        <f ca="1" t="shared" si="3"/>
        <v>ACTIVE</v>
      </c>
      <c r="AA24" s="207">
        <f>114%*4166800</f>
        <v>4750152</v>
      </c>
      <c r="AB24" s="207"/>
      <c r="AC24" s="207"/>
      <c r="AD24" s="207" t="s">
        <v>12403</v>
      </c>
      <c r="AE24" s="207" t="s">
        <v>112</v>
      </c>
      <c r="AF24" s="207" t="s">
        <v>12290</v>
      </c>
      <c r="AG24" s="432" t="s">
        <v>12404</v>
      </c>
      <c r="AH24" s="432" t="s">
        <v>12405</v>
      </c>
      <c r="AI24" s="432" t="s">
        <v>12406</v>
      </c>
      <c r="AJ24" s="122"/>
      <c r="AK24" s="432">
        <v>0</v>
      </c>
      <c r="AL24" s="432">
        <v>0</v>
      </c>
      <c r="AM24" s="432" t="s">
        <v>12407</v>
      </c>
      <c r="AN24" s="370" t="s">
        <v>12408</v>
      </c>
      <c r="AO24" s="101"/>
      <c r="AP24" s="93"/>
      <c r="BF24" s="562"/>
    </row>
    <row r="25" s="204" customFormat="1" ht="21" spans="1:58">
      <c r="A25" s="1615" t="s">
        <v>181</v>
      </c>
      <c r="B25" s="100" t="s">
        <v>12409</v>
      </c>
      <c r="C25" s="160" t="s">
        <v>12300</v>
      </c>
      <c r="D25" s="461" t="s">
        <v>12410</v>
      </c>
      <c r="E25" s="170" t="s">
        <v>12411</v>
      </c>
      <c r="F25" s="170" t="s">
        <v>125</v>
      </c>
      <c r="G25" s="102" t="s">
        <v>44</v>
      </c>
      <c r="H25" s="432" t="s">
        <v>12412</v>
      </c>
      <c r="I25" s="466" t="s">
        <v>12371</v>
      </c>
      <c r="J25" s="466" t="s">
        <v>12413</v>
      </c>
      <c r="K25" s="468">
        <v>42464</v>
      </c>
      <c r="L25" s="468">
        <v>42828</v>
      </c>
      <c r="M25" s="468">
        <v>43193</v>
      </c>
      <c r="N25" s="468"/>
      <c r="O25" s="468"/>
      <c r="P25" s="468"/>
      <c r="Q25" s="468"/>
      <c r="R25" s="468"/>
      <c r="S25" s="468">
        <v>43194</v>
      </c>
      <c r="T25" s="469">
        <v>43558</v>
      </c>
      <c r="U25" s="468"/>
      <c r="V25" s="468"/>
      <c r="W25" s="468"/>
      <c r="X25" s="468"/>
      <c r="Y25" s="540">
        <f ca="1" t="shared" si="2"/>
        <v>285.61546296296</v>
      </c>
      <c r="Z25" s="106" t="str">
        <f ca="1" t="shared" si="3"/>
        <v>ACTIVE</v>
      </c>
      <c r="AA25" s="207">
        <f>120%*3700000</f>
        <v>4440000</v>
      </c>
      <c r="AB25" s="207"/>
      <c r="AC25" s="207"/>
      <c r="AD25" s="207" t="s">
        <v>12414</v>
      </c>
      <c r="AE25" s="207" t="s">
        <v>112</v>
      </c>
      <c r="AF25" s="207" t="s">
        <v>12290</v>
      </c>
      <c r="AG25" s="432" t="s">
        <v>12415</v>
      </c>
      <c r="AH25" s="432">
        <v>81244283885</v>
      </c>
      <c r="AI25" s="432" t="s">
        <v>12416</v>
      </c>
      <c r="AJ25" s="1579" t="s">
        <v>12417</v>
      </c>
      <c r="AK25" s="432" t="s">
        <v>12418</v>
      </c>
      <c r="AL25" s="432">
        <v>15036272795</v>
      </c>
      <c r="AM25" s="1617" t="s">
        <v>12419</v>
      </c>
      <c r="AN25" s="149" t="s">
        <v>12420</v>
      </c>
      <c r="AO25" s="101"/>
      <c r="AP25" s="557"/>
      <c r="BF25" s="562"/>
    </row>
    <row r="26" s="204" customFormat="1" ht="21" spans="1:58">
      <c r="A26" s="1615" t="s">
        <v>194</v>
      </c>
      <c r="B26" s="100" t="s">
        <v>12421</v>
      </c>
      <c r="C26" s="160">
        <v>5814</v>
      </c>
      <c r="D26" s="461" t="s">
        <v>12422</v>
      </c>
      <c r="E26" s="170" t="s">
        <v>12423</v>
      </c>
      <c r="F26" s="170" t="s">
        <v>125</v>
      </c>
      <c r="G26" s="102" t="s">
        <v>44</v>
      </c>
      <c r="H26" s="432" t="s">
        <v>12424</v>
      </c>
      <c r="I26" s="466" t="s">
        <v>12288</v>
      </c>
      <c r="J26" s="466" t="s">
        <v>12425</v>
      </c>
      <c r="K26" s="468">
        <v>42492</v>
      </c>
      <c r="L26" s="468">
        <v>42856</v>
      </c>
      <c r="M26" s="468">
        <v>43221</v>
      </c>
      <c r="N26" s="468" t="s">
        <v>583</v>
      </c>
      <c r="O26" s="468" t="s">
        <v>583</v>
      </c>
      <c r="P26" s="468"/>
      <c r="Q26" s="468"/>
      <c r="R26" s="468"/>
      <c r="S26" s="469">
        <v>43222</v>
      </c>
      <c r="T26" s="469">
        <v>43586</v>
      </c>
      <c r="U26" s="468"/>
      <c r="V26" s="468"/>
      <c r="W26" s="468"/>
      <c r="X26" s="468"/>
      <c r="Y26" s="540">
        <f ca="1" t="shared" si="2"/>
        <v>313.61546296296</v>
      </c>
      <c r="Z26" s="106" t="str">
        <f ca="1" t="shared" si="3"/>
        <v>ACTIVE</v>
      </c>
      <c r="AA26" s="541">
        <v>4000000</v>
      </c>
      <c r="AB26" s="207"/>
      <c r="AC26" s="207"/>
      <c r="AD26" s="207" t="s">
        <v>12426</v>
      </c>
      <c r="AE26" s="207" t="s">
        <v>112</v>
      </c>
      <c r="AF26" s="207" t="s">
        <v>12290</v>
      </c>
      <c r="AG26" s="432" t="s">
        <v>12427</v>
      </c>
      <c r="AH26" s="1577" t="s">
        <v>12428</v>
      </c>
      <c r="AI26" s="432" t="s">
        <v>12429</v>
      </c>
      <c r="AJ26" s="1579" t="s">
        <v>12430</v>
      </c>
      <c r="AK26" s="432" t="s">
        <v>12431</v>
      </c>
      <c r="AL26" s="432"/>
      <c r="AM26" s="1585" t="s">
        <v>12432</v>
      </c>
      <c r="AN26" s="365" t="s">
        <v>12433</v>
      </c>
      <c r="AO26" s="101"/>
      <c r="BF26" s="562"/>
    </row>
    <row r="27" s="204" customFormat="1" ht="31.5" spans="1:58">
      <c r="A27" s="1615" t="s">
        <v>204</v>
      </c>
      <c r="B27" s="100" t="s">
        <v>12434</v>
      </c>
      <c r="C27" s="160">
        <v>5814</v>
      </c>
      <c r="D27" s="461" t="s">
        <v>12435</v>
      </c>
      <c r="E27" s="170" t="s">
        <v>12436</v>
      </c>
      <c r="F27" s="170" t="s">
        <v>125</v>
      </c>
      <c r="G27" s="102" t="s">
        <v>44</v>
      </c>
      <c r="H27" s="432" t="s">
        <v>12424</v>
      </c>
      <c r="I27" s="466" t="s">
        <v>12288</v>
      </c>
      <c r="J27" s="466" t="s">
        <v>12413</v>
      </c>
      <c r="K27" s="468">
        <v>42534</v>
      </c>
      <c r="L27" s="468">
        <v>42898</v>
      </c>
      <c r="M27" s="468">
        <v>43263</v>
      </c>
      <c r="N27" s="468" t="s">
        <v>583</v>
      </c>
      <c r="O27" s="468" t="s">
        <v>583</v>
      </c>
      <c r="P27" s="468"/>
      <c r="Q27" s="468"/>
      <c r="R27" s="468"/>
      <c r="S27" s="470">
        <v>43264</v>
      </c>
      <c r="T27" s="470">
        <v>43628</v>
      </c>
      <c r="U27" s="468"/>
      <c r="V27" s="468"/>
      <c r="W27" s="468"/>
      <c r="X27" s="468"/>
      <c r="Y27" s="540">
        <f ca="1" t="shared" si="2"/>
        <v>355.61546296296</v>
      </c>
      <c r="Z27" s="106" t="str">
        <f ca="1" t="shared" si="3"/>
        <v>ACTIVE</v>
      </c>
      <c r="AA27" s="207">
        <v>4000000</v>
      </c>
      <c r="AB27" s="207"/>
      <c r="AC27" s="207"/>
      <c r="AD27" s="207" t="s">
        <v>12437</v>
      </c>
      <c r="AE27" s="207" t="s">
        <v>112</v>
      </c>
      <c r="AF27" s="207" t="s">
        <v>12290</v>
      </c>
      <c r="AG27" s="432" t="s">
        <v>12438</v>
      </c>
      <c r="AH27" s="432" t="s">
        <v>12439</v>
      </c>
      <c r="AI27" s="432" t="s">
        <v>12440</v>
      </c>
      <c r="AJ27" s="1579" t="s">
        <v>12441</v>
      </c>
      <c r="AK27" s="432"/>
      <c r="AL27" s="432"/>
      <c r="AM27" s="1577" t="s">
        <v>12442</v>
      </c>
      <c r="AN27" s="149" t="s">
        <v>12443</v>
      </c>
      <c r="AO27" s="101"/>
      <c r="BF27" s="562"/>
    </row>
    <row r="28" s="515" customFormat="1" ht="21" spans="1:58">
      <c r="A28" s="1618" t="s">
        <v>215</v>
      </c>
      <c r="B28" s="161" t="s">
        <v>12444</v>
      </c>
      <c r="C28" s="162" t="s">
        <v>12300</v>
      </c>
      <c r="D28" s="167" t="s">
        <v>12445</v>
      </c>
      <c r="E28" s="172" t="s">
        <v>12446</v>
      </c>
      <c r="F28" s="172" t="s">
        <v>125</v>
      </c>
      <c r="G28" s="173" t="s">
        <v>44</v>
      </c>
      <c r="H28" s="180" t="s">
        <v>12412</v>
      </c>
      <c r="I28" s="467" t="s">
        <v>12288</v>
      </c>
      <c r="J28" s="467" t="s">
        <v>12425</v>
      </c>
      <c r="K28" s="182">
        <v>42723</v>
      </c>
      <c r="L28" s="182">
        <v>43087</v>
      </c>
      <c r="M28" s="182">
        <v>43452</v>
      </c>
      <c r="N28" s="182"/>
      <c r="O28" s="182"/>
      <c r="P28" s="182"/>
      <c r="Q28" s="182"/>
      <c r="R28" s="182"/>
      <c r="S28" s="182"/>
      <c r="T28" s="182"/>
      <c r="U28" s="182"/>
      <c r="V28" s="182"/>
      <c r="W28" s="182"/>
      <c r="X28" s="182"/>
      <c r="Y28" s="542">
        <f ca="1">SUM(M28-NOW())</f>
        <v>179.61546296296</v>
      </c>
      <c r="Z28" s="175" t="str">
        <f ca="1" t="shared" si="3"/>
        <v>ACTIVE</v>
      </c>
      <c r="AA28" s="181">
        <v>4218000</v>
      </c>
      <c r="AB28" s="181"/>
      <c r="AC28" s="181"/>
      <c r="AD28" s="181" t="s">
        <v>12447</v>
      </c>
      <c r="AE28" s="181" t="s">
        <v>112</v>
      </c>
      <c r="AF28" s="181" t="s">
        <v>12290</v>
      </c>
      <c r="AG28" s="180" t="s">
        <v>12448</v>
      </c>
      <c r="AH28" s="180" t="s">
        <v>12449</v>
      </c>
      <c r="AI28" s="180" t="s">
        <v>12450</v>
      </c>
      <c r="AJ28" s="1581" t="s">
        <v>12451</v>
      </c>
      <c r="AK28" s="180"/>
      <c r="AL28" s="180"/>
      <c r="AM28" s="1594" t="s">
        <v>12452</v>
      </c>
      <c r="AN28" s="368" t="s">
        <v>12453</v>
      </c>
      <c r="AO28" s="163" t="s">
        <v>12454</v>
      </c>
      <c r="BF28" s="563"/>
    </row>
    <row r="29" s="204" customFormat="1" ht="21" spans="1:58">
      <c r="A29" s="1615" t="s">
        <v>229</v>
      </c>
      <c r="B29" s="100" t="s">
        <v>12455</v>
      </c>
      <c r="C29" s="160" t="s">
        <v>12300</v>
      </c>
      <c r="D29" s="461" t="s">
        <v>12456</v>
      </c>
      <c r="E29" s="170" t="s">
        <v>12457</v>
      </c>
      <c r="F29" s="170" t="s">
        <v>125</v>
      </c>
      <c r="G29" s="102" t="s">
        <v>44</v>
      </c>
      <c r="H29" s="432" t="s">
        <v>12458</v>
      </c>
      <c r="I29" s="466" t="s">
        <v>12288</v>
      </c>
      <c r="J29" s="466"/>
      <c r="K29" s="468">
        <v>43132</v>
      </c>
      <c r="L29" s="468">
        <v>43496</v>
      </c>
      <c r="M29" s="468"/>
      <c r="N29" s="468"/>
      <c r="O29" s="468"/>
      <c r="P29" s="468"/>
      <c r="Q29" s="468"/>
      <c r="R29" s="468"/>
      <c r="S29" s="468"/>
      <c r="T29" s="468"/>
      <c r="U29" s="468"/>
      <c r="V29" s="468"/>
      <c r="W29" s="468"/>
      <c r="X29" s="468"/>
      <c r="Y29" s="540">
        <f ca="1">SUM(L29-NOW())</f>
        <v>223.61546296296</v>
      </c>
      <c r="Z29" s="106" t="str">
        <f ca="1" t="shared" si="3"/>
        <v>ACTIVE</v>
      </c>
      <c r="AA29" s="207">
        <v>4000000</v>
      </c>
      <c r="AB29" s="207"/>
      <c r="AC29" s="207"/>
      <c r="AD29" s="207"/>
      <c r="AE29" s="207" t="s">
        <v>112</v>
      </c>
      <c r="AF29" s="207" t="s">
        <v>12290</v>
      </c>
      <c r="AG29" s="432" t="s">
        <v>12459</v>
      </c>
      <c r="AH29" s="432"/>
      <c r="AI29" s="432" t="s">
        <v>12460</v>
      </c>
      <c r="AJ29" s="122" t="s">
        <v>12461</v>
      </c>
      <c r="AK29" s="1577" t="s">
        <v>12462</v>
      </c>
      <c r="AL29" s="432"/>
      <c r="AM29" s="432"/>
      <c r="AN29" s="308" t="s">
        <v>12463</v>
      </c>
      <c r="AO29" s="101"/>
      <c r="BF29" s="562"/>
    </row>
    <row r="30" s="93" customFormat="1" ht="21" spans="1:41">
      <c r="A30" s="1615" t="s">
        <v>239</v>
      </c>
      <c r="B30" s="14" t="s">
        <v>12464</v>
      </c>
      <c r="C30" s="160" t="s">
        <v>12300</v>
      </c>
      <c r="D30" s="463" t="s">
        <v>12465</v>
      </c>
      <c r="E30" s="170" t="s">
        <v>12466</v>
      </c>
      <c r="F30" s="170" t="s">
        <v>43</v>
      </c>
      <c r="G30" s="102" t="s">
        <v>44</v>
      </c>
      <c r="H30" s="432" t="s">
        <v>12467</v>
      </c>
      <c r="I30" s="466" t="s">
        <v>12288</v>
      </c>
      <c r="J30" s="432"/>
      <c r="K30" s="106">
        <v>43192</v>
      </c>
      <c r="L30" s="106">
        <v>43556</v>
      </c>
      <c r="M30" s="106"/>
      <c r="N30" s="106"/>
      <c r="O30" s="106"/>
      <c r="P30" s="106"/>
      <c r="Q30" s="106"/>
      <c r="R30" s="106"/>
      <c r="S30" s="106"/>
      <c r="T30" s="106"/>
      <c r="U30" s="106"/>
      <c r="V30" s="106"/>
      <c r="W30" s="106"/>
      <c r="X30" s="106"/>
      <c r="Y30" s="540">
        <f ca="1" t="shared" ref="Y30" si="4">SUM(L30-NOW())</f>
        <v>283.61546296296</v>
      </c>
      <c r="Z30" s="106" t="str">
        <f ca="1" t="shared" ref="Z30" si="5">IF(Y30&lt;=46,"WARNING","ACTIVE")</f>
        <v>ACTIVE</v>
      </c>
      <c r="AA30" s="116">
        <v>5000000</v>
      </c>
      <c r="AB30" s="116"/>
      <c r="AC30" s="116"/>
      <c r="AD30" s="116"/>
      <c r="AE30" s="116" t="s">
        <v>112</v>
      </c>
      <c r="AF30" s="116" t="s">
        <v>12290</v>
      </c>
      <c r="AG30" s="432" t="s">
        <v>12468</v>
      </c>
      <c r="AH30" s="1577" t="s">
        <v>12469</v>
      </c>
      <c r="AI30" s="432" t="s">
        <v>12470</v>
      </c>
      <c r="AJ30" s="1579" t="s">
        <v>12471</v>
      </c>
      <c r="AK30" s="1577" t="s">
        <v>12472</v>
      </c>
      <c r="AL30" s="432"/>
      <c r="AM30" s="1577" t="s">
        <v>12473</v>
      </c>
      <c r="AN30" s="149" t="s">
        <v>12474</v>
      </c>
      <c r="AO30" s="101"/>
    </row>
    <row r="31" s="204" customFormat="1" ht="21" spans="1:58">
      <c r="A31" s="1615" t="s">
        <v>250</v>
      </c>
      <c r="B31" s="14"/>
      <c r="C31" s="160"/>
      <c r="D31" s="463" t="s">
        <v>12475</v>
      </c>
      <c r="E31" s="170" t="s">
        <v>12476</v>
      </c>
      <c r="F31" s="170" t="s">
        <v>125</v>
      </c>
      <c r="G31" s="102" t="s">
        <v>44</v>
      </c>
      <c r="H31" s="432" t="s">
        <v>12477</v>
      </c>
      <c r="I31" s="466" t="s">
        <v>12288</v>
      </c>
      <c r="J31" s="432"/>
      <c r="K31" s="106">
        <v>43245</v>
      </c>
      <c r="L31" s="106">
        <v>43336</v>
      </c>
      <c r="M31" s="106" t="s">
        <v>583</v>
      </c>
      <c r="N31" s="106" t="s">
        <v>583</v>
      </c>
      <c r="O31" s="106" t="s">
        <v>583</v>
      </c>
      <c r="P31" s="106"/>
      <c r="Q31" s="106"/>
      <c r="R31" s="106"/>
      <c r="S31" s="106"/>
      <c r="T31" s="106"/>
      <c r="U31" s="106"/>
      <c r="V31" s="106"/>
      <c r="W31" s="106"/>
      <c r="X31" s="106"/>
      <c r="Y31" s="540">
        <f ca="1" t="shared" ref="Y31" si="6">SUM(L31-NOW())</f>
        <v>63.61546296296</v>
      </c>
      <c r="Z31" s="106" t="str">
        <f ca="1" t="shared" ref="Z31" si="7">IF(Y31&lt;=46,"WARNING","ACTIVE")</f>
        <v>ACTIVE</v>
      </c>
      <c r="AA31" s="116">
        <v>4200000</v>
      </c>
      <c r="AB31" s="116"/>
      <c r="AC31" s="116"/>
      <c r="AD31" s="116"/>
      <c r="AE31" s="116" t="s">
        <v>112</v>
      </c>
      <c r="AF31" s="116" t="s">
        <v>12290</v>
      </c>
      <c r="AG31" s="432" t="s">
        <v>12478</v>
      </c>
      <c r="AH31" s="1577" t="s">
        <v>12479</v>
      </c>
      <c r="AI31" s="432" t="s">
        <v>12480</v>
      </c>
      <c r="AJ31" s="1579" t="s">
        <v>12481</v>
      </c>
      <c r="AK31" s="432"/>
      <c r="AL31" s="432"/>
      <c r="AM31" s="1577" t="s">
        <v>12482</v>
      </c>
      <c r="AN31" s="149" t="s">
        <v>12483</v>
      </c>
      <c r="AO31" s="101"/>
      <c r="BF31" s="562"/>
    </row>
    <row r="32" s="204" customFormat="1" spans="58:58">
      <c r="BF32" s="562"/>
    </row>
    <row r="33" s="204" customFormat="1" ht="12.75" spans="1:58">
      <c r="A33" s="516"/>
      <c r="B33" s="516"/>
      <c r="C33" s="520"/>
      <c r="D33" s="520"/>
      <c r="E33" s="520"/>
      <c r="F33" s="520"/>
      <c r="G33" s="520"/>
      <c r="H33" s="520"/>
      <c r="I33" s="520"/>
      <c r="J33" s="520"/>
      <c r="K33" s="520"/>
      <c r="L33" s="520"/>
      <c r="M33" s="520"/>
      <c r="N33" s="520"/>
      <c r="O33" s="520"/>
      <c r="P33" s="520"/>
      <c r="Q33" s="520"/>
      <c r="R33" s="520"/>
      <c r="S33" s="530"/>
      <c r="T33" s="530"/>
      <c r="U33" s="530"/>
      <c r="V33" s="530"/>
      <c r="W33" s="530"/>
      <c r="X33" s="530"/>
      <c r="Y33" s="543"/>
      <c r="Z33" s="530"/>
      <c r="AA33" s="544"/>
      <c r="AB33" s="545"/>
      <c r="AC33" s="545"/>
      <c r="AD33" s="545"/>
      <c r="AE33" s="545"/>
      <c r="AF33" s="545"/>
      <c r="AG33" s="544"/>
      <c r="AH33" s="516"/>
      <c r="AI33" s="516"/>
      <c r="AJ33" s="547"/>
      <c r="AK33" s="516"/>
      <c r="AL33" s="516"/>
      <c r="AM33" s="516"/>
      <c r="AN33" s="552"/>
      <c r="AO33" s="558"/>
      <c r="BF33" s="562"/>
    </row>
    <row r="34" s="93" customFormat="1" spans="1:58">
      <c r="A34" s="521"/>
      <c r="B34" s="521"/>
      <c r="C34" s="521"/>
      <c r="D34" s="522"/>
      <c r="E34" s="526"/>
      <c r="F34" s="526"/>
      <c r="G34" s="527"/>
      <c r="H34" s="527"/>
      <c r="I34" s="516"/>
      <c r="J34" s="529"/>
      <c r="K34" s="530"/>
      <c r="L34" s="530"/>
      <c r="M34" s="533"/>
      <c r="N34" s="533"/>
      <c r="O34" s="533"/>
      <c r="P34" s="533"/>
      <c r="Q34" s="533"/>
      <c r="R34" s="533"/>
      <c r="S34" s="533"/>
      <c r="T34" s="533"/>
      <c r="U34" s="533"/>
      <c r="V34" s="533"/>
      <c r="W34" s="533"/>
      <c r="X34" s="533"/>
      <c r="Y34" s="546"/>
      <c r="Z34" s="533"/>
      <c r="AA34" s="545"/>
      <c r="AB34" s="545"/>
      <c r="AC34" s="545"/>
      <c r="AD34" s="545"/>
      <c r="AE34" s="545"/>
      <c r="AF34" s="545"/>
      <c r="AG34" s="516"/>
      <c r="AH34" s="516"/>
      <c r="AI34" s="516"/>
      <c r="AJ34" s="547"/>
      <c r="AK34" s="516"/>
      <c r="AL34" s="516"/>
      <c r="AM34" s="516"/>
      <c r="AN34" s="552"/>
      <c r="AO34" s="559"/>
      <c r="BF34" s="490"/>
    </row>
    <row r="35" spans="1:42">
      <c r="A35" s="523" t="s">
        <v>7926</v>
      </c>
      <c r="B35" s="523"/>
      <c r="C35" s="523"/>
      <c r="D35" s="523"/>
      <c r="E35" s="523"/>
      <c r="F35" s="523"/>
      <c r="G35" s="523"/>
      <c r="H35" s="523"/>
      <c r="I35" s="523"/>
      <c r="J35" s="523"/>
      <c r="K35" s="523"/>
      <c r="L35" s="523"/>
      <c r="M35" s="523"/>
      <c r="N35" s="523"/>
      <c r="O35" s="523"/>
      <c r="P35" s="523"/>
      <c r="Q35" s="523"/>
      <c r="R35" s="523"/>
      <c r="S35" s="523"/>
      <c r="T35" s="523"/>
      <c r="U35" s="523"/>
      <c r="V35" s="523"/>
      <c r="W35" s="523"/>
      <c r="X35" s="523"/>
      <c r="Y35" s="523"/>
      <c r="Z35" s="523"/>
      <c r="AA35" s="523"/>
      <c r="AB35" s="523"/>
      <c r="AC35" s="523"/>
      <c r="AD35" s="523"/>
      <c r="AE35" s="523"/>
      <c r="AF35" s="523"/>
      <c r="AG35" s="523"/>
      <c r="AH35" s="523"/>
      <c r="AI35" s="516"/>
      <c r="AJ35" s="547"/>
      <c r="AK35" s="516"/>
      <c r="AL35" s="516"/>
      <c r="AM35" s="516"/>
      <c r="AN35" s="553"/>
      <c r="AP35" s="93"/>
    </row>
    <row r="36" spans="1:42">
      <c r="A36" s="523" t="s">
        <v>12484</v>
      </c>
      <c r="B36" s="523"/>
      <c r="C36" s="523"/>
      <c r="D36" s="523"/>
      <c r="E36" s="523"/>
      <c r="F36" s="523"/>
      <c r="G36" s="523"/>
      <c r="H36" s="523"/>
      <c r="I36" s="523"/>
      <c r="J36" s="523"/>
      <c r="K36" s="523"/>
      <c r="L36" s="523"/>
      <c r="M36" s="523"/>
      <c r="N36" s="523"/>
      <c r="O36" s="523"/>
      <c r="P36" s="523"/>
      <c r="Q36" s="523"/>
      <c r="R36" s="523"/>
      <c r="S36" s="523"/>
      <c r="T36" s="523"/>
      <c r="U36" s="523"/>
      <c r="V36" s="523"/>
      <c r="W36" s="523"/>
      <c r="X36" s="523"/>
      <c r="Y36" s="523"/>
      <c r="Z36" s="523"/>
      <c r="AA36" s="523"/>
      <c r="AB36" s="523"/>
      <c r="AC36" s="523"/>
      <c r="AD36" s="523"/>
      <c r="AE36" s="523"/>
      <c r="AF36" s="523"/>
      <c r="AG36" s="523"/>
      <c r="AH36" s="523"/>
      <c r="AI36" s="516"/>
      <c r="AJ36" s="547"/>
      <c r="AK36" s="516"/>
      <c r="AL36" s="516"/>
      <c r="AM36" s="516"/>
      <c r="AN36" s="553"/>
      <c r="AP36" s="93"/>
    </row>
    <row r="37" ht="11.25" spans="1:42">
      <c r="A37" s="524">
        <v>32</v>
      </c>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516"/>
      <c r="AJ37" s="547"/>
      <c r="AK37" s="516"/>
      <c r="AL37" s="554"/>
      <c r="AM37" s="554"/>
      <c r="AN37" s="555"/>
      <c r="AP37" s="93"/>
    </row>
    <row r="38" ht="12" spans="1:42">
      <c r="A38" s="98" t="s">
        <v>0</v>
      </c>
      <c r="B38" s="98" t="s">
        <v>1</v>
      </c>
      <c r="C38" s="98" t="s">
        <v>12278</v>
      </c>
      <c r="D38" s="98" t="s">
        <v>2</v>
      </c>
      <c r="E38" s="98" t="s">
        <v>3</v>
      </c>
      <c r="F38" s="98" t="s">
        <v>4</v>
      </c>
      <c r="G38" s="98" t="s">
        <v>7929</v>
      </c>
      <c r="H38" s="98" t="s">
        <v>8</v>
      </c>
      <c r="I38" s="98" t="s">
        <v>12279</v>
      </c>
      <c r="J38" s="98" t="s">
        <v>12280</v>
      </c>
      <c r="K38" s="174" t="s">
        <v>9</v>
      </c>
      <c r="L38" s="186"/>
      <c r="M38" s="186"/>
      <c r="N38" s="186"/>
      <c r="O38" s="532"/>
      <c r="P38" s="532"/>
      <c r="Q38" s="532"/>
      <c r="R38" s="532"/>
      <c r="S38" s="174" t="s">
        <v>11</v>
      </c>
      <c r="T38" s="186"/>
      <c r="U38" s="532"/>
      <c r="V38" s="532"/>
      <c r="W38" s="174" t="s">
        <v>13</v>
      </c>
      <c r="X38" s="186"/>
      <c r="Y38" s="98" t="s">
        <v>14</v>
      </c>
      <c r="Z38" s="103" t="s">
        <v>15</v>
      </c>
      <c r="AA38" s="537" t="s">
        <v>7931</v>
      </c>
      <c r="AB38" s="537" t="s">
        <v>12281</v>
      </c>
      <c r="AC38" s="537"/>
      <c r="AD38" s="98" t="s">
        <v>12283</v>
      </c>
      <c r="AE38" s="98" t="s">
        <v>25</v>
      </c>
      <c r="AF38" s="98" t="s">
        <v>3509</v>
      </c>
      <c r="AG38" s="104" t="s">
        <v>28</v>
      </c>
      <c r="AH38" s="104" t="s">
        <v>29</v>
      </c>
      <c r="AI38" s="104" t="s">
        <v>30</v>
      </c>
      <c r="AJ38" s="217" t="s">
        <v>31</v>
      </c>
      <c r="AK38" s="548" t="s">
        <v>32</v>
      </c>
      <c r="AL38" s="548" t="s">
        <v>33</v>
      </c>
      <c r="AM38" s="548" t="s">
        <v>34</v>
      </c>
      <c r="AN38" s="548" t="s">
        <v>35</v>
      </c>
      <c r="AO38" s="548" t="s">
        <v>12283</v>
      </c>
      <c r="AP38" s="93"/>
    </row>
    <row r="39" ht="12" spans="1:42">
      <c r="A39" s="99"/>
      <c r="B39" s="99"/>
      <c r="C39" s="99"/>
      <c r="D39" s="99"/>
      <c r="E39" s="99"/>
      <c r="F39" s="99"/>
      <c r="G39" s="99"/>
      <c r="H39" s="99"/>
      <c r="I39" s="99"/>
      <c r="J39" s="99"/>
      <c r="K39" s="103" t="s">
        <v>37</v>
      </c>
      <c r="L39" s="103" t="s">
        <v>38</v>
      </c>
      <c r="M39" s="103">
        <v>1</v>
      </c>
      <c r="N39" s="103">
        <v>2</v>
      </c>
      <c r="O39" s="103">
        <v>3</v>
      </c>
      <c r="P39" s="103"/>
      <c r="Q39" s="103"/>
      <c r="R39" s="103"/>
      <c r="S39" s="103" t="s">
        <v>37</v>
      </c>
      <c r="T39" s="103" t="s">
        <v>38</v>
      </c>
      <c r="U39" s="99">
        <v>1</v>
      </c>
      <c r="V39" s="99"/>
      <c r="W39" s="99"/>
      <c r="X39" s="99"/>
      <c r="Y39" s="99"/>
      <c r="Z39" s="111"/>
      <c r="AA39" s="538"/>
      <c r="AB39" s="539"/>
      <c r="AC39" s="539"/>
      <c r="AD39" s="99"/>
      <c r="AE39" s="99"/>
      <c r="AF39" s="99"/>
      <c r="AG39" s="125"/>
      <c r="AH39" s="125"/>
      <c r="AI39" s="125"/>
      <c r="AJ39" s="220"/>
      <c r="AK39" s="549"/>
      <c r="AL39" s="549"/>
      <c r="AM39" s="549"/>
      <c r="AN39" s="549"/>
      <c r="AO39" s="560"/>
      <c r="AP39" s="93"/>
    </row>
    <row r="40" s="93" customFormat="1" ht="21.75" spans="1:61">
      <c r="A40" s="1615" t="s">
        <v>229</v>
      </c>
      <c r="B40" s="100" t="s">
        <v>12485</v>
      </c>
      <c r="C40" s="160" t="s">
        <v>12486</v>
      </c>
      <c r="D40" s="461" t="s">
        <v>12487</v>
      </c>
      <c r="E40" s="170" t="s">
        <v>12488</v>
      </c>
      <c r="F40" s="170" t="s">
        <v>43</v>
      </c>
      <c r="G40" s="102" t="s">
        <v>60</v>
      </c>
      <c r="H40" s="432" t="s">
        <v>12489</v>
      </c>
      <c r="I40" s="466" t="s">
        <v>12490</v>
      </c>
      <c r="J40" s="466"/>
      <c r="K40" s="468">
        <v>42693</v>
      </c>
      <c r="L40" s="468">
        <v>43100</v>
      </c>
      <c r="M40" s="468">
        <v>43465</v>
      </c>
      <c r="N40" s="468"/>
      <c r="O40" s="468"/>
      <c r="P40" s="468"/>
      <c r="Q40" s="468"/>
      <c r="R40" s="468"/>
      <c r="S40" s="468"/>
      <c r="T40" s="468"/>
      <c r="U40" s="468"/>
      <c r="V40" s="468"/>
      <c r="W40" s="468"/>
      <c r="X40" s="468"/>
      <c r="Y40" s="540">
        <f ca="1">SUM(M40-NOW())</f>
        <v>192.61546296296</v>
      </c>
      <c r="Z40" s="106" t="str">
        <f ca="1" t="shared" ref="Z40:Z56" si="8">IF(Y40&lt;=46,"WARNING","ACTIVE")</f>
        <v>ACTIVE</v>
      </c>
      <c r="AA40" s="207">
        <f>110%*6235815</f>
        <v>6859396.5</v>
      </c>
      <c r="AB40" s="207"/>
      <c r="AC40" s="207"/>
      <c r="AD40" s="207" t="s">
        <v>12491</v>
      </c>
      <c r="AE40" s="207" t="s">
        <v>112</v>
      </c>
      <c r="AF40" s="207" t="s">
        <v>12290</v>
      </c>
      <c r="AG40" s="432" t="s">
        <v>12492</v>
      </c>
      <c r="AH40" s="432" t="s">
        <v>12493</v>
      </c>
      <c r="AI40" s="432" t="s">
        <v>12494</v>
      </c>
      <c r="AJ40" s="122"/>
      <c r="AK40" s="432" t="s">
        <v>12495</v>
      </c>
      <c r="AL40" s="432"/>
      <c r="AM40" s="432" t="s">
        <v>12496</v>
      </c>
      <c r="AN40" s="370" t="s">
        <v>12497</v>
      </c>
      <c r="AO40" s="101"/>
      <c r="AQ40" s="556"/>
      <c r="BG40" s="564"/>
      <c r="BH40" s="564"/>
      <c r="BI40" s="565"/>
    </row>
    <row r="41" s="93" customFormat="1" ht="21" spans="1:61">
      <c r="A41" s="1615" t="s">
        <v>239</v>
      </c>
      <c r="B41" s="100" t="s">
        <v>12498</v>
      </c>
      <c r="C41" s="160" t="s">
        <v>12499</v>
      </c>
      <c r="D41" s="461" t="s">
        <v>12500</v>
      </c>
      <c r="E41" s="170" t="s">
        <v>12501</v>
      </c>
      <c r="F41" s="170" t="s">
        <v>125</v>
      </c>
      <c r="G41" s="102" t="s">
        <v>44</v>
      </c>
      <c r="H41" s="432" t="s">
        <v>12502</v>
      </c>
      <c r="I41" s="466" t="s">
        <v>12503</v>
      </c>
      <c r="J41" s="466"/>
      <c r="K41" s="468">
        <v>42736</v>
      </c>
      <c r="L41" s="468">
        <v>43100</v>
      </c>
      <c r="M41" s="468">
        <v>43465</v>
      </c>
      <c r="N41" s="468"/>
      <c r="O41" s="468"/>
      <c r="P41" s="468"/>
      <c r="Q41" s="468"/>
      <c r="R41" s="468"/>
      <c r="S41" s="468"/>
      <c r="T41" s="468"/>
      <c r="U41" s="468"/>
      <c r="V41" s="468"/>
      <c r="W41" s="468"/>
      <c r="X41" s="468"/>
      <c r="Y41" s="540">
        <f ca="1">SUM(M41-NOW())</f>
        <v>192.61546296296</v>
      </c>
      <c r="Z41" s="106" t="str">
        <f ca="1" t="shared" si="8"/>
        <v>ACTIVE</v>
      </c>
      <c r="AA41" s="207">
        <f>111%*5447077</f>
        <v>6046255.47</v>
      </c>
      <c r="AB41" s="207"/>
      <c r="AC41" s="207"/>
      <c r="AD41" s="207" t="s">
        <v>12504</v>
      </c>
      <c r="AE41" s="207" t="s">
        <v>112</v>
      </c>
      <c r="AF41" s="207" t="s">
        <v>12290</v>
      </c>
      <c r="AG41" s="432" t="s">
        <v>12505</v>
      </c>
      <c r="AH41" s="432" t="s">
        <v>12506</v>
      </c>
      <c r="AI41" s="432" t="s">
        <v>12507</v>
      </c>
      <c r="AJ41" s="122"/>
      <c r="AK41" s="432" t="s">
        <v>12508</v>
      </c>
      <c r="AL41" s="432"/>
      <c r="AM41" s="432" t="s">
        <v>12509</v>
      </c>
      <c r="AN41" s="370" t="s">
        <v>12510</v>
      </c>
      <c r="AO41" s="101"/>
      <c r="AQ41" s="556"/>
      <c r="BG41" s="564"/>
      <c r="BH41" s="564"/>
      <c r="BI41" s="565"/>
    </row>
    <row r="42" s="93" customFormat="1" ht="31.5" spans="1:43">
      <c r="A42" s="1615" t="s">
        <v>261</v>
      </c>
      <c r="B42" s="100" t="s">
        <v>12511</v>
      </c>
      <c r="C42" s="160" t="s">
        <v>12512</v>
      </c>
      <c r="D42" s="461" t="s">
        <v>12513</v>
      </c>
      <c r="E42" s="170" t="s">
        <v>12514</v>
      </c>
      <c r="F42" s="170" t="s">
        <v>125</v>
      </c>
      <c r="G42" s="102" t="s">
        <v>44</v>
      </c>
      <c r="H42" s="432" t="s">
        <v>12515</v>
      </c>
      <c r="I42" s="466" t="s">
        <v>12516</v>
      </c>
      <c r="J42" s="466" t="s">
        <v>583</v>
      </c>
      <c r="K42" s="468">
        <v>42282</v>
      </c>
      <c r="L42" s="468">
        <v>42647</v>
      </c>
      <c r="M42" s="468">
        <v>43012</v>
      </c>
      <c r="N42" s="468"/>
      <c r="O42" s="468"/>
      <c r="P42" s="468"/>
      <c r="Q42" s="468"/>
      <c r="R42" s="468"/>
      <c r="S42" s="468">
        <v>43013</v>
      </c>
      <c r="T42" s="468">
        <v>43377</v>
      </c>
      <c r="U42" s="468"/>
      <c r="V42" s="468"/>
      <c r="W42" s="468"/>
      <c r="X42" s="468"/>
      <c r="Y42" s="540">
        <f ca="1" t="shared" ref="Y42:Y53" si="9">SUM(T42-NOW())</f>
        <v>104.61546296296</v>
      </c>
      <c r="Z42" s="106" t="str">
        <f ca="1" t="shared" si="8"/>
        <v>ACTIVE</v>
      </c>
      <c r="AA42" s="207">
        <f>110%*3657690</f>
        <v>4023459</v>
      </c>
      <c r="AB42" s="207"/>
      <c r="AC42" s="207"/>
      <c r="AD42" s="207" t="s">
        <v>12517</v>
      </c>
      <c r="AE42" s="207" t="s">
        <v>112</v>
      </c>
      <c r="AF42" s="207" t="s">
        <v>12290</v>
      </c>
      <c r="AG42" s="432" t="s">
        <v>12518</v>
      </c>
      <c r="AH42" s="432" t="s">
        <v>12519</v>
      </c>
      <c r="AI42" s="432" t="s">
        <v>12520</v>
      </c>
      <c r="AJ42" s="1579" t="s">
        <v>12521</v>
      </c>
      <c r="AK42" s="432" t="s">
        <v>12522</v>
      </c>
      <c r="AL42" s="432">
        <v>0</v>
      </c>
      <c r="AM42" s="1585" t="s">
        <v>12523</v>
      </c>
      <c r="AN42" s="370" t="s">
        <v>12524</v>
      </c>
      <c r="AO42" s="101"/>
      <c r="AQ42" s="556"/>
    </row>
    <row r="43" s="93" customFormat="1" ht="31.5" spans="1:43">
      <c r="A43" s="1615" t="s">
        <v>286</v>
      </c>
      <c r="B43" s="100" t="s">
        <v>12525</v>
      </c>
      <c r="C43" s="160" t="s">
        <v>12512</v>
      </c>
      <c r="D43" s="461" t="s">
        <v>12526</v>
      </c>
      <c r="E43" s="170" t="s">
        <v>12527</v>
      </c>
      <c r="F43" s="170" t="s">
        <v>125</v>
      </c>
      <c r="G43" s="102" t="s">
        <v>404</v>
      </c>
      <c r="H43" s="432" t="s">
        <v>12515</v>
      </c>
      <c r="I43" s="466" t="s">
        <v>12516</v>
      </c>
      <c r="J43" s="466"/>
      <c r="K43" s="468">
        <v>42339</v>
      </c>
      <c r="L43" s="468">
        <v>42704</v>
      </c>
      <c r="M43" s="468">
        <v>43069</v>
      </c>
      <c r="N43" s="468"/>
      <c r="O43" s="468"/>
      <c r="P43" s="468"/>
      <c r="Q43" s="468"/>
      <c r="R43" s="468"/>
      <c r="S43" s="468">
        <v>43070</v>
      </c>
      <c r="T43" s="468">
        <v>43434</v>
      </c>
      <c r="U43" s="468"/>
      <c r="V43" s="468"/>
      <c r="W43" s="468"/>
      <c r="X43" s="468"/>
      <c r="Y43" s="540">
        <f ca="1" t="shared" si="9"/>
        <v>161.61546296296</v>
      </c>
      <c r="Z43" s="106" t="str">
        <f ca="1" t="shared" si="8"/>
        <v>ACTIVE</v>
      </c>
      <c r="AA43" s="207">
        <f>3857108*110%</f>
        <v>4242818.8</v>
      </c>
      <c r="AB43" s="207"/>
      <c r="AC43" s="207"/>
      <c r="AD43" s="207" t="s">
        <v>12528</v>
      </c>
      <c r="AE43" s="207" t="s">
        <v>112</v>
      </c>
      <c r="AF43" s="207" t="s">
        <v>12290</v>
      </c>
      <c r="AG43" s="432" t="s">
        <v>12529</v>
      </c>
      <c r="AH43" s="432" t="s">
        <v>12530</v>
      </c>
      <c r="AI43" s="432" t="s">
        <v>12531</v>
      </c>
      <c r="AJ43" s="1579" t="s">
        <v>12532</v>
      </c>
      <c r="AK43" s="432" t="s">
        <v>12533</v>
      </c>
      <c r="AL43" s="432">
        <v>10015176307</v>
      </c>
      <c r="AM43" s="432" t="s">
        <v>12534</v>
      </c>
      <c r="AN43" s="370" t="s">
        <v>12535</v>
      </c>
      <c r="AO43" s="101"/>
      <c r="AQ43" s="556"/>
    </row>
    <row r="44" s="93" customFormat="1" ht="31.5" spans="1:43">
      <c r="A44" s="1615" t="s">
        <v>296</v>
      </c>
      <c r="B44" s="100" t="s">
        <v>12536</v>
      </c>
      <c r="C44" s="160" t="s">
        <v>12537</v>
      </c>
      <c r="D44" s="461" t="s">
        <v>12538</v>
      </c>
      <c r="E44" s="170" t="s">
        <v>12539</v>
      </c>
      <c r="F44" s="170" t="s">
        <v>125</v>
      </c>
      <c r="G44" s="102" t="s">
        <v>60</v>
      </c>
      <c r="H44" s="432" t="s">
        <v>12540</v>
      </c>
      <c r="I44" s="466" t="s">
        <v>12516</v>
      </c>
      <c r="J44" s="466"/>
      <c r="K44" s="468">
        <v>42339</v>
      </c>
      <c r="L44" s="468">
        <v>42521</v>
      </c>
      <c r="M44" s="468">
        <v>42886</v>
      </c>
      <c r="N44" s="468">
        <v>43069</v>
      </c>
      <c r="O44" s="468"/>
      <c r="P44" s="468"/>
      <c r="Q44" s="468"/>
      <c r="R44" s="468"/>
      <c r="S44" s="468">
        <f>N44+1</f>
        <v>43070</v>
      </c>
      <c r="T44" s="468">
        <v>43251</v>
      </c>
      <c r="U44" s="528">
        <v>43434</v>
      </c>
      <c r="V44" s="468"/>
      <c r="W44" s="468"/>
      <c r="X44" s="468"/>
      <c r="Y44" s="540">
        <f ca="1">SUM(U44-NOW())</f>
        <v>161.61546296296</v>
      </c>
      <c r="Z44" s="106" t="str">
        <f ca="1" t="shared" si="8"/>
        <v>ACTIVE</v>
      </c>
      <c r="AA44" s="541">
        <v>10858345.3</v>
      </c>
      <c r="AB44" s="207"/>
      <c r="AC44" s="207"/>
      <c r="AD44" s="541" t="s">
        <v>12541</v>
      </c>
      <c r="AE44" s="207" t="s">
        <v>112</v>
      </c>
      <c r="AF44" s="207" t="s">
        <v>12290</v>
      </c>
      <c r="AG44" s="432" t="s">
        <v>12542</v>
      </c>
      <c r="AH44" s="432">
        <v>81213655331</v>
      </c>
      <c r="AI44" s="432" t="s">
        <v>12543</v>
      </c>
      <c r="AJ44" s="1579" t="s">
        <v>12544</v>
      </c>
      <c r="AK44" s="432" t="s">
        <v>12545</v>
      </c>
      <c r="AL44" s="432">
        <v>10024604570</v>
      </c>
      <c r="AM44" s="432" t="s">
        <v>12546</v>
      </c>
      <c r="AN44" s="370" t="s">
        <v>12547</v>
      </c>
      <c r="AO44" s="101"/>
      <c r="AQ44" s="556"/>
    </row>
    <row r="45" s="93" customFormat="1" ht="31.5" spans="1:43">
      <c r="A45" s="1615" t="s">
        <v>308</v>
      </c>
      <c r="B45" s="100" t="s">
        <v>12548</v>
      </c>
      <c r="C45" s="160" t="s">
        <v>12512</v>
      </c>
      <c r="D45" s="461" t="s">
        <v>12549</v>
      </c>
      <c r="E45" s="170" t="s">
        <v>12550</v>
      </c>
      <c r="F45" s="170" t="s">
        <v>125</v>
      </c>
      <c r="G45" s="102" t="s">
        <v>44</v>
      </c>
      <c r="H45" s="432" t="s">
        <v>12515</v>
      </c>
      <c r="I45" s="466" t="s">
        <v>12516</v>
      </c>
      <c r="J45" s="466"/>
      <c r="K45" s="468">
        <v>42360</v>
      </c>
      <c r="L45" s="468">
        <v>42735</v>
      </c>
      <c r="M45" s="468">
        <v>43100</v>
      </c>
      <c r="N45" s="468"/>
      <c r="O45" s="468"/>
      <c r="P45" s="468"/>
      <c r="Q45" s="468"/>
      <c r="R45" s="468"/>
      <c r="S45" s="468">
        <v>43101</v>
      </c>
      <c r="T45" s="468">
        <v>43465</v>
      </c>
      <c r="U45" s="468"/>
      <c r="V45" s="468"/>
      <c r="W45" s="468"/>
      <c r="X45" s="468"/>
      <c r="Y45" s="540">
        <f ca="1" t="shared" si="9"/>
        <v>192.61546296296</v>
      </c>
      <c r="Z45" s="106" t="str">
        <f ca="1" t="shared" si="8"/>
        <v>ACTIVE</v>
      </c>
      <c r="AA45" s="207">
        <f>110%*5147100</f>
        <v>5661810</v>
      </c>
      <c r="AB45" s="207"/>
      <c r="AC45" s="207"/>
      <c r="AD45" s="207" t="s">
        <v>12551</v>
      </c>
      <c r="AE45" s="207" t="s">
        <v>112</v>
      </c>
      <c r="AF45" s="207" t="s">
        <v>12290</v>
      </c>
      <c r="AG45" s="432" t="s">
        <v>12552</v>
      </c>
      <c r="AH45" s="432" t="s">
        <v>12553</v>
      </c>
      <c r="AI45" s="432" t="s">
        <v>12554</v>
      </c>
      <c r="AJ45" s="1579" t="s">
        <v>12555</v>
      </c>
      <c r="AK45" s="432" t="s">
        <v>12556</v>
      </c>
      <c r="AL45" s="432">
        <v>14041522815</v>
      </c>
      <c r="AM45" s="432" t="s">
        <v>12557</v>
      </c>
      <c r="AN45" s="370" t="s">
        <v>12558</v>
      </c>
      <c r="AO45" s="101"/>
      <c r="AP45" s="561"/>
      <c r="AQ45" s="556"/>
    </row>
    <row r="46" s="93" customFormat="1" ht="21" spans="1:43">
      <c r="A46" s="1615" t="s">
        <v>320</v>
      </c>
      <c r="B46" s="100" t="s">
        <v>12559</v>
      </c>
      <c r="C46" s="160" t="s">
        <v>12512</v>
      </c>
      <c r="D46" s="461" t="s">
        <v>12560</v>
      </c>
      <c r="E46" s="170" t="s">
        <v>12561</v>
      </c>
      <c r="F46" s="170" t="s">
        <v>125</v>
      </c>
      <c r="G46" s="102" t="s">
        <v>254</v>
      </c>
      <c r="H46" s="432" t="s">
        <v>12515</v>
      </c>
      <c r="I46" s="466" t="s">
        <v>12562</v>
      </c>
      <c r="J46" s="466" t="s">
        <v>12563</v>
      </c>
      <c r="K46" s="468">
        <v>42370</v>
      </c>
      <c r="L46" s="468">
        <v>42735</v>
      </c>
      <c r="M46" s="468">
        <v>43100</v>
      </c>
      <c r="N46" s="468"/>
      <c r="O46" s="468"/>
      <c r="P46" s="468"/>
      <c r="Q46" s="468"/>
      <c r="R46" s="468"/>
      <c r="S46" s="468">
        <v>43101</v>
      </c>
      <c r="T46" s="468">
        <v>43465</v>
      </c>
      <c r="U46" s="468"/>
      <c r="V46" s="468"/>
      <c r="W46" s="468"/>
      <c r="X46" s="468"/>
      <c r="Y46" s="540">
        <f ca="1" t="shared" si="9"/>
        <v>192.61546296296</v>
      </c>
      <c r="Z46" s="106" t="str">
        <f ca="1" t="shared" si="8"/>
        <v>ACTIVE</v>
      </c>
      <c r="AA46" s="207">
        <f>110%*4853453</f>
        <v>5338798.3</v>
      </c>
      <c r="AB46" s="207"/>
      <c r="AC46" s="207"/>
      <c r="AD46" s="207" t="s">
        <v>12564</v>
      </c>
      <c r="AE46" s="207" t="s">
        <v>112</v>
      </c>
      <c r="AF46" s="207" t="s">
        <v>12290</v>
      </c>
      <c r="AG46" s="432" t="s">
        <v>12565</v>
      </c>
      <c r="AH46" s="432">
        <v>81330550332</v>
      </c>
      <c r="AI46" s="432" t="s">
        <v>12566</v>
      </c>
      <c r="AJ46" s="1579" t="s">
        <v>12567</v>
      </c>
      <c r="AK46" s="432" t="s">
        <v>12568</v>
      </c>
      <c r="AL46" s="432" t="s">
        <v>12569</v>
      </c>
      <c r="AM46" s="432" t="s">
        <v>12570</v>
      </c>
      <c r="AN46" s="370" t="s">
        <v>12571</v>
      </c>
      <c r="AO46" s="101"/>
      <c r="AQ46" s="556"/>
    </row>
    <row r="47" s="93" customFormat="1" ht="21" spans="1:43">
      <c r="A47" s="1615" t="s">
        <v>333</v>
      </c>
      <c r="B47" s="100" t="s">
        <v>12572</v>
      </c>
      <c r="C47" s="160" t="s">
        <v>12512</v>
      </c>
      <c r="D47" s="461" t="s">
        <v>12573</v>
      </c>
      <c r="E47" s="170" t="s">
        <v>12574</v>
      </c>
      <c r="F47" s="170" t="s">
        <v>125</v>
      </c>
      <c r="G47" s="102" t="s">
        <v>254</v>
      </c>
      <c r="H47" s="432" t="s">
        <v>12515</v>
      </c>
      <c r="I47" s="466" t="s">
        <v>12562</v>
      </c>
      <c r="J47" s="466" t="s">
        <v>12563</v>
      </c>
      <c r="K47" s="468">
        <v>42370</v>
      </c>
      <c r="L47" s="468">
        <v>42735</v>
      </c>
      <c r="M47" s="468">
        <v>43100</v>
      </c>
      <c r="N47" s="468"/>
      <c r="O47" s="468"/>
      <c r="P47" s="468"/>
      <c r="Q47" s="468"/>
      <c r="R47" s="468"/>
      <c r="S47" s="468">
        <v>43101</v>
      </c>
      <c r="T47" s="468">
        <v>43465</v>
      </c>
      <c r="U47" s="468"/>
      <c r="V47" s="468"/>
      <c r="W47" s="468"/>
      <c r="X47" s="468"/>
      <c r="Y47" s="540">
        <f ca="1" t="shared" si="9"/>
        <v>192.61546296296</v>
      </c>
      <c r="Z47" s="106" t="str">
        <f ca="1" t="shared" si="8"/>
        <v>ACTIVE</v>
      </c>
      <c r="AA47" s="207">
        <f>10212077*110%</f>
        <v>11233284.7</v>
      </c>
      <c r="AB47" s="207"/>
      <c r="AC47" s="207"/>
      <c r="AD47" s="207" t="s">
        <v>12575</v>
      </c>
      <c r="AE47" s="207" t="s">
        <v>112</v>
      </c>
      <c r="AF47" s="207" t="s">
        <v>12290</v>
      </c>
      <c r="AG47" s="432" t="s">
        <v>12576</v>
      </c>
      <c r="AH47" s="432">
        <v>81295283199</v>
      </c>
      <c r="AI47" s="432" t="s">
        <v>12577</v>
      </c>
      <c r="AJ47" s="1579" t="s">
        <v>12578</v>
      </c>
      <c r="AK47" s="432" t="s">
        <v>12579</v>
      </c>
      <c r="AL47" s="432" t="s">
        <v>12580</v>
      </c>
      <c r="AM47" s="432" t="s">
        <v>12581</v>
      </c>
      <c r="AN47" s="370" t="s">
        <v>12582</v>
      </c>
      <c r="AO47" s="101"/>
      <c r="AQ47" s="556"/>
    </row>
    <row r="48" s="93" customFormat="1" ht="21" spans="1:43">
      <c r="A48" s="1615" t="s">
        <v>346</v>
      </c>
      <c r="B48" s="100" t="s">
        <v>12583</v>
      </c>
      <c r="C48" s="160" t="s">
        <v>12584</v>
      </c>
      <c r="D48" s="461" t="s">
        <v>12585</v>
      </c>
      <c r="E48" s="170" t="s">
        <v>12586</v>
      </c>
      <c r="F48" s="170" t="s">
        <v>43</v>
      </c>
      <c r="G48" s="102" t="s">
        <v>96</v>
      </c>
      <c r="H48" s="432" t="s">
        <v>9457</v>
      </c>
      <c r="I48" s="466" t="s">
        <v>12562</v>
      </c>
      <c r="J48" s="466" t="s">
        <v>12563</v>
      </c>
      <c r="K48" s="468">
        <v>42370</v>
      </c>
      <c r="L48" s="468">
        <v>42735</v>
      </c>
      <c r="M48" s="468">
        <v>43100</v>
      </c>
      <c r="N48" s="468"/>
      <c r="O48" s="468"/>
      <c r="P48" s="468"/>
      <c r="Q48" s="468"/>
      <c r="R48" s="468"/>
      <c r="S48" s="468">
        <v>43101</v>
      </c>
      <c r="T48" s="468">
        <v>43465</v>
      </c>
      <c r="U48" s="468"/>
      <c r="V48" s="468"/>
      <c r="W48" s="468"/>
      <c r="X48" s="468"/>
      <c r="Y48" s="540">
        <f ca="1" t="shared" si="9"/>
        <v>192.61546296296</v>
      </c>
      <c r="Z48" s="106" t="str">
        <f ca="1" t="shared" si="8"/>
        <v>ACTIVE</v>
      </c>
      <c r="AA48" s="207">
        <f>108.5%*14859686</f>
        <v>16122759.31</v>
      </c>
      <c r="AB48" s="207"/>
      <c r="AC48" s="207"/>
      <c r="AD48" s="207" t="s">
        <v>12587</v>
      </c>
      <c r="AE48" s="207" t="s">
        <v>112</v>
      </c>
      <c r="AF48" s="207" t="s">
        <v>12290</v>
      </c>
      <c r="AG48" s="432" t="s">
        <v>12588</v>
      </c>
      <c r="AH48" s="432">
        <v>82123412578</v>
      </c>
      <c r="AI48" s="432" t="s">
        <v>12589</v>
      </c>
      <c r="AJ48" s="1579" t="s">
        <v>12590</v>
      </c>
      <c r="AK48" s="432" t="s">
        <v>12591</v>
      </c>
      <c r="AL48" s="432" t="s">
        <v>12592</v>
      </c>
      <c r="AM48" s="1585" t="s">
        <v>12593</v>
      </c>
      <c r="AN48" s="370" t="s">
        <v>12594</v>
      </c>
      <c r="AO48" s="101"/>
      <c r="AQ48" s="556"/>
    </row>
    <row r="49" s="93" customFormat="1" ht="21" spans="1:43">
      <c r="A49" s="1615" t="s">
        <v>357</v>
      </c>
      <c r="B49" s="100" t="s">
        <v>12595</v>
      </c>
      <c r="C49" s="160" t="s">
        <v>12512</v>
      </c>
      <c r="D49" s="461" t="s">
        <v>12596</v>
      </c>
      <c r="E49" s="170" t="s">
        <v>12597</v>
      </c>
      <c r="F49" s="170" t="s">
        <v>125</v>
      </c>
      <c r="G49" s="102" t="s">
        <v>880</v>
      </c>
      <c r="H49" s="432" t="s">
        <v>12515</v>
      </c>
      <c r="I49" s="466" t="s">
        <v>12562</v>
      </c>
      <c r="J49" s="466" t="s">
        <v>12563</v>
      </c>
      <c r="K49" s="468">
        <v>42370</v>
      </c>
      <c r="L49" s="468">
        <v>42735</v>
      </c>
      <c r="M49" s="468">
        <v>43100</v>
      </c>
      <c r="N49" s="468"/>
      <c r="O49" s="468"/>
      <c r="P49" s="468"/>
      <c r="Q49" s="468"/>
      <c r="R49" s="468"/>
      <c r="S49" s="468">
        <v>43101</v>
      </c>
      <c r="T49" s="468">
        <v>43465</v>
      </c>
      <c r="U49" s="468"/>
      <c r="V49" s="468"/>
      <c r="W49" s="468"/>
      <c r="X49" s="468"/>
      <c r="Y49" s="540">
        <f ca="1" t="shared" si="9"/>
        <v>192.61546296296</v>
      </c>
      <c r="Z49" s="106" t="str">
        <f ca="1" t="shared" si="8"/>
        <v>ACTIVE</v>
      </c>
      <c r="AA49" s="207">
        <f>110%*5227664</f>
        <v>5750430.4</v>
      </c>
      <c r="AB49" s="207"/>
      <c r="AC49" s="207"/>
      <c r="AD49" s="207" t="s">
        <v>12598</v>
      </c>
      <c r="AE49" s="207" t="s">
        <v>112</v>
      </c>
      <c r="AF49" s="207" t="s">
        <v>12290</v>
      </c>
      <c r="AG49" s="432" t="s">
        <v>12599</v>
      </c>
      <c r="AH49" s="432">
        <v>85710070347</v>
      </c>
      <c r="AI49" s="432" t="s">
        <v>12600</v>
      </c>
      <c r="AJ49" s="122"/>
      <c r="AK49" s="432" t="s">
        <v>12601</v>
      </c>
      <c r="AL49" s="432">
        <v>12026655717</v>
      </c>
      <c r="AM49" s="432" t="s">
        <v>12602</v>
      </c>
      <c r="AN49" s="370" t="s">
        <v>12603</v>
      </c>
      <c r="AO49" s="101"/>
      <c r="AQ49" s="556"/>
    </row>
    <row r="50" s="93" customFormat="1" ht="21" spans="1:43">
      <c r="A50" s="1615" t="s">
        <v>369</v>
      </c>
      <c r="B50" s="100" t="s">
        <v>12604</v>
      </c>
      <c r="C50" s="160" t="s">
        <v>12512</v>
      </c>
      <c r="D50" s="461" t="s">
        <v>12605</v>
      </c>
      <c r="E50" s="170" t="s">
        <v>12606</v>
      </c>
      <c r="F50" s="170" t="s">
        <v>125</v>
      </c>
      <c r="G50" s="102" t="s">
        <v>254</v>
      </c>
      <c r="H50" s="432" t="s">
        <v>12515</v>
      </c>
      <c r="I50" s="466" t="s">
        <v>12562</v>
      </c>
      <c r="J50" s="466" t="s">
        <v>12563</v>
      </c>
      <c r="K50" s="468">
        <v>42370</v>
      </c>
      <c r="L50" s="468">
        <v>42735</v>
      </c>
      <c r="M50" s="468">
        <v>43100</v>
      </c>
      <c r="N50" s="468"/>
      <c r="O50" s="468"/>
      <c r="P50" s="468"/>
      <c r="Q50" s="468"/>
      <c r="R50" s="468"/>
      <c r="S50" s="468">
        <v>43101</v>
      </c>
      <c r="T50" s="468">
        <v>43465</v>
      </c>
      <c r="U50" s="468"/>
      <c r="V50" s="468"/>
      <c r="W50" s="468"/>
      <c r="X50" s="468"/>
      <c r="Y50" s="540">
        <f ca="1" t="shared" si="9"/>
        <v>192.61546296296</v>
      </c>
      <c r="Z50" s="106" t="str">
        <f ca="1" t="shared" si="8"/>
        <v>ACTIVE</v>
      </c>
      <c r="AA50" s="207">
        <f>110%*4524047</f>
        <v>4976451.7</v>
      </c>
      <c r="AB50" s="207"/>
      <c r="AC50" s="207"/>
      <c r="AD50" s="207" t="s">
        <v>12607</v>
      </c>
      <c r="AE50" s="207" t="s">
        <v>112</v>
      </c>
      <c r="AF50" s="207" t="s">
        <v>12290</v>
      </c>
      <c r="AG50" s="432" t="s">
        <v>12608</v>
      </c>
      <c r="AH50" s="432">
        <v>8174192465</v>
      </c>
      <c r="AI50" s="432" t="s">
        <v>12609</v>
      </c>
      <c r="AJ50" s="1579" t="s">
        <v>12610</v>
      </c>
      <c r="AK50" s="432" t="s">
        <v>12611</v>
      </c>
      <c r="AL50" s="432">
        <v>12026655709</v>
      </c>
      <c r="AM50" s="432" t="s">
        <v>12612</v>
      </c>
      <c r="AN50" s="370" t="s">
        <v>12613</v>
      </c>
      <c r="AO50" s="101"/>
      <c r="AQ50" s="556"/>
    </row>
    <row r="51" s="93" customFormat="1" ht="21" spans="1:43">
      <c r="A51" s="1615" t="s">
        <v>381</v>
      </c>
      <c r="B51" s="100" t="s">
        <v>12614</v>
      </c>
      <c r="C51" s="160" t="s">
        <v>12512</v>
      </c>
      <c r="D51" s="461" t="s">
        <v>12615</v>
      </c>
      <c r="E51" s="170" t="s">
        <v>12616</v>
      </c>
      <c r="F51" s="170" t="s">
        <v>125</v>
      </c>
      <c r="G51" s="102" t="s">
        <v>60</v>
      </c>
      <c r="H51" s="432" t="s">
        <v>12515</v>
      </c>
      <c r="I51" s="466" t="s">
        <v>12562</v>
      </c>
      <c r="J51" s="466" t="s">
        <v>12563</v>
      </c>
      <c r="K51" s="468">
        <v>42370</v>
      </c>
      <c r="L51" s="468">
        <v>42735</v>
      </c>
      <c r="M51" s="468">
        <v>43100</v>
      </c>
      <c r="N51" s="468"/>
      <c r="O51" s="468"/>
      <c r="P51" s="468"/>
      <c r="Q51" s="468"/>
      <c r="R51" s="468"/>
      <c r="S51" s="468">
        <v>43101</v>
      </c>
      <c r="T51" s="468">
        <v>43465</v>
      </c>
      <c r="U51" s="468"/>
      <c r="V51" s="468"/>
      <c r="W51" s="468"/>
      <c r="X51" s="468"/>
      <c r="Y51" s="540">
        <f ca="1" t="shared" si="9"/>
        <v>192.61546296296</v>
      </c>
      <c r="Z51" s="106" t="str">
        <f ca="1" t="shared" si="8"/>
        <v>ACTIVE</v>
      </c>
      <c r="AA51" s="207">
        <f>110%*5592306</f>
        <v>6151536.6</v>
      </c>
      <c r="AB51" s="207"/>
      <c r="AC51" s="207"/>
      <c r="AD51" s="207" t="s">
        <v>12617</v>
      </c>
      <c r="AE51" s="207" t="s">
        <v>112</v>
      </c>
      <c r="AF51" s="207" t="s">
        <v>12290</v>
      </c>
      <c r="AG51" s="432" t="s">
        <v>12618</v>
      </c>
      <c r="AH51" s="432" t="s">
        <v>12619</v>
      </c>
      <c r="AI51" s="432" t="s">
        <v>12620</v>
      </c>
      <c r="AJ51" s="1579" t="s">
        <v>12621</v>
      </c>
      <c r="AK51" s="432" t="s">
        <v>12622</v>
      </c>
      <c r="AL51" s="432" t="s">
        <v>12623</v>
      </c>
      <c r="AM51" s="432" t="s">
        <v>12624</v>
      </c>
      <c r="AN51" s="370" t="s">
        <v>12625</v>
      </c>
      <c r="AO51" s="101"/>
      <c r="AP51" s="557"/>
      <c r="AQ51" s="556"/>
    </row>
    <row r="52" s="93" customFormat="1" ht="21" spans="1:43">
      <c r="A52" s="1615" t="s">
        <v>390</v>
      </c>
      <c r="B52" s="100" t="s">
        <v>12626</v>
      </c>
      <c r="C52" s="160" t="s">
        <v>12512</v>
      </c>
      <c r="D52" s="461" t="s">
        <v>12627</v>
      </c>
      <c r="E52" s="170" t="s">
        <v>12628</v>
      </c>
      <c r="F52" s="170" t="s">
        <v>125</v>
      </c>
      <c r="G52" s="102" t="s">
        <v>60</v>
      </c>
      <c r="H52" s="432" t="s">
        <v>12515</v>
      </c>
      <c r="I52" s="466" t="s">
        <v>12562</v>
      </c>
      <c r="J52" s="466" t="s">
        <v>12563</v>
      </c>
      <c r="K52" s="468">
        <v>42370</v>
      </c>
      <c r="L52" s="468">
        <v>42735</v>
      </c>
      <c r="M52" s="468">
        <v>43100</v>
      </c>
      <c r="N52" s="468"/>
      <c r="O52" s="468"/>
      <c r="P52" s="468"/>
      <c r="Q52" s="468"/>
      <c r="R52" s="468"/>
      <c r="S52" s="468">
        <v>43101</v>
      </c>
      <c r="T52" s="468">
        <v>43465</v>
      </c>
      <c r="U52" s="468"/>
      <c r="V52" s="468"/>
      <c r="W52" s="468"/>
      <c r="X52" s="468"/>
      <c r="Y52" s="540">
        <f ca="1" t="shared" si="9"/>
        <v>192.61546296296</v>
      </c>
      <c r="Z52" s="106" t="str">
        <f ca="1" t="shared" si="8"/>
        <v>ACTIVE</v>
      </c>
      <c r="AA52" s="207">
        <f>110%*4493246</f>
        <v>4942570.6</v>
      </c>
      <c r="AB52" s="207"/>
      <c r="AC52" s="207"/>
      <c r="AD52" s="207" t="s">
        <v>12629</v>
      </c>
      <c r="AE52" s="207" t="s">
        <v>112</v>
      </c>
      <c r="AF52" s="207" t="s">
        <v>12290</v>
      </c>
      <c r="AG52" s="432" t="s">
        <v>12630</v>
      </c>
      <c r="AH52" s="432" t="s">
        <v>12631</v>
      </c>
      <c r="AI52" s="432" t="s">
        <v>12632</v>
      </c>
      <c r="AJ52" s="1579" t="s">
        <v>12633</v>
      </c>
      <c r="AK52" s="432" t="s">
        <v>12634</v>
      </c>
      <c r="AL52" s="432" t="s">
        <v>12635</v>
      </c>
      <c r="AM52" s="432" t="s">
        <v>12636</v>
      </c>
      <c r="AN52" s="370" t="s">
        <v>12637</v>
      </c>
      <c r="AO52" s="101"/>
      <c r="AQ52" s="556"/>
    </row>
    <row r="53" s="93" customFormat="1" ht="31.5" spans="1:43">
      <c r="A53" s="1615" t="s">
        <v>400</v>
      </c>
      <c r="B53" s="100" t="s">
        <v>12638</v>
      </c>
      <c r="C53" s="160" t="s">
        <v>12512</v>
      </c>
      <c r="D53" s="461" t="s">
        <v>12639</v>
      </c>
      <c r="E53" s="170" t="s">
        <v>12640</v>
      </c>
      <c r="F53" s="170" t="s">
        <v>125</v>
      </c>
      <c r="G53" s="102" t="s">
        <v>44</v>
      </c>
      <c r="H53" s="432" t="s">
        <v>12641</v>
      </c>
      <c r="I53" s="466" t="s">
        <v>12562</v>
      </c>
      <c r="J53" s="466" t="s">
        <v>12563</v>
      </c>
      <c r="K53" s="468">
        <v>42370</v>
      </c>
      <c r="L53" s="468">
        <v>42735</v>
      </c>
      <c r="M53" s="468">
        <v>43100</v>
      </c>
      <c r="N53" s="468"/>
      <c r="O53" s="468"/>
      <c r="P53" s="468"/>
      <c r="Q53" s="468"/>
      <c r="R53" s="468"/>
      <c r="S53" s="468">
        <v>43101</v>
      </c>
      <c r="T53" s="468">
        <v>43465</v>
      </c>
      <c r="U53" s="468"/>
      <c r="V53" s="468"/>
      <c r="W53" s="468"/>
      <c r="X53" s="468"/>
      <c r="Y53" s="540">
        <f ca="1" t="shared" si="9"/>
        <v>192.61546296296</v>
      </c>
      <c r="Z53" s="106" t="str">
        <f ca="1" t="shared" si="8"/>
        <v>ACTIVE</v>
      </c>
      <c r="AA53" s="207">
        <f>110%*5358000</f>
        <v>5893800</v>
      </c>
      <c r="AB53" s="207"/>
      <c r="AC53" s="207"/>
      <c r="AD53" s="207" t="s">
        <v>12642</v>
      </c>
      <c r="AE53" s="207" t="s">
        <v>112</v>
      </c>
      <c r="AF53" s="207" t="s">
        <v>12290</v>
      </c>
      <c r="AG53" s="432" t="s">
        <v>12643</v>
      </c>
      <c r="AH53" s="432" t="s">
        <v>12644</v>
      </c>
      <c r="AI53" s="432" t="s">
        <v>12645</v>
      </c>
      <c r="AJ53" s="1579" t="s">
        <v>12646</v>
      </c>
      <c r="AK53" s="432" t="s">
        <v>12647</v>
      </c>
      <c r="AL53" s="432" t="s">
        <v>12648</v>
      </c>
      <c r="AM53" s="432" t="s">
        <v>3272</v>
      </c>
      <c r="AN53" s="370" t="s">
        <v>12649</v>
      </c>
      <c r="AO53" s="101"/>
      <c r="AQ53" s="556"/>
    </row>
    <row r="54" s="93" customFormat="1" ht="31.5" spans="1:43">
      <c r="A54" s="1615" t="s">
        <v>411</v>
      </c>
      <c r="B54" s="100" t="s">
        <v>12650</v>
      </c>
      <c r="C54" s="160" t="s">
        <v>12651</v>
      </c>
      <c r="D54" s="461" t="s">
        <v>12652</v>
      </c>
      <c r="E54" s="170" t="s">
        <v>12653</v>
      </c>
      <c r="F54" s="170" t="s">
        <v>125</v>
      </c>
      <c r="G54" s="102" t="s">
        <v>60</v>
      </c>
      <c r="H54" s="432" t="s">
        <v>12654</v>
      </c>
      <c r="I54" s="466" t="s">
        <v>12562</v>
      </c>
      <c r="J54" s="466" t="s">
        <v>12563</v>
      </c>
      <c r="K54" s="468">
        <v>42389</v>
      </c>
      <c r="L54" s="468">
        <v>42754</v>
      </c>
      <c r="M54" s="468">
        <v>43119</v>
      </c>
      <c r="N54" s="468"/>
      <c r="O54" s="468"/>
      <c r="P54" s="468"/>
      <c r="Q54" s="468"/>
      <c r="R54" s="468"/>
      <c r="S54" s="468">
        <v>43120</v>
      </c>
      <c r="T54" s="468">
        <v>43484</v>
      </c>
      <c r="U54" s="468"/>
      <c r="V54" s="468"/>
      <c r="W54" s="468"/>
      <c r="X54" s="468"/>
      <c r="Y54" s="540">
        <f ca="1" t="shared" ref="Y54:Y61" si="10">SUM(T54-NOW())</f>
        <v>211.61546296296</v>
      </c>
      <c r="Z54" s="106" t="str">
        <f ca="1" t="shared" si="8"/>
        <v>ACTIVE</v>
      </c>
      <c r="AA54" s="207">
        <f>7100997*110%</f>
        <v>7811096.7</v>
      </c>
      <c r="AB54" s="207"/>
      <c r="AC54" s="207"/>
      <c r="AD54" s="207" t="s">
        <v>12655</v>
      </c>
      <c r="AE54" s="207" t="s">
        <v>112</v>
      </c>
      <c r="AF54" s="207" t="s">
        <v>12290</v>
      </c>
      <c r="AG54" s="432" t="s">
        <v>12656</v>
      </c>
      <c r="AH54" s="432">
        <v>81311328887</v>
      </c>
      <c r="AI54" s="432" t="s">
        <v>12657</v>
      </c>
      <c r="AJ54" s="1579" t="s">
        <v>12658</v>
      </c>
      <c r="AK54" s="432" t="s">
        <v>12659</v>
      </c>
      <c r="AL54" s="432" t="s">
        <v>12660</v>
      </c>
      <c r="AM54" s="432" t="s">
        <v>12661</v>
      </c>
      <c r="AN54" s="370" t="s">
        <v>12662</v>
      </c>
      <c r="AO54" s="101"/>
      <c r="AQ54" s="556"/>
    </row>
    <row r="55" s="93" customFormat="1" ht="42" spans="1:43">
      <c r="A55" s="1615" t="s">
        <v>424</v>
      </c>
      <c r="B55" s="100" t="s">
        <v>12663</v>
      </c>
      <c r="C55" s="160" t="s">
        <v>12512</v>
      </c>
      <c r="D55" s="461" t="s">
        <v>12664</v>
      </c>
      <c r="E55" s="170" t="s">
        <v>12665</v>
      </c>
      <c r="F55" s="170" t="s">
        <v>125</v>
      </c>
      <c r="G55" s="102" t="s">
        <v>60</v>
      </c>
      <c r="H55" s="432" t="s">
        <v>12515</v>
      </c>
      <c r="I55" s="466" t="s">
        <v>12562</v>
      </c>
      <c r="J55" s="466" t="s">
        <v>12563</v>
      </c>
      <c r="K55" s="468">
        <v>42395</v>
      </c>
      <c r="L55" s="468">
        <v>42760</v>
      </c>
      <c r="M55" s="468">
        <v>43125</v>
      </c>
      <c r="N55" s="468"/>
      <c r="O55" s="468"/>
      <c r="P55" s="468"/>
      <c r="Q55" s="468"/>
      <c r="R55" s="468"/>
      <c r="S55" s="468">
        <v>43126</v>
      </c>
      <c r="T55" s="468">
        <v>43490</v>
      </c>
      <c r="U55" s="468"/>
      <c r="V55" s="468"/>
      <c r="W55" s="468"/>
      <c r="X55" s="468"/>
      <c r="Y55" s="540">
        <f ca="1" t="shared" si="10"/>
        <v>217.61546296296</v>
      </c>
      <c r="Z55" s="106" t="str">
        <f ca="1" t="shared" si="8"/>
        <v>ACTIVE</v>
      </c>
      <c r="AA55" s="207">
        <f>110%*3871211</f>
        <v>4258332.1</v>
      </c>
      <c r="AB55" s="207"/>
      <c r="AC55" s="207"/>
      <c r="AD55" s="207" t="s">
        <v>12666</v>
      </c>
      <c r="AE55" s="207" t="s">
        <v>112</v>
      </c>
      <c r="AF55" s="207" t="s">
        <v>12290</v>
      </c>
      <c r="AG55" s="432" t="s">
        <v>12667</v>
      </c>
      <c r="AH55" s="432" t="s">
        <v>12668</v>
      </c>
      <c r="AI55" s="432" t="s">
        <v>12669</v>
      </c>
      <c r="AJ55" s="1579" t="s">
        <v>12670</v>
      </c>
      <c r="AK55" s="432" t="s">
        <v>12671</v>
      </c>
      <c r="AL55" s="432">
        <v>11003559132</v>
      </c>
      <c r="AM55" s="1577" t="s">
        <v>12672</v>
      </c>
      <c r="AN55" s="370" t="s">
        <v>12673</v>
      </c>
      <c r="AO55" s="101"/>
      <c r="AQ55" s="556"/>
    </row>
    <row r="56" s="93" customFormat="1" ht="21" spans="1:43">
      <c r="A56" s="1615" t="s">
        <v>438</v>
      </c>
      <c r="B56" s="100" t="s">
        <v>12674</v>
      </c>
      <c r="C56" s="160" t="s">
        <v>12512</v>
      </c>
      <c r="D56" s="461" t="s">
        <v>12675</v>
      </c>
      <c r="E56" s="170" t="s">
        <v>12676</v>
      </c>
      <c r="F56" s="170" t="s">
        <v>125</v>
      </c>
      <c r="G56" s="102" t="s">
        <v>254</v>
      </c>
      <c r="H56" s="432" t="s">
        <v>12515</v>
      </c>
      <c r="I56" s="466" t="s">
        <v>12677</v>
      </c>
      <c r="J56" s="531">
        <v>40026</v>
      </c>
      <c r="K56" s="468">
        <v>42429</v>
      </c>
      <c r="L56" s="468">
        <v>42794</v>
      </c>
      <c r="M56" s="468">
        <v>43159</v>
      </c>
      <c r="N56" s="468"/>
      <c r="O56" s="468"/>
      <c r="P56" s="468"/>
      <c r="Q56" s="468"/>
      <c r="R56" s="468"/>
      <c r="S56" s="468">
        <v>43160</v>
      </c>
      <c r="T56" s="534">
        <v>43524</v>
      </c>
      <c r="U56" s="468"/>
      <c r="V56" s="468"/>
      <c r="W56" s="468"/>
      <c r="X56" s="468"/>
      <c r="Y56" s="540">
        <f ca="1" t="shared" si="10"/>
        <v>251.61546296296</v>
      </c>
      <c r="Z56" s="106" t="str">
        <f ca="1" t="shared" si="8"/>
        <v>ACTIVE</v>
      </c>
      <c r="AA56" s="541">
        <f>110%*4524559.6</f>
        <v>4977015.56</v>
      </c>
      <c r="AB56" s="207"/>
      <c r="AC56" s="207"/>
      <c r="AD56" s="207" t="s">
        <v>12678</v>
      </c>
      <c r="AE56" s="207" t="s">
        <v>112</v>
      </c>
      <c r="AF56" s="207" t="s">
        <v>12290</v>
      </c>
      <c r="AG56" s="432" t="s">
        <v>12679</v>
      </c>
      <c r="AH56" s="432" t="s">
        <v>12680</v>
      </c>
      <c r="AI56" s="432" t="s">
        <v>12681</v>
      </c>
      <c r="AJ56" s="1579" t="s">
        <v>12682</v>
      </c>
      <c r="AK56" s="432" t="s">
        <v>12683</v>
      </c>
      <c r="AL56" s="432" t="s">
        <v>12684</v>
      </c>
      <c r="AM56" s="432" t="s">
        <v>12685</v>
      </c>
      <c r="AN56" s="370" t="s">
        <v>12686</v>
      </c>
      <c r="AO56" s="101"/>
      <c r="AQ56" s="556"/>
    </row>
    <row r="57" s="93" customFormat="1" ht="21" spans="1:41">
      <c r="A57" s="1615" t="s">
        <v>450</v>
      </c>
      <c r="B57" s="100" t="s">
        <v>12687</v>
      </c>
      <c r="C57" s="160" t="s">
        <v>12512</v>
      </c>
      <c r="D57" s="461" t="s">
        <v>12688</v>
      </c>
      <c r="E57" s="170" t="s">
        <v>12689</v>
      </c>
      <c r="F57" s="170" t="s">
        <v>125</v>
      </c>
      <c r="G57" s="102" t="s">
        <v>254</v>
      </c>
      <c r="H57" s="432" t="s">
        <v>12515</v>
      </c>
      <c r="I57" s="466" t="s">
        <v>12677</v>
      </c>
      <c r="J57" s="531">
        <v>40026</v>
      </c>
      <c r="K57" s="468">
        <v>42429</v>
      </c>
      <c r="L57" s="468">
        <v>42794</v>
      </c>
      <c r="M57" s="468">
        <v>43159</v>
      </c>
      <c r="N57" s="468"/>
      <c r="O57" s="468"/>
      <c r="P57" s="468"/>
      <c r="Q57" s="468"/>
      <c r="R57" s="468"/>
      <c r="S57" s="468">
        <v>43160</v>
      </c>
      <c r="T57" s="534">
        <v>43524</v>
      </c>
      <c r="U57" s="468"/>
      <c r="V57" s="468"/>
      <c r="W57" s="468"/>
      <c r="X57" s="468"/>
      <c r="Y57" s="540">
        <f ca="1" t="shared" si="10"/>
        <v>251.61546296296</v>
      </c>
      <c r="Z57" s="106" t="str">
        <f ca="1" t="shared" ref="Z57:Z61" si="11">IF(Y57&lt;=46,"WARNING","ACTIVE")</f>
        <v>ACTIVE</v>
      </c>
      <c r="AA57" s="541">
        <f>110%*4991306.1</f>
        <v>5490436.71</v>
      </c>
      <c r="AB57" s="207"/>
      <c r="AC57" s="207"/>
      <c r="AD57" s="207" t="s">
        <v>12690</v>
      </c>
      <c r="AE57" s="207" t="s">
        <v>112</v>
      </c>
      <c r="AF57" s="207" t="s">
        <v>12290</v>
      </c>
      <c r="AG57" s="432" t="s">
        <v>12691</v>
      </c>
      <c r="AH57" s="432" t="s">
        <v>12692</v>
      </c>
      <c r="AI57" s="432" t="s">
        <v>12693</v>
      </c>
      <c r="AJ57" s="1579" t="s">
        <v>12694</v>
      </c>
      <c r="AK57" s="432" t="s">
        <v>12695</v>
      </c>
      <c r="AL57" s="432"/>
      <c r="AM57" s="432" t="s">
        <v>12696</v>
      </c>
      <c r="AN57" s="370" t="s">
        <v>12697</v>
      </c>
      <c r="AO57" s="101"/>
    </row>
    <row r="58" s="93" customFormat="1" ht="21" spans="1:41">
      <c r="A58" s="1615" t="s">
        <v>463</v>
      </c>
      <c r="B58" s="100" t="s">
        <v>12698</v>
      </c>
      <c r="C58" s="160" t="s">
        <v>12512</v>
      </c>
      <c r="D58" s="461" t="s">
        <v>12699</v>
      </c>
      <c r="E58" s="170" t="s">
        <v>12700</v>
      </c>
      <c r="F58" s="170" t="s">
        <v>125</v>
      </c>
      <c r="G58" s="102" t="s">
        <v>60</v>
      </c>
      <c r="H58" s="432" t="s">
        <v>12701</v>
      </c>
      <c r="I58" s="466" t="s">
        <v>12677</v>
      </c>
      <c r="J58" s="531">
        <v>41124</v>
      </c>
      <c r="K58" s="468">
        <v>42429</v>
      </c>
      <c r="L58" s="468">
        <v>42794</v>
      </c>
      <c r="M58" s="468">
        <v>43159</v>
      </c>
      <c r="N58" s="468"/>
      <c r="O58" s="468"/>
      <c r="P58" s="468"/>
      <c r="Q58" s="468"/>
      <c r="R58" s="468"/>
      <c r="S58" s="468">
        <v>43160</v>
      </c>
      <c r="T58" s="468">
        <v>43524</v>
      </c>
      <c r="U58" s="468"/>
      <c r="V58" s="468"/>
      <c r="W58" s="468"/>
      <c r="X58" s="468"/>
      <c r="Y58" s="540">
        <f ca="1" t="shared" si="10"/>
        <v>251.61546296296</v>
      </c>
      <c r="Z58" s="106" t="str">
        <f ca="1" t="shared" si="11"/>
        <v>ACTIVE</v>
      </c>
      <c r="AA58" s="207">
        <f>13625209*112%</f>
        <v>15260234.08</v>
      </c>
      <c r="AB58" s="207"/>
      <c r="AC58" s="207"/>
      <c r="AD58" s="207" t="s">
        <v>12702</v>
      </c>
      <c r="AE58" s="207" t="s">
        <v>112</v>
      </c>
      <c r="AF58" s="207" t="s">
        <v>12290</v>
      </c>
      <c r="AG58" s="432" t="s">
        <v>12703</v>
      </c>
      <c r="AH58" s="432" t="s">
        <v>12704</v>
      </c>
      <c r="AI58" s="432" t="s">
        <v>12705</v>
      </c>
      <c r="AJ58" s="1579" t="s">
        <v>12706</v>
      </c>
      <c r="AK58" s="432" t="s">
        <v>12707</v>
      </c>
      <c r="AL58" s="432">
        <v>12045141186</v>
      </c>
      <c r="AM58" s="432" t="s">
        <v>12708</v>
      </c>
      <c r="AN58" s="370" t="s">
        <v>12709</v>
      </c>
      <c r="AO58" s="101"/>
    </row>
    <row r="59" s="93" customFormat="1" ht="21" spans="1:41">
      <c r="A59" s="1615" t="s">
        <v>473</v>
      </c>
      <c r="B59" s="100" t="s">
        <v>12710</v>
      </c>
      <c r="C59" s="160">
        <v>5913</v>
      </c>
      <c r="D59" s="461" t="s">
        <v>12711</v>
      </c>
      <c r="E59" s="170" t="s">
        <v>12712</v>
      </c>
      <c r="F59" s="170" t="s">
        <v>43</v>
      </c>
      <c r="G59" s="102" t="s">
        <v>96</v>
      </c>
      <c r="H59" s="432" t="s">
        <v>1533</v>
      </c>
      <c r="I59" s="466" t="s">
        <v>12713</v>
      </c>
      <c r="J59" s="466" t="s">
        <v>12413</v>
      </c>
      <c r="K59" s="468">
        <v>42422</v>
      </c>
      <c r="L59" s="468">
        <v>42787</v>
      </c>
      <c r="M59" s="468">
        <v>43100</v>
      </c>
      <c r="N59" s="468">
        <v>43152</v>
      </c>
      <c r="O59" s="468"/>
      <c r="P59" s="468"/>
      <c r="Q59" s="468"/>
      <c r="R59" s="468"/>
      <c r="S59" s="468">
        <v>43153</v>
      </c>
      <c r="T59" s="468">
        <v>43281</v>
      </c>
      <c r="U59" s="468"/>
      <c r="V59" s="468"/>
      <c r="W59" s="468"/>
      <c r="X59" s="468"/>
      <c r="Y59" s="540">
        <f ca="1" t="shared" si="10"/>
        <v>8.61546296296001</v>
      </c>
      <c r="Z59" s="106" t="str">
        <f ca="1" t="shared" si="11"/>
        <v>WARNING</v>
      </c>
      <c r="AA59" s="207">
        <f>4000000*114%</f>
        <v>4560000</v>
      </c>
      <c r="AB59" s="207"/>
      <c r="AC59" s="207"/>
      <c r="AD59" s="207" t="s">
        <v>12714</v>
      </c>
      <c r="AE59" s="207" t="s">
        <v>112</v>
      </c>
      <c r="AF59" s="207" t="s">
        <v>12290</v>
      </c>
      <c r="AG59" s="432" t="s">
        <v>12715</v>
      </c>
      <c r="AH59" s="432" t="s">
        <v>12716</v>
      </c>
      <c r="AI59" s="432" t="s">
        <v>12717</v>
      </c>
      <c r="AJ59" s="1579" t="s">
        <v>12718</v>
      </c>
      <c r="AK59" s="432" t="s">
        <v>12719</v>
      </c>
      <c r="AL59" s="432"/>
      <c r="AM59" s="432" t="s">
        <v>12720</v>
      </c>
      <c r="AN59" s="370"/>
      <c r="AO59" s="101"/>
    </row>
    <row r="60" s="516" customFormat="1" ht="21" spans="1:42">
      <c r="A60" s="1615" t="s">
        <v>494</v>
      </c>
      <c r="B60" s="100" t="s">
        <v>12721</v>
      </c>
      <c r="C60" s="160">
        <v>257900</v>
      </c>
      <c r="D60" s="461" t="s">
        <v>12722</v>
      </c>
      <c r="E60" s="170" t="s">
        <v>12723</v>
      </c>
      <c r="F60" s="170" t="s">
        <v>43</v>
      </c>
      <c r="G60" s="102" t="s">
        <v>44</v>
      </c>
      <c r="H60" s="432" t="s">
        <v>11843</v>
      </c>
      <c r="I60" s="466" t="s">
        <v>12724</v>
      </c>
      <c r="J60" s="466" t="s">
        <v>12725</v>
      </c>
      <c r="K60" s="468">
        <v>42490</v>
      </c>
      <c r="L60" s="468">
        <v>42580</v>
      </c>
      <c r="M60" s="468">
        <v>42764</v>
      </c>
      <c r="N60" s="468">
        <v>43131</v>
      </c>
      <c r="O60" s="468">
        <v>43219</v>
      </c>
      <c r="P60" s="468"/>
      <c r="Q60" s="468"/>
      <c r="R60" s="468"/>
      <c r="S60" s="468">
        <v>43220</v>
      </c>
      <c r="T60" s="468">
        <v>43496</v>
      </c>
      <c r="U60" s="468"/>
      <c r="V60" s="468"/>
      <c r="W60" s="468"/>
      <c r="X60" s="468"/>
      <c r="Y60" s="540">
        <f ca="1" t="shared" si="10"/>
        <v>223.61546296296</v>
      </c>
      <c r="Z60" s="106" t="str">
        <f ca="1" t="shared" si="11"/>
        <v>ACTIVE</v>
      </c>
      <c r="AA60" s="541">
        <f>110%*4025000</f>
        <v>4427500</v>
      </c>
      <c r="AB60" s="207"/>
      <c r="AC60" s="207"/>
      <c r="AD60" s="207" t="s">
        <v>12726</v>
      </c>
      <c r="AE60" s="207" t="s">
        <v>112</v>
      </c>
      <c r="AF60" s="207" t="s">
        <v>12290</v>
      </c>
      <c r="AG60" s="432" t="s">
        <v>12727</v>
      </c>
      <c r="AH60" s="432" t="s">
        <v>12728</v>
      </c>
      <c r="AI60" s="432" t="s">
        <v>12729</v>
      </c>
      <c r="AJ60" s="1579" t="s">
        <v>12730</v>
      </c>
      <c r="AK60" s="432"/>
      <c r="AL60" s="432"/>
      <c r="AM60" s="1585" t="s">
        <v>12731</v>
      </c>
      <c r="AN60" s="370" t="s">
        <v>12732</v>
      </c>
      <c r="AO60" s="101"/>
      <c r="AP60" s="93"/>
    </row>
    <row r="61" s="516" customFormat="1" ht="21" spans="1:41">
      <c r="A61" s="1615" t="s">
        <v>504</v>
      </c>
      <c r="B61" s="100" t="s">
        <v>12733</v>
      </c>
      <c r="C61" s="160">
        <v>251005</v>
      </c>
      <c r="D61" s="461" t="s">
        <v>12734</v>
      </c>
      <c r="E61" s="170" t="s">
        <v>12735</v>
      </c>
      <c r="F61" s="170" t="s">
        <v>43</v>
      </c>
      <c r="G61" s="102" t="s">
        <v>254</v>
      </c>
      <c r="H61" s="432" t="s">
        <v>1533</v>
      </c>
      <c r="I61" s="466" t="s">
        <v>12724</v>
      </c>
      <c r="J61" s="466" t="s">
        <v>12725</v>
      </c>
      <c r="K61" s="468">
        <v>42525</v>
      </c>
      <c r="L61" s="468">
        <v>42616</v>
      </c>
      <c r="M61" s="468">
        <v>42797</v>
      </c>
      <c r="N61" s="468">
        <v>42889</v>
      </c>
      <c r="O61" s="468">
        <v>43072</v>
      </c>
      <c r="P61" s="468">
        <v>43162</v>
      </c>
      <c r="Q61" s="469">
        <v>43254</v>
      </c>
      <c r="R61" s="468"/>
      <c r="S61" s="468">
        <v>43255</v>
      </c>
      <c r="T61" s="534">
        <v>43465</v>
      </c>
      <c r="U61" s="468"/>
      <c r="V61" s="468"/>
      <c r="W61" s="468"/>
      <c r="X61" s="468"/>
      <c r="Y61" s="540">
        <f ca="1" t="shared" si="10"/>
        <v>192.61546296296</v>
      </c>
      <c r="Z61" s="106" t="str">
        <f ca="1" t="shared" si="11"/>
        <v>ACTIVE</v>
      </c>
      <c r="AA61" s="207">
        <v>4000000</v>
      </c>
      <c r="AB61" s="207"/>
      <c r="AC61" s="207"/>
      <c r="AD61" s="207" t="s">
        <v>12736</v>
      </c>
      <c r="AE61" s="207" t="s">
        <v>112</v>
      </c>
      <c r="AF61" s="207" t="s">
        <v>12290</v>
      </c>
      <c r="AG61" s="432" t="s">
        <v>12737</v>
      </c>
      <c r="AH61" s="432" t="s">
        <v>12738</v>
      </c>
      <c r="AI61" s="432" t="s">
        <v>12739</v>
      </c>
      <c r="AJ61" s="1579" t="s">
        <v>12740</v>
      </c>
      <c r="AK61" s="432" t="s">
        <v>12741</v>
      </c>
      <c r="AL61" s="432"/>
      <c r="AM61" s="1577" t="s">
        <v>12742</v>
      </c>
      <c r="AN61" s="370"/>
      <c r="AO61" s="101"/>
    </row>
    <row r="62" s="516" customFormat="1" ht="21" spans="1:41">
      <c r="A62" s="1615" t="s">
        <v>514</v>
      </c>
      <c r="B62" s="100" t="s">
        <v>12743</v>
      </c>
      <c r="C62" s="160">
        <v>256000</v>
      </c>
      <c r="D62" s="461" t="s">
        <v>12744</v>
      </c>
      <c r="E62" s="170" t="s">
        <v>12745</v>
      </c>
      <c r="F62" s="170" t="s">
        <v>43</v>
      </c>
      <c r="G62" s="102" t="s">
        <v>44</v>
      </c>
      <c r="H62" s="466" t="s">
        <v>11312</v>
      </c>
      <c r="I62" s="466" t="s">
        <v>12724</v>
      </c>
      <c r="J62" s="466"/>
      <c r="K62" s="468">
        <v>42552</v>
      </c>
      <c r="L62" s="468">
        <v>42643</v>
      </c>
      <c r="M62" s="468">
        <v>42735</v>
      </c>
      <c r="N62" s="468">
        <v>42916</v>
      </c>
      <c r="O62" s="468">
        <v>43100</v>
      </c>
      <c r="P62" s="106">
        <v>43251</v>
      </c>
      <c r="Q62" s="469" t="s">
        <v>604</v>
      </c>
      <c r="R62" s="107">
        <v>43281</v>
      </c>
      <c r="S62" s="106"/>
      <c r="T62" s="106"/>
      <c r="U62" s="468"/>
      <c r="V62" s="468"/>
      <c r="W62" s="468"/>
      <c r="X62" s="468"/>
      <c r="Y62" s="540">
        <f ca="1">SUM(S62-NOW())</f>
        <v>-43272.384537037</v>
      </c>
      <c r="Z62" s="106" t="str">
        <f ca="1" t="shared" ref="Z62:Z67" si="12">IF(Y62&lt;=46,"WARNING","ACTIVE")</f>
        <v>WARNING</v>
      </c>
      <c r="AA62" s="541">
        <v>3830438</v>
      </c>
      <c r="AB62" s="207"/>
      <c r="AC62" s="207"/>
      <c r="AD62" s="541" t="s">
        <v>12746</v>
      </c>
      <c r="AE62" s="207" t="s">
        <v>113</v>
      </c>
      <c r="AF62" s="207" t="s">
        <v>12747</v>
      </c>
      <c r="AG62" s="432" t="s">
        <v>12748</v>
      </c>
      <c r="AH62" s="432" t="s">
        <v>12749</v>
      </c>
      <c r="AI62" s="432" t="s">
        <v>12750</v>
      </c>
      <c r="AJ62" s="122" t="s">
        <v>12751</v>
      </c>
      <c r="AK62" s="432" t="s">
        <v>12752</v>
      </c>
      <c r="AL62" s="432">
        <v>14044298892</v>
      </c>
      <c r="AM62" s="1585" t="s">
        <v>192</v>
      </c>
      <c r="AN62" s="365" t="s">
        <v>12753</v>
      </c>
      <c r="AO62" s="101"/>
    </row>
    <row r="63" s="516" customFormat="1" ht="21" spans="1:41">
      <c r="A63" s="1615" t="s">
        <v>525</v>
      </c>
      <c r="B63" s="100" t="s">
        <v>12754</v>
      </c>
      <c r="C63" s="160">
        <v>256000</v>
      </c>
      <c r="D63" s="461" t="s">
        <v>12755</v>
      </c>
      <c r="E63" s="170" t="s">
        <v>12756</v>
      </c>
      <c r="F63" s="170" t="s">
        <v>43</v>
      </c>
      <c r="G63" s="102" t="s">
        <v>44</v>
      </c>
      <c r="H63" s="466" t="s">
        <v>11312</v>
      </c>
      <c r="I63" s="466" t="s">
        <v>12724</v>
      </c>
      <c r="J63" s="466"/>
      <c r="K63" s="468">
        <v>42552</v>
      </c>
      <c r="L63" s="468">
        <v>42643</v>
      </c>
      <c r="M63" s="468">
        <v>42735</v>
      </c>
      <c r="N63" s="468">
        <v>43100</v>
      </c>
      <c r="O63" s="106">
        <v>43251</v>
      </c>
      <c r="P63" s="469" t="s">
        <v>604</v>
      </c>
      <c r="Q63" s="107">
        <v>43281</v>
      </c>
      <c r="R63" s="468"/>
      <c r="S63" s="468"/>
      <c r="T63" s="468"/>
      <c r="U63" s="468"/>
      <c r="V63" s="468"/>
      <c r="W63" s="468"/>
      <c r="X63" s="468"/>
      <c r="Y63" s="540">
        <f ca="1">SUM(Q63-NOW())</f>
        <v>8.61546296296001</v>
      </c>
      <c r="Z63" s="106" t="str">
        <f ca="1" t="shared" si="12"/>
        <v>WARNING</v>
      </c>
      <c r="AA63" s="541">
        <v>3830438</v>
      </c>
      <c r="AB63" s="207"/>
      <c r="AC63" s="207"/>
      <c r="AD63" s="541" t="s">
        <v>12746</v>
      </c>
      <c r="AE63" s="207" t="s">
        <v>113</v>
      </c>
      <c r="AF63" s="207" t="s">
        <v>12747</v>
      </c>
      <c r="AG63" s="432" t="s">
        <v>12757</v>
      </c>
      <c r="AH63" s="432">
        <v>82214928919</v>
      </c>
      <c r="AI63" s="432" t="s">
        <v>12758</v>
      </c>
      <c r="AJ63" s="122" t="s">
        <v>12759</v>
      </c>
      <c r="AK63" s="432" t="s">
        <v>12760</v>
      </c>
      <c r="AL63" s="432">
        <v>16002503726</v>
      </c>
      <c r="AM63" s="1585" t="s">
        <v>12761</v>
      </c>
      <c r="AN63" s="365" t="s">
        <v>12753</v>
      </c>
      <c r="AO63" s="101"/>
    </row>
    <row r="64" s="516" customFormat="1" ht="31.5" spans="1:41">
      <c r="A64" s="1615" t="s">
        <v>533</v>
      </c>
      <c r="B64" s="100" t="s">
        <v>12762</v>
      </c>
      <c r="C64" s="160">
        <v>5547</v>
      </c>
      <c r="D64" s="461" t="s">
        <v>12763</v>
      </c>
      <c r="E64" s="170" t="s">
        <v>12764</v>
      </c>
      <c r="F64" s="170" t="s">
        <v>43</v>
      </c>
      <c r="G64" s="102" t="s">
        <v>44</v>
      </c>
      <c r="H64" s="466" t="s">
        <v>12765</v>
      </c>
      <c r="I64" s="466" t="s">
        <v>12766</v>
      </c>
      <c r="J64" s="466"/>
      <c r="K64" s="468">
        <v>42592</v>
      </c>
      <c r="L64" s="468">
        <v>42775</v>
      </c>
      <c r="M64" s="468">
        <v>43100</v>
      </c>
      <c r="N64" s="468">
        <v>43321</v>
      </c>
      <c r="O64" s="468" t="s">
        <v>583</v>
      </c>
      <c r="P64" s="468"/>
      <c r="Q64" s="468"/>
      <c r="R64" s="468"/>
      <c r="S64" s="468">
        <v>43322</v>
      </c>
      <c r="T64" s="468">
        <v>43465</v>
      </c>
      <c r="U64" s="468"/>
      <c r="V64" s="468"/>
      <c r="W64" s="468"/>
      <c r="X64" s="468"/>
      <c r="Y64" s="540">
        <f ca="1">SUM(N64-NOW())</f>
        <v>48.61546296296</v>
      </c>
      <c r="Z64" s="106" t="str">
        <f ca="1" t="shared" si="12"/>
        <v>ACTIVE</v>
      </c>
      <c r="AA64" s="207">
        <v>11450000</v>
      </c>
      <c r="AB64" s="207"/>
      <c r="AC64" s="207"/>
      <c r="AD64" s="207" t="s">
        <v>12767</v>
      </c>
      <c r="AE64" s="207" t="s">
        <v>112</v>
      </c>
      <c r="AF64" s="207" t="s">
        <v>12290</v>
      </c>
      <c r="AG64" s="432" t="s">
        <v>12768</v>
      </c>
      <c r="AH64" s="432" t="s">
        <v>12769</v>
      </c>
      <c r="AI64" s="432" t="s">
        <v>12770</v>
      </c>
      <c r="AJ64" s="122" t="s">
        <v>12771</v>
      </c>
      <c r="AK64" s="432" t="s">
        <v>12772</v>
      </c>
      <c r="AL64" s="432"/>
      <c r="AM64" s="1585" t="s">
        <v>12773</v>
      </c>
      <c r="AN64" s="365" t="s">
        <v>12774</v>
      </c>
      <c r="AO64" s="101"/>
    </row>
    <row r="65" s="93" customFormat="1" ht="31.5" spans="1:41">
      <c r="A65" s="1615" t="s">
        <v>542</v>
      </c>
      <c r="B65" s="100" t="s">
        <v>12775</v>
      </c>
      <c r="C65" s="160">
        <v>5547</v>
      </c>
      <c r="D65" s="461" t="s">
        <v>12776</v>
      </c>
      <c r="E65" s="170" t="s">
        <v>12777</v>
      </c>
      <c r="F65" s="170" t="s">
        <v>43</v>
      </c>
      <c r="G65" s="102" t="s">
        <v>60</v>
      </c>
      <c r="H65" s="432" t="s">
        <v>12778</v>
      </c>
      <c r="I65" s="466" t="s">
        <v>12713</v>
      </c>
      <c r="J65" s="466" t="s">
        <v>12725</v>
      </c>
      <c r="K65" s="468">
        <v>42646</v>
      </c>
      <c r="L65" s="468">
        <v>42827</v>
      </c>
      <c r="M65" s="468">
        <v>42947</v>
      </c>
      <c r="N65" s="468">
        <v>43100</v>
      </c>
      <c r="O65" s="468">
        <v>43375</v>
      </c>
      <c r="P65" s="468"/>
      <c r="Q65" s="468"/>
      <c r="R65" s="468"/>
      <c r="S65" s="468">
        <v>43376</v>
      </c>
      <c r="T65" s="468">
        <v>43465</v>
      </c>
      <c r="U65" s="468"/>
      <c r="V65" s="468"/>
      <c r="W65" s="468"/>
      <c r="X65" s="468"/>
      <c r="Y65" s="540">
        <f ca="1">SUM(O65-NOW())</f>
        <v>102.61546296296</v>
      </c>
      <c r="Z65" s="106" t="str">
        <f ca="1" t="shared" si="12"/>
        <v>ACTIVE</v>
      </c>
      <c r="AA65" s="207">
        <f>110%*12000000</f>
        <v>13200000</v>
      </c>
      <c r="AB65" s="207"/>
      <c r="AC65" s="207"/>
      <c r="AD65" s="207" t="s">
        <v>12779</v>
      </c>
      <c r="AE65" s="207" t="s">
        <v>112</v>
      </c>
      <c r="AF65" s="207" t="s">
        <v>12290</v>
      </c>
      <c r="AG65" s="432" t="s">
        <v>12780</v>
      </c>
      <c r="AH65" s="432" t="s">
        <v>12781</v>
      </c>
      <c r="AI65" s="432" t="s">
        <v>12782</v>
      </c>
      <c r="AJ65" s="1579" t="s">
        <v>12783</v>
      </c>
      <c r="AK65" s="432" t="s">
        <v>12784</v>
      </c>
      <c r="AL65" s="432"/>
      <c r="AM65" s="432" t="s">
        <v>12785</v>
      </c>
      <c r="AN65" s="370" t="s">
        <v>12786</v>
      </c>
      <c r="AO65" s="101"/>
    </row>
    <row r="66" s="93" customFormat="1" ht="21" spans="1:41">
      <c r="A66" s="1615" t="s">
        <v>550</v>
      </c>
      <c r="B66" s="100" t="s">
        <v>12787</v>
      </c>
      <c r="C66" s="160">
        <v>5814</v>
      </c>
      <c r="D66" s="461" t="s">
        <v>12788</v>
      </c>
      <c r="E66" s="170" t="s">
        <v>12789</v>
      </c>
      <c r="F66" s="170" t="s">
        <v>43</v>
      </c>
      <c r="G66" s="102" t="s">
        <v>254</v>
      </c>
      <c r="H66" s="432" t="s">
        <v>12790</v>
      </c>
      <c r="I66" s="466" t="s">
        <v>12713</v>
      </c>
      <c r="J66" s="466" t="s">
        <v>12791</v>
      </c>
      <c r="K66" s="468">
        <v>42646</v>
      </c>
      <c r="L66" s="468">
        <v>42706</v>
      </c>
      <c r="M66" s="468">
        <v>42888</v>
      </c>
      <c r="N66" s="468">
        <v>43100</v>
      </c>
      <c r="O66" s="468">
        <v>43375</v>
      </c>
      <c r="P66" s="468"/>
      <c r="Q66" s="468"/>
      <c r="R66" s="468"/>
      <c r="S66" s="468">
        <v>43376</v>
      </c>
      <c r="T66" s="468">
        <v>43465</v>
      </c>
      <c r="U66" s="468"/>
      <c r="V66" s="468"/>
      <c r="W66" s="468"/>
      <c r="X66" s="468"/>
      <c r="Y66" s="540">
        <f ca="1">SUM(T66-NOW())</f>
        <v>192.61546296296</v>
      </c>
      <c r="Z66" s="106" t="str">
        <f ca="1" t="shared" si="12"/>
        <v>ACTIVE</v>
      </c>
      <c r="AA66" s="207">
        <f>5000000*107.5%</f>
        <v>5375000</v>
      </c>
      <c r="AB66" s="207"/>
      <c r="AC66" s="207"/>
      <c r="AD66" s="207" t="s">
        <v>12792</v>
      </c>
      <c r="AE66" s="207" t="s">
        <v>112</v>
      </c>
      <c r="AF66" s="207" t="s">
        <v>12290</v>
      </c>
      <c r="AG66" s="432" t="s">
        <v>12793</v>
      </c>
      <c r="AH66" s="432" t="s">
        <v>12794</v>
      </c>
      <c r="AI66" s="432" t="s">
        <v>12795</v>
      </c>
      <c r="AJ66" s="1579" t="s">
        <v>12796</v>
      </c>
      <c r="AK66" s="432" t="s">
        <v>12797</v>
      </c>
      <c r="AL66" s="432"/>
      <c r="AM66" s="432"/>
      <c r="AN66" s="370" t="s">
        <v>12798</v>
      </c>
      <c r="AO66" s="101"/>
    </row>
    <row r="67" s="93" customFormat="1" ht="21" spans="1:41">
      <c r="A67" s="1615" t="s">
        <v>559</v>
      </c>
      <c r="B67" s="100" t="s">
        <v>12799</v>
      </c>
      <c r="C67" s="160">
        <v>5547</v>
      </c>
      <c r="D67" s="461" t="s">
        <v>12800</v>
      </c>
      <c r="E67" s="170" t="s">
        <v>12801</v>
      </c>
      <c r="F67" s="170" t="s">
        <v>43</v>
      </c>
      <c r="G67" s="102" t="s">
        <v>44</v>
      </c>
      <c r="H67" s="432" t="s">
        <v>12802</v>
      </c>
      <c r="I67" s="466" t="s">
        <v>12713</v>
      </c>
      <c r="J67" s="466" t="s">
        <v>12725</v>
      </c>
      <c r="K67" s="468">
        <v>42656</v>
      </c>
      <c r="L67" s="468">
        <v>42837</v>
      </c>
      <c r="M67" s="468">
        <v>43100</v>
      </c>
      <c r="N67" s="468">
        <v>43385</v>
      </c>
      <c r="O67" s="468"/>
      <c r="P67" s="468"/>
      <c r="Q67" s="468"/>
      <c r="R67" s="468"/>
      <c r="S67" s="468">
        <v>43386</v>
      </c>
      <c r="T67" s="468">
        <v>43465</v>
      </c>
      <c r="U67" s="534" t="s">
        <v>604</v>
      </c>
      <c r="V67" s="468"/>
      <c r="W67" s="468"/>
      <c r="X67" s="468"/>
      <c r="Y67" s="540">
        <f ca="1">SUM(T67-NOW())</f>
        <v>192.61546296296</v>
      </c>
      <c r="Z67" s="106" t="str">
        <f ca="1" t="shared" si="12"/>
        <v>ACTIVE</v>
      </c>
      <c r="AA67" s="541">
        <v>8198820</v>
      </c>
      <c r="AB67" s="207"/>
      <c r="AC67" s="207"/>
      <c r="AD67" s="541" t="s">
        <v>12803</v>
      </c>
      <c r="AE67" s="207" t="s">
        <v>112</v>
      </c>
      <c r="AF67" s="207" t="s">
        <v>12290</v>
      </c>
      <c r="AG67" s="432" t="s">
        <v>12804</v>
      </c>
      <c r="AH67" s="432" t="s">
        <v>12805</v>
      </c>
      <c r="AI67" s="432" t="s">
        <v>12806</v>
      </c>
      <c r="AJ67" s="1579" t="s">
        <v>12807</v>
      </c>
      <c r="AK67" s="432" t="s">
        <v>12808</v>
      </c>
      <c r="AL67" s="432"/>
      <c r="AM67" s="432"/>
      <c r="AN67" s="370" t="s">
        <v>12809</v>
      </c>
      <c r="AO67" s="101"/>
    </row>
    <row r="68" s="93" customFormat="1" ht="21" spans="1:41">
      <c r="A68" s="1615" t="s">
        <v>569</v>
      </c>
      <c r="B68" s="100" t="s">
        <v>12810</v>
      </c>
      <c r="C68" s="160" t="s">
        <v>12811</v>
      </c>
      <c r="D68" s="461" t="s">
        <v>12812</v>
      </c>
      <c r="E68" s="170" t="s">
        <v>12813</v>
      </c>
      <c r="F68" s="170" t="s">
        <v>125</v>
      </c>
      <c r="G68" s="102" t="s">
        <v>44</v>
      </c>
      <c r="H68" s="432" t="s">
        <v>12056</v>
      </c>
      <c r="I68" s="466" t="s">
        <v>12724</v>
      </c>
      <c r="J68" s="466" t="s">
        <v>12563</v>
      </c>
      <c r="K68" s="468">
        <v>42675</v>
      </c>
      <c r="L68" s="468">
        <v>42766</v>
      </c>
      <c r="M68" s="468">
        <v>42947</v>
      </c>
      <c r="N68" s="468">
        <v>43312</v>
      </c>
      <c r="O68" s="468"/>
      <c r="P68" s="468"/>
      <c r="Q68" s="468"/>
      <c r="R68" s="468"/>
      <c r="S68" s="468"/>
      <c r="T68" s="468"/>
      <c r="U68" s="468"/>
      <c r="V68" s="468"/>
      <c r="W68" s="468"/>
      <c r="X68" s="468"/>
      <c r="Y68" s="540">
        <f ca="1">SUM(N68-NOW())</f>
        <v>39.61546296296</v>
      </c>
      <c r="Z68" s="106" t="str">
        <f ca="1" t="shared" ref="Z68:Z74" si="13">IF(Y68&lt;=46,"WARNING","ACTIVE")</f>
        <v>WARNING</v>
      </c>
      <c r="AA68" s="207">
        <v>7321545</v>
      </c>
      <c r="AB68" s="207"/>
      <c r="AC68" s="207"/>
      <c r="AD68" s="207" t="s">
        <v>12814</v>
      </c>
      <c r="AE68" s="207" t="s">
        <v>112</v>
      </c>
      <c r="AF68" s="207" t="s">
        <v>12290</v>
      </c>
      <c r="AG68" s="432" t="s">
        <v>12815</v>
      </c>
      <c r="AH68" s="1577" t="s">
        <v>12816</v>
      </c>
      <c r="AI68" s="432" t="s">
        <v>12817</v>
      </c>
      <c r="AJ68" s="1579" t="s">
        <v>12818</v>
      </c>
      <c r="AK68" s="432" t="s">
        <v>12819</v>
      </c>
      <c r="AL68" s="1577" t="s">
        <v>12820</v>
      </c>
      <c r="AM68" s="1577" t="s">
        <v>12821</v>
      </c>
      <c r="AN68" s="365" t="s">
        <v>12822</v>
      </c>
      <c r="AO68" s="101"/>
    </row>
    <row r="69" s="93" customFormat="1" ht="21" spans="1:41">
      <c r="A69" s="1615" t="s">
        <v>579</v>
      </c>
      <c r="B69" s="100" t="s">
        <v>12823</v>
      </c>
      <c r="C69" s="160" t="s">
        <v>12824</v>
      </c>
      <c r="D69" s="463" t="s">
        <v>11659</v>
      </c>
      <c r="E69" s="170" t="s">
        <v>12825</v>
      </c>
      <c r="F69" s="170" t="s">
        <v>43</v>
      </c>
      <c r="G69" s="102" t="s">
        <v>60</v>
      </c>
      <c r="H69" s="432" t="s">
        <v>2823</v>
      </c>
      <c r="I69" s="432" t="s">
        <v>12826</v>
      </c>
      <c r="J69" s="432"/>
      <c r="K69" s="106">
        <v>42723</v>
      </c>
      <c r="L69" s="106">
        <v>43087</v>
      </c>
      <c r="M69" s="106">
        <v>43452</v>
      </c>
      <c r="N69" s="107" t="s">
        <v>604</v>
      </c>
      <c r="O69" s="106"/>
      <c r="P69" s="106"/>
      <c r="Q69" s="106"/>
      <c r="R69" s="106"/>
      <c r="S69" s="106"/>
      <c r="T69" s="106"/>
      <c r="U69" s="106"/>
      <c r="V69" s="106"/>
      <c r="W69" s="106"/>
      <c r="X69" s="106"/>
      <c r="Y69" s="540">
        <f ca="1" t="shared" ref="Y69:Y72" si="14">SUM(M69-NOW())</f>
        <v>179.61546296296</v>
      </c>
      <c r="Z69" s="106" t="str">
        <f ca="1" t="shared" si="13"/>
        <v>ACTIVE</v>
      </c>
      <c r="AA69" s="569">
        <v>5020429.7</v>
      </c>
      <c r="AB69" s="116"/>
      <c r="AC69" s="116"/>
      <c r="AD69" s="569" t="s">
        <v>12827</v>
      </c>
      <c r="AE69" s="116" t="s">
        <v>113</v>
      </c>
      <c r="AF69" s="116" t="s">
        <v>12290</v>
      </c>
      <c r="AG69" s="432" t="s">
        <v>12828</v>
      </c>
      <c r="AH69" s="432" t="s">
        <v>12829</v>
      </c>
      <c r="AI69" s="432" t="s">
        <v>12830</v>
      </c>
      <c r="AJ69" s="122"/>
      <c r="AK69" s="1577" t="s">
        <v>12831</v>
      </c>
      <c r="AL69" s="432"/>
      <c r="AM69" s="432" t="s">
        <v>12832</v>
      </c>
      <c r="AN69" s="365"/>
      <c r="AO69" s="101"/>
    </row>
    <row r="70" s="93" customFormat="1" ht="21" spans="1:41">
      <c r="A70" s="1615" t="s">
        <v>588</v>
      </c>
      <c r="B70" s="100" t="s">
        <v>12833</v>
      </c>
      <c r="C70" s="160" t="s">
        <v>12824</v>
      </c>
      <c r="D70" s="463" t="s">
        <v>12834</v>
      </c>
      <c r="E70" s="170" t="s">
        <v>12835</v>
      </c>
      <c r="F70" s="170" t="s">
        <v>43</v>
      </c>
      <c r="G70" s="102" t="s">
        <v>12836</v>
      </c>
      <c r="H70" s="432" t="s">
        <v>2823</v>
      </c>
      <c r="I70" s="432" t="s">
        <v>12826</v>
      </c>
      <c r="J70" s="432"/>
      <c r="K70" s="106">
        <v>42723</v>
      </c>
      <c r="L70" s="106">
        <v>43087</v>
      </c>
      <c r="M70" s="106">
        <v>43452</v>
      </c>
      <c r="N70" s="107" t="s">
        <v>604</v>
      </c>
      <c r="O70" s="106"/>
      <c r="P70" s="106"/>
      <c r="Q70" s="106"/>
      <c r="R70" s="106"/>
      <c r="S70" s="106"/>
      <c r="T70" s="106"/>
      <c r="U70" s="106"/>
      <c r="V70" s="106"/>
      <c r="W70" s="106"/>
      <c r="X70" s="106"/>
      <c r="Y70" s="540">
        <f ca="1" t="shared" si="14"/>
        <v>179.61546296296</v>
      </c>
      <c r="Z70" s="106" t="str">
        <f ca="1" t="shared" si="13"/>
        <v>ACTIVE</v>
      </c>
      <c r="AA70" s="569">
        <v>5111710.24</v>
      </c>
      <c r="AB70" s="116"/>
      <c r="AC70" s="116"/>
      <c r="AD70" s="569" t="s">
        <v>12827</v>
      </c>
      <c r="AE70" s="116" t="s">
        <v>113</v>
      </c>
      <c r="AF70" s="116" t="s">
        <v>12290</v>
      </c>
      <c r="AG70" s="432" t="s">
        <v>12837</v>
      </c>
      <c r="AH70" s="432" t="s">
        <v>12838</v>
      </c>
      <c r="AI70" s="432" t="s">
        <v>12839</v>
      </c>
      <c r="AJ70" s="122"/>
      <c r="AK70" s="1577" t="s">
        <v>12840</v>
      </c>
      <c r="AL70" s="432"/>
      <c r="AM70" s="432" t="s">
        <v>12841</v>
      </c>
      <c r="AN70" s="365"/>
      <c r="AO70" s="101"/>
    </row>
    <row r="71" s="93" customFormat="1" ht="21" spans="1:41">
      <c r="A71" s="1615" t="s">
        <v>598</v>
      </c>
      <c r="B71" s="100" t="s">
        <v>12842</v>
      </c>
      <c r="C71" s="160" t="s">
        <v>12843</v>
      </c>
      <c r="D71" s="463" t="s">
        <v>12844</v>
      </c>
      <c r="E71" s="170" t="s">
        <v>12845</v>
      </c>
      <c r="F71" s="170" t="s">
        <v>43</v>
      </c>
      <c r="G71" s="102" t="s">
        <v>254</v>
      </c>
      <c r="H71" s="432" t="s">
        <v>2823</v>
      </c>
      <c r="I71" s="432" t="s">
        <v>12846</v>
      </c>
      <c r="J71" s="432"/>
      <c r="K71" s="106">
        <v>42723</v>
      </c>
      <c r="L71" s="106">
        <v>43087</v>
      </c>
      <c r="M71" s="106">
        <v>43452</v>
      </c>
      <c r="N71" s="106"/>
      <c r="O71" s="106"/>
      <c r="P71" s="106"/>
      <c r="Q71" s="106"/>
      <c r="R71" s="106"/>
      <c r="S71" s="106"/>
      <c r="T71" s="106"/>
      <c r="U71" s="106"/>
      <c r="V71" s="106"/>
      <c r="W71" s="106"/>
      <c r="X71" s="106"/>
      <c r="Y71" s="540">
        <f ca="1" t="shared" si="14"/>
        <v>179.61546296296</v>
      </c>
      <c r="Z71" s="106" t="str">
        <f ca="1" t="shared" si="13"/>
        <v>ACTIVE</v>
      </c>
      <c r="AA71" s="116">
        <f>937500+4880289</f>
        <v>5817789</v>
      </c>
      <c r="AB71" s="116">
        <v>0</v>
      </c>
      <c r="AC71" s="116"/>
      <c r="AD71" s="116" t="s">
        <v>12847</v>
      </c>
      <c r="AE71" s="116" t="s">
        <v>113</v>
      </c>
      <c r="AF71" s="116" t="s">
        <v>12290</v>
      </c>
      <c r="AG71" s="432" t="s">
        <v>12848</v>
      </c>
      <c r="AH71" s="432" t="s">
        <v>12849</v>
      </c>
      <c r="AI71" s="432" t="s">
        <v>12850</v>
      </c>
      <c r="AJ71" s="122"/>
      <c r="AK71" s="1577" t="s">
        <v>12851</v>
      </c>
      <c r="AL71" s="432">
        <v>11025409720</v>
      </c>
      <c r="AM71" s="432" t="s">
        <v>12852</v>
      </c>
      <c r="AN71" s="365" t="s">
        <v>12853</v>
      </c>
      <c r="AO71" s="101"/>
    </row>
    <row r="72" s="93" customFormat="1" ht="21" spans="1:41">
      <c r="A72" s="1615" t="s">
        <v>609</v>
      </c>
      <c r="B72" s="100" t="s">
        <v>12854</v>
      </c>
      <c r="C72" s="160">
        <v>251002</v>
      </c>
      <c r="D72" s="463" t="s">
        <v>12855</v>
      </c>
      <c r="E72" s="170" t="s">
        <v>12856</v>
      </c>
      <c r="F72" s="170" t="s">
        <v>125</v>
      </c>
      <c r="G72" s="102" t="s">
        <v>44</v>
      </c>
      <c r="H72" s="432" t="s">
        <v>12515</v>
      </c>
      <c r="I72" s="432" t="s">
        <v>12724</v>
      </c>
      <c r="J72" s="432" t="s">
        <v>12725</v>
      </c>
      <c r="K72" s="106">
        <v>42738</v>
      </c>
      <c r="L72" s="106">
        <v>43102</v>
      </c>
      <c r="M72" s="106">
        <v>43467</v>
      </c>
      <c r="N72" s="106"/>
      <c r="O72" s="106"/>
      <c r="P72" s="106"/>
      <c r="Q72" s="106"/>
      <c r="R72" s="106"/>
      <c r="S72" s="106"/>
      <c r="T72" s="106"/>
      <c r="U72" s="106"/>
      <c r="V72" s="106"/>
      <c r="W72" s="106"/>
      <c r="X72" s="106"/>
      <c r="Y72" s="540">
        <f ca="1" t="shared" si="14"/>
        <v>194.61546296296</v>
      </c>
      <c r="Z72" s="106" t="str">
        <f ca="1" t="shared" si="13"/>
        <v>ACTIVE</v>
      </c>
      <c r="AA72" s="116">
        <f>114%*5500000</f>
        <v>6270000</v>
      </c>
      <c r="AB72" s="116"/>
      <c r="AC72" s="116"/>
      <c r="AD72" s="116" t="s">
        <v>12857</v>
      </c>
      <c r="AE72" s="116" t="s">
        <v>112</v>
      </c>
      <c r="AF72" s="116" t="s">
        <v>12290</v>
      </c>
      <c r="AG72" s="432" t="s">
        <v>12858</v>
      </c>
      <c r="AH72" s="1577" t="s">
        <v>12859</v>
      </c>
      <c r="AI72" s="432" t="s">
        <v>12860</v>
      </c>
      <c r="AJ72" s="1579" t="s">
        <v>12861</v>
      </c>
      <c r="AK72" s="1577" t="s">
        <v>12862</v>
      </c>
      <c r="AL72" s="1577" t="s">
        <v>12863</v>
      </c>
      <c r="AM72" s="432"/>
      <c r="AN72" s="365" t="s">
        <v>12864</v>
      </c>
      <c r="AO72" s="101"/>
    </row>
    <row r="73" s="93" customFormat="1" ht="21" spans="1:41">
      <c r="A73" s="1615" t="s">
        <v>619</v>
      </c>
      <c r="B73" s="100" t="s">
        <v>12865</v>
      </c>
      <c r="C73" s="160">
        <v>8152124</v>
      </c>
      <c r="D73" s="463" t="s">
        <v>12866</v>
      </c>
      <c r="E73" s="170" t="s">
        <v>12867</v>
      </c>
      <c r="F73" s="170" t="s">
        <v>43</v>
      </c>
      <c r="G73" s="102" t="s">
        <v>880</v>
      </c>
      <c r="H73" s="432" t="s">
        <v>1533</v>
      </c>
      <c r="I73" s="432" t="s">
        <v>12713</v>
      </c>
      <c r="J73" s="432" t="s">
        <v>12725</v>
      </c>
      <c r="K73" s="106">
        <v>42619</v>
      </c>
      <c r="L73" s="106">
        <v>42679</v>
      </c>
      <c r="M73" s="106">
        <v>42704</v>
      </c>
      <c r="N73" s="106">
        <v>43069</v>
      </c>
      <c r="O73" s="106">
        <v>43348</v>
      </c>
      <c r="P73" s="106"/>
      <c r="Q73" s="106"/>
      <c r="R73" s="106"/>
      <c r="S73" s="106">
        <v>43349</v>
      </c>
      <c r="T73" s="106">
        <v>43434</v>
      </c>
      <c r="U73" s="106"/>
      <c r="V73" s="106"/>
      <c r="W73" s="106"/>
      <c r="X73" s="106"/>
      <c r="Y73" s="540">
        <f ca="1">SUM(T73-NOW())</f>
        <v>161.61546296296</v>
      </c>
      <c r="Z73" s="106" t="str">
        <f ca="1" t="shared" si="13"/>
        <v>ACTIVE</v>
      </c>
      <c r="AA73" s="116">
        <f>4000000*110%</f>
        <v>4400000</v>
      </c>
      <c r="AB73" s="116"/>
      <c r="AC73" s="116"/>
      <c r="AD73" s="116" t="s">
        <v>12868</v>
      </c>
      <c r="AE73" s="116" t="s">
        <v>113</v>
      </c>
      <c r="AF73" s="116" t="s">
        <v>12290</v>
      </c>
      <c r="AG73" s="432" t="s">
        <v>12869</v>
      </c>
      <c r="AH73" s="432" t="s">
        <v>12870</v>
      </c>
      <c r="AI73" s="432" t="s">
        <v>12871</v>
      </c>
      <c r="AJ73" s="1579" t="s">
        <v>12872</v>
      </c>
      <c r="AK73" s="1577" t="s">
        <v>12873</v>
      </c>
      <c r="AL73" s="432"/>
      <c r="AM73" s="432" t="s">
        <v>12874</v>
      </c>
      <c r="AN73" s="365"/>
      <c r="AO73" s="101"/>
    </row>
    <row r="74" s="93" customFormat="1" ht="21" spans="1:41">
      <c r="A74" s="1615" t="s">
        <v>631</v>
      </c>
      <c r="B74" s="100" t="s">
        <v>12875</v>
      </c>
      <c r="C74" s="160">
        <v>251008</v>
      </c>
      <c r="D74" s="463" t="s">
        <v>12876</v>
      </c>
      <c r="E74" s="170" t="s">
        <v>12877</v>
      </c>
      <c r="F74" s="170" t="s">
        <v>125</v>
      </c>
      <c r="G74" s="102" t="s">
        <v>254</v>
      </c>
      <c r="H74" s="432" t="s">
        <v>12515</v>
      </c>
      <c r="I74" s="432" t="s">
        <v>12724</v>
      </c>
      <c r="J74" s="432" t="s">
        <v>12878</v>
      </c>
      <c r="K74" s="106">
        <v>42759</v>
      </c>
      <c r="L74" s="106">
        <v>43123</v>
      </c>
      <c r="M74" s="106">
        <v>43488</v>
      </c>
      <c r="N74" s="106"/>
      <c r="O74" s="106"/>
      <c r="P74" s="106"/>
      <c r="Q74" s="106"/>
      <c r="R74" s="106"/>
      <c r="S74" s="106"/>
      <c r="T74" s="106"/>
      <c r="U74" s="106"/>
      <c r="V74" s="106"/>
      <c r="W74" s="106"/>
      <c r="X74" s="106"/>
      <c r="Y74" s="540">
        <f ca="1">SUM(M74-NOW())</f>
        <v>215.61546296296</v>
      </c>
      <c r="Z74" s="106" t="str">
        <f ca="1" t="shared" si="13"/>
        <v>ACTIVE</v>
      </c>
      <c r="AA74" s="116">
        <f>114%*4000000</f>
        <v>4560000</v>
      </c>
      <c r="AB74" s="116"/>
      <c r="AC74" s="116"/>
      <c r="AD74" s="116" t="s">
        <v>12879</v>
      </c>
      <c r="AE74" s="116" t="s">
        <v>112</v>
      </c>
      <c r="AF74" s="116" t="s">
        <v>12290</v>
      </c>
      <c r="AG74" s="432" t="s">
        <v>12880</v>
      </c>
      <c r="AH74" s="1577" t="s">
        <v>12881</v>
      </c>
      <c r="AI74" s="432" t="s">
        <v>12882</v>
      </c>
      <c r="AJ74" s="1579" t="s">
        <v>12883</v>
      </c>
      <c r="AK74" s="1577" t="s">
        <v>12884</v>
      </c>
      <c r="AL74" s="1577" t="s">
        <v>12885</v>
      </c>
      <c r="AM74" s="432"/>
      <c r="AN74" s="154" t="s">
        <v>12886</v>
      </c>
      <c r="AO74" s="101"/>
    </row>
    <row r="75" s="93" customFormat="1" ht="24" spans="1:41">
      <c r="A75" s="1615" t="s">
        <v>642</v>
      </c>
      <c r="B75" s="100" t="s">
        <v>12887</v>
      </c>
      <c r="C75" s="160" t="s">
        <v>12512</v>
      </c>
      <c r="D75" s="463" t="s">
        <v>12888</v>
      </c>
      <c r="E75" s="170" t="s">
        <v>12889</v>
      </c>
      <c r="F75" s="170" t="s">
        <v>125</v>
      </c>
      <c r="G75" s="102" t="s">
        <v>44</v>
      </c>
      <c r="H75" s="432" t="s">
        <v>12515</v>
      </c>
      <c r="I75" s="432" t="s">
        <v>12890</v>
      </c>
      <c r="J75" s="432" t="s">
        <v>12413</v>
      </c>
      <c r="K75" s="106">
        <v>42772</v>
      </c>
      <c r="L75" s="106">
        <v>43136</v>
      </c>
      <c r="M75" s="107">
        <v>43501</v>
      </c>
      <c r="N75" s="106"/>
      <c r="O75" s="106"/>
      <c r="P75" s="106"/>
      <c r="Q75" s="106"/>
      <c r="R75" s="106"/>
      <c r="S75" s="106"/>
      <c r="T75" s="106"/>
      <c r="U75" s="106"/>
      <c r="V75" s="106"/>
      <c r="W75" s="106"/>
      <c r="X75" s="106"/>
      <c r="Y75" s="540">
        <f ca="1">SUM(M75-NOW())</f>
        <v>228.61546296296</v>
      </c>
      <c r="Z75" s="106" t="str">
        <f ca="1" t="shared" ref="Z75:Z86" si="15">IF(Y75&lt;=46,"WARNING","ACTIVE")</f>
        <v>ACTIVE</v>
      </c>
      <c r="AA75" s="569">
        <f>110%*3500000</f>
        <v>3850000</v>
      </c>
      <c r="AB75" s="116"/>
      <c r="AC75" s="116"/>
      <c r="AD75" s="116" t="s">
        <v>12891</v>
      </c>
      <c r="AE75" s="116" t="s">
        <v>112</v>
      </c>
      <c r="AF75" s="116" t="s">
        <v>12290</v>
      </c>
      <c r="AG75" s="432" t="s">
        <v>12892</v>
      </c>
      <c r="AH75" s="1577" t="s">
        <v>12893</v>
      </c>
      <c r="AI75" s="432" t="s">
        <v>12894</v>
      </c>
      <c r="AJ75" s="1579" t="s">
        <v>12895</v>
      </c>
      <c r="AK75" s="432" t="s">
        <v>12896</v>
      </c>
      <c r="AL75" s="432"/>
      <c r="AM75" s="432" t="s">
        <v>12897</v>
      </c>
      <c r="AN75" s="154" t="s">
        <v>12898</v>
      </c>
      <c r="AO75" s="101"/>
    </row>
    <row r="76" s="93" customFormat="1" ht="24" spans="1:41">
      <c r="A76" s="1615" t="s">
        <v>651</v>
      </c>
      <c r="B76" s="100" t="s">
        <v>12899</v>
      </c>
      <c r="C76" s="160">
        <v>5812</v>
      </c>
      <c r="D76" s="463" t="s">
        <v>12900</v>
      </c>
      <c r="E76" s="170" t="s">
        <v>12901</v>
      </c>
      <c r="F76" s="170" t="s">
        <v>43</v>
      </c>
      <c r="G76" s="102" t="s">
        <v>44</v>
      </c>
      <c r="H76" s="432" t="s">
        <v>12902</v>
      </c>
      <c r="I76" s="432" t="s">
        <v>12903</v>
      </c>
      <c r="J76" s="432"/>
      <c r="K76" s="106">
        <v>42401</v>
      </c>
      <c r="L76" s="106">
        <v>43131</v>
      </c>
      <c r="M76" s="106"/>
      <c r="N76" s="106"/>
      <c r="O76" s="106"/>
      <c r="P76" s="106"/>
      <c r="Q76" s="106"/>
      <c r="R76" s="106"/>
      <c r="S76" s="106">
        <v>43132</v>
      </c>
      <c r="T76" s="106">
        <v>43496</v>
      </c>
      <c r="U76" s="106"/>
      <c r="V76" s="106"/>
      <c r="W76" s="106"/>
      <c r="X76" s="106"/>
      <c r="Y76" s="540">
        <f ca="1">SUM(T76-NOW())</f>
        <v>223.61546296296</v>
      </c>
      <c r="Z76" s="106" t="str">
        <f ca="1" t="shared" si="15"/>
        <v>ACTIVE</v>
      </c>
      <c r="AA76" s="116">
        <f>10284225*134%</f>
        <v>13780861.5</v>
      </c>
      <c r="AB76" s="116"/>
      <c r="AC76" s="116"/>
      <c r="AD76" s="116" t="s">
        <v>12904</v>
      </c>
      <c r="AE76" s="116" t="s">
        <v>112</v>
      </c>
      <c r="AF76" s="116" t="s">
        <v>12290</v>
      </c>
      <c r="AG76" s="432" t="s">
        <v>12905</v>
      </c>
      <c r="AH76" s="1577" t="s">
        <v>12906</v>
      </c>
      <c r="AI76" s="432" t="s">
        <v>12907</v>
      </c>
      <c r="AJ76" s="122"/>
      <c r="AK76" s="1577" t="s">
        <v>12908</v>
      </c>
      <c r="AL76" s="432"/>
      <c r="AM76" s="432" t="s">
        <v>12909</v>
      </c>
      <c r="AN76" s="154" t="s">
        <v>12910</v>
      </c>
      <c r="AO76" s="101"/>
    </row>
    <row r="77" s="93" customFormat="1" ht="21" spans="1:41">
      <c r="A77" s="1615" t="s">
        <v>661</v>
      </c>
      <c r="B77" s="100" t="s">
        <v>12911</v>
      </c>
      <c r="C77" s="160">
        <v>256000</v>
      </c>
      <c r="D77" s="463" t="s">
        <v>12912</v>
      </c>
      <c r="E77" s="170" t="s">
        <v>12913</v>
      </c>
      <c r="F77" s="170" t="s">
        <v>43</v>
      </c>
      <c r="G77" s="102" t="s">
        <v>44</v>
      </c>
      <c r="H77" s="432" t="s">
        <v>11312</v>
      </c>
      <c r="I77" s="432" t="s">
        <v>12713</v>
      </c>
      <c r="J77" s="432" t="s">
        <v>583</v>
      </c>
      <c r="K77" s="106">
        <v>42936</v>
      </c>
      <c r="L77" s="106">
        <v>43100</v>
      </c>
      <c r="M77" s="106">
        <v>43251</v>
      </c>
      <c r="N77" s="469" t="s">
        <v>604</v>
      </c>
      <c r="O77" s="107">
        <v>43281</v>
      </c>
      <c r="P77" s="106"/>
      <c r="Q77" s="106"/>
      <c r="R77" s="106"/>
      <c r="S77" s="106"/>
      <c r="T77" s="106"/>
      <c r="U77" s="106"/>
      <c r="V77" s="106"/>
      <c r="W77" s="106"/>
      <c r="X77" s="106"/>
      <c r="Y77" s="540">
        <f ca="1">SUM(O77-NOW())</f>
        <v>8.61546296296001</v>
      </c>
      <c r="Z77" s="106" t="str">
        <f ca="1" t="shared" si="15"/>
        <v>WARNING</v>
      </c>
      <c r="AA77" s="569">
        <v>3830438</v>
      </c>
      <c r="AB77" s="116" t="s">
        <v>583</v>
      </c>
      <c r="AC77" s="116" t="s">
        <v>583</v>
      </c>
      <c r="AD77" s="569" t="s">
        <v>12914</v>
      </c>
      <c r="AE77" s="116" t="s">
        <v>113</v>
      </c>
      <c r="AF77" s="116" t="s">
        <v>12747</v>
      </c>
      <c r="AG77" s="432" t="s">
        <v>12915</v>
      </c>
      <c r="AH77" s="432" t="s">
        <v>12916</v>
      </c>
      <c r="AI77" s="432" t="s">
        <v>12917</v>
      </c>
      <c r="AJ77" s="1579" t="s">
        <v>12918</v>
      </c>
      <c r="AK77" s="432"/>
      <c r="AL77" s="432"/>
      <c r="AM77" s="432"/>
      <c r="AN77" s="370" t="s">
        <v>12919</v>
      </c>
      <c r="AO77" s="101"/>
    </row>
    <row r="78" s="93" customFormat="1" ht="24" spans="1:41">
      <c r="A78" s="1615" t="s">
        <v>671</v>
      </c>
      <c r="B78" s="100" t="s">
        <v>12920</v>
      </c>
      <c r="C78" s="160">
        <v>256000</v>
      </c>
      <c r="D78" s="463" t="s">
        <v>12921</v>
      </c>
      <c r="E78" s="170" t="s">
        <v>12922</v>
      </c>
      <c r="F78" s="170" t="s">
        <v>43</v>
      </c>
      <c r="G78" s="102" t="s">
        <v>60</v>
      </c>
      <c r="H78" s="432" t="s">
        <v>11312</v>
      </c>
      <c r="I78" s="432" t="s">
        <v>12713</v>
      </c>
      <c r="J78" s="432"/>
      <c r="K78" s="106">
        <v>42975</v>
      </c>
      <c r="L78" s="106">
        <v>43066</v>
      </c>
      <c r="M78" s="106">
        <v>43100</v>
      </c>
      <c r="N78" s="106">
        <v>43251</v>
      </c>
      <c r="O78" s="469" t="s">
        <v>604</v>
      </c>
      <c r="P78" s="107">
        <v>43281</v>
      </c>
      <c r="Q78" s="106"/>
      <c r="R78" s="106"/>
      <c r="S78" s="106"/>
      <c r="T78" s="106"/>
      <c r="U78" s="106"/>
      <c r="V78" s="106"/>
      <c r="W78" s="106"/>
      <c r="X78" s="106"/>
      <c r="Y78" s="540">
        <f ca="1">SUM(P78-NOW())</f>
        <v>8.61546296296001</v>
      </c>
      <c r="Z78" s="106" t="str">
        <f ca="1" t="shared" si="15"/>
        <v>WARNING</v>
      </c>
      <c r="AA78" s="569">
        <v>3830438</v>
      </c>
      <c r="AB78" s="116"/>
      <c r="AC78" s="116"/>
      <c r="AD78" s="569" t="s">
        <v>12914</v>
      </c>
      <c r="AE78" s="116" t="s">
        <v>113</v>
      </c>
      <c r="AF78" s="116" t="s">
        <v>12747</v>
      </c>
      <c r="AG78" s="432" t="s">
        <v>12923</v>
      </c>
      <c r="AH78" s="432">
        <v>89685219986</v>
      </c>
      <c r="AI78" s="432" t="s">
        <v>12924</v>
      </c>
      <c r="AJ78" s="1579" t="s">
        <v>12925</v>
      </c>
      <c r="AK78" s="432" t="s">
        <v>12926</v>
      </c>
      <c r="AL78" s="1577" t="s">
        <v>12927</v>
      </c>
      <c r="AM78" s="432"/>
      <c r="AN78" s="149" t="s">
        <v>12928</v>
      </c>
      <c r="AO78" s="101"/>
    </row>
    <row r="79" s="93" customFormat="1" ht="21" spans="1:58">
      <c r="A79" s="1615" t="s">
        <v>680</v>
      </c>
      <c r="B79" s="14" t="s">
        <v>12929</v>
      </c>
      <c r="C79" s="160" t="s">
        <v>12930</v>
      </c>
      <c r="D79" s="463" t="s">
        <v>12931</v>
      </c>
      <c r="E79" s="170" t="s">
        <v>12932</v>
      </c>
      <c r="F79" s="170" t="s">
        <v>43</v>
      </c>
      <c r="G79" s="102" t="s">
        <v>254</v>
      </c>
      <c r="H79" s="432" t="s">
        <v>1533</v>
      </c>
      <c r="I79" s="432" t="s">
        <v>12713</v>
      </c>
      <c r="J79" s="432"/>
      <c r="K79" s="106">
        <v>43003</v>
      </c>
      <c r="L79" s="106">
        <v>43367</v>
      </c>
      <c r="M79" s="469" t="s">
        <v>604</v>
      </c>
      <c r="N79" s="106"/>
      <c r="O79" s="106"/>
      <c r="P79" s="106"/>
      <c r="Q79" s="106"/>
      <c r="R79" s="106"/>
      <c r="S79" s="106"/>
      <c r="T79" s="106"/>
      <c r="U79" s="106"/>
      <c r="V79" s="106"/>
      <c r="W79" s="106"/>
      <c r="X79" s="106"/>
      <c r="Y79" s="540">
        <f ca="1" t="shared" ref="Y79:Y86" si="16">SUM(L79-NOW())</f>
        <v>94.61546296296</v>
      </c>
      <c r="Z79" s="106" t="str">
        <f ca="1" t="shared" si="15"/>
        <v>ACTIVE</v>
      </c>
      <c r="AA79" s="569">
        <v>3830438</v>
      </c>
      <c r="AB79" s="116"/>
      <c r="AC79" s="116"/>
      <c r="AD79" s="569" t="s">
        <v>12933</v>
      </c>
      <c r="AE79" s="116" t="s">
        <v>113</v>
      </c>
      <c r="AF79" s="116" t="s">
        <v>12290</v>
      </c>
      <c r="AG79" s="432" t="s">
        <v>12934</v>
      </c>
      <c r="AH79" s="1577" t="s">
        <v>12935</v>
      </c>
      <c r="AI79" s="432" t="s">
        <v>12936</v>
      </c>
      <c r="AJ79" s="1579" t="s">
        <v>12937</v>
      </c>
      <c r="AK79" s="432" t="s">
        <v>12938</v>
      </c>
      <c r="AL79" s="432"/>
      <c r="AM79" s="432"/>
      <c r="AN79" s="149" t="s">
        <v>12939</v>
      </c>
      <c r="AO79" s="101"/>
      <c r="BF79" s="490"/>
    </row>
    <row r="80" s="93" customFormat="1" ht="21" spans="1:58">
      <c r="A80" s="1615" t="s">
        <v>690</v>
      </c>
      <c r="B80" s="14" t="s">
        <v>12940</v>
      </c>
      <c r="C80" s="160">
        <v>5547</v>
      </c>
      <c r="D80" s="463" t="s">
        <v>12941</v>
      </c>
      <c r="E80" s="170" t="s">
        <v>12942</v>
      </c>
      <c r="F80" s="170" t="s">
        <v>43</v>
      </c>
      <c r="G80" s="102" t="s">
        <v>44</v>
      </c>
      <c r="H80" s="432" t="s">
        <v>12943</v>
      </c>
      <c r="I80" s="432"/>
      <c r="J80" s="432"/>
      <c r="K80" s="106">
        <v>43070</v>
      </c>
      <c r="L80" s="106">
        <v>43404</v>
      </c>
      <c r="M80" s="106"/>
      <c r="N80" s="106"/>
      <c r="O80" s="106"/>
      <c r="P80" s="106"/>
      <c r="Q80" s="106"/>
      <c r="R80" s="106"/>
      <c r="S80" s="106"/>
      <c r="T80" s="106"/>
      <c r="U80" s="106"/>
      <c r="V80" s="106"/>
      <c r="W80" s="106"/>
      <c r="X80" s="106"/>
      <c r="Y80" s="540">
        <f ca="1" t="shared" si="16"/>
        <v>131.61546296296</v>
      </c>
      <c r="Z80" s="106" t="str">
        <f ca="1" t="shared" si="15"/>
        <v>ACTIVE</v>
      </c>
      <c r="AA80" s="116">
        <v>5500000</v>
      </c>
      <c r="AB80" s="116"/>
      <c r="AC80" s="116"/>
      <c r="AD80" s="116"/>
      <c r="AE80" s="116" t="s">
        <v>112</v>
      </c>
      <c r="AF80" s="116" t="s">
        <v>12290</v>
      </c>
      <c r="AG80" s="432" t="s">
        <v>12944</v>
      </c>
      <c r="AH80" s="432">
        <v>85210095157</v>
      </c>
      <c r="AI80" s="432" t="s">
        <v>12945</v>
      </c>
      <c r="AJ80" s="1579" t="s">
        <v>12946</v>
      </c>
      <c r="AK80" s="432" t="s">
        <v>12947</v>
      </c>
      <c r="AL80" s="432">
        <v>16049618396</v>
      </c>
      <c r="AM80" s="432"/>
      <c r="AN80" s="149" t="s">
        <v>12948</v>
      </c>
      <c r="AO80" s="101"/>
      <c r="BF80" s="490"/>
    </row>
    <row r="81" s="93" customFormat="1" ht="21" spans="1:41">
      <c r="A81" s="1615" t="s">
        <v>699</v>
      </c>
      <c r="B81" s="14" t="s">
        <v>12949</v>
      </c>
      <c r="C81" s="160">
        <v>5810</v>
      </c>
      <c r="D81" s="463" t="s">
        <v>12950</v>
      </c>
      <c r="E81" s="170" t="s">
        <v>12951</v>
      </c>
      <c r="F81" s="170" t="s">
        <v>125</v>
      </c>
      <c r="G81" s="102" t="s">
        <v>60</v>
      </c>
      <c r="H81" s="432" t="s">
        <v>12952</v>
      </c>
      <c r="I81" s="432"/>
      <c r="J81" s="432"/>
      <c r="K81" s="106">
        <v>43132</v>
      </c>
      <c r="L81" s="106">
        <v>43312</v>
      </c>
      <c r="M81" s="107">
        <v>43465</v>
      </c>
      <c r="N81" s="106"/>
      <c r="O81" s="106"/>
      <c r="P81" s="106"/>
      <c r="Q81" s="106"/>
      <c r="R81" s="106"/>
      <c r="S81" s="106"/>
      <c r="T81" s="106"/>
      <c r="U81" s="106"/>
      <c r="V81" s="106"/>
      <c r="W81" s="106"/>
      <c r="X81" s="106"/>
      <c r="Y81" s="540">
        <f ca="1" t="shared" si="16"/>
        <v>39.61546296296</v>
      </c>
      <c r="Z81" s="106" t="str">
        <f ca="1" t="shared" si="15"/>
        <v>WARNING</v>
      </c>
      <c r="AA81" s="116">
        <v>34760064</v>
      </c>
      <c r="AB81" s="116"/>
      <c r="AC81" s="116"/>
      <c r="AD81" s="116"/>
      <c r="AE81" s="116" t="s">
        <v>112</v>
      </c>
      <c r="AF81" s="116" t="s">
        <v>12290</v>
      </c>
      <c r="AG81" s="432" t="s">
        <v>12953</v>
      </c>
      <c r="AH81" s="1577" t="s">
        <v>12954</v>
      </c>
      <c r="AI81" s="432" t="s">
        <v>12955</v>
      </c>
      <c r="AJ81" s="1579" t="s">
        <v>12956</v>
      </c>
      <c r="AK81" s="432" t="s">
        <v>12957</v>
      </c>
      <c r="AL81" s="432">
        <v>11023484477</v>
      </c>
      <c r="AM81" s="1577" t="s">
        <v>12958</v>
      </c>
      <c r="AN81" s="149" t="s">
        <v>12959</v>
      </c>
      <c r="AO81" s="101"/>
    </row>
    <row r="82" s="459" customFormat="1" ht="24" spans="1:41">
      <c r="A82" s="1618" t="s">
        <v>709</v>
      </c>
      <c r="B82" s="32" t="s">
        <v>12960</v>
      </c>
      <c r="C82" s="162">
        <v>5527</v>
      </c>
      <c r="D82" s="166" t="s">
        <v>12961</v>
      </c>
      <c r="E82" s="172" t="s">
        <v>12962</v>
      </c>
      <c r="F82" s="172" t="s">
        <v>125</v>
      </c>
      <c r="G82" s="173" t="s">
        <v>404</v>
      </c>
      <c r="H82" s="180" t="s">
        <v>12963</v>
      </c>
      <c r="I82" s="180"/>
      <c r="J82" s="180"/>
      <c r="K82" s="175">
        <v>43173</v>
      </c>
      <c r="L82" s="175">
        <v>43264</v>
      </c>
      <c r="M82" s="175"/>
      <c r="N82" s="175"/>
      <c r="O82" s="175"/>
      <c r="P82" s="175"/>
      <c r="Q82" s="175"/>
      <c r="R82" s="175"/>
      <c r="S82" s="175"/>
      <c r="T82" s="175"/>
      <c r="U82" s="175"/>
      <c r="V82" s="175"/>
      <c r="W82" s="175"/>
      <c r="X82" s="175"/>
      <c r="Y82" s="542">
        <f ca="1" t="shared" si="16"/>
        <v>-8.38453703703999</v>
      </c>
      <c r="Z82" s="175" t="str">
        <f ca="1" t="shared" si="15"/>
        <v>WARNING</v>
      </c>
      <c r="AA82" s="179">
        <v>10933366</v>
      </c>
      <c r="AB82" s="179"/>
      <c r="AC82" s="179"/>
      <c r="AD82" s="179"/>
      <c r="AE82" s="179"/>
      <c r="AF82" s="179"/>
      <c r="AG82" s="180" t="s">
        <v>12964</v>
      </c>
      <c r="AH82" s="1594" t="s">
        <v>12965</v>
      </c>
      <c r="AI82" s="180" t="s">
        <v>12966</v>
      </c>
      <c r="AJ82" s="1581" t="s">
        <v>12967</v>
      </c>
      <c r="AK82" s="1594" t="s">
        <v>12968</v>
      </c>
      <c r="AL82" s="180" t="s">
        <v>5647</v>
      </c>
      <c r="AM82" s="1594" t="s">
        <v>12969</v>
      </c>
      <c r="AN82" s="86" t="s">
        <v>12970</v>
      </c>
      <c r="AO82" s="163" t="s">
        <v>12971</v>
      </c>
    </row>
    <row r="83" s="93" customFormat="1" ht="12" spans="1:41">
      <c r="A83" s="1615" t="s">
        <v>718</v>
      </c>
      <c r="B83" s="14" t="s">
        <v>12972</v>
      </c>
      <c r="C83" s="160" t="s">
        <v>12512</v>
      </c>
      <c r="D83" s="463" t="s">
        <v>12973</v>
      </c>
      <c r="E83" s="170" t="s">
        <v>12974</v>
      </c>
      <c r="F83" s="170" t="s">
        <v>125</v>
      </c>
      <c r="G83" s="102" t="s">
        <v>44</v>
      </c>
      <c r="H83" s="432" t="s">
        <v>12515</v>
      </c>
      <c r="I83" s="432" t="s">
        <v>12975</v>
      </c>
      <c r="J83" s="432"/>
      <c r="K83" s="106">
        <v>43171</v>
      </c>
      <c r="L83" s="106">
        <v>43281</v>
      </c>
      <c r="M83" s="469" t="s">
        <v>604</v>
      </c>
      <c r="N83" s="106"/>
      <c r="O83" s="106"/>
      <c r="P83" s="106"/>
      <c r="Q83" s="106"/>
      <c r="R83" s="106"/>
      <c r="S83" s="106"/>
      <c r="T83" s="106"/>
      <c r="U83" s="106"/>
      <c r="V83" s="106"/>
      <c r="W83" s="106"/>
      <c r="X83" s="106"/>
      <c r="Y83" s="540">
        <f ca="1" t="shared" si="16"/>
        <v>8.61546296296001</v>
      </c>
      <c r="Z83" s="106" t="str">
        <f ca="1" t="shared" si="15"/>
        <v>WARNING</v>
      </c>
      <c r="AA83" s="569">
        <v>3830438</v>
      </c>
      <c r="AB83" s="116"/>
      <c r="AC83" s="116"/>
      <c r="AD83" s="569" t="s">
        <v>12933</v>
      </c>
      <c r="AE83" s="116"/>
      <c r="AF83" s="116"/>
      <c r="AG83" s="432" t="s">
        <v>12976</v>
      </c>
      <c r="AH83" s="1577" t="s">
        <v>12977</v>
      </c>
      <c r="AI83" s="432"/>
      <c r="AJ83" s="1579" t="s">
        <v>12978</v>
      </c>
      <c r="AK83" s="432"/>
      <c r="AL83" s="432"/>
      <c r="AM83" s="432"/>
      <c r="AN83" s="149" t="s">
        <v>12979</v>
      </c>
      <c r="AO83" s="101"/>
    </row>
    <row r="84" s="93" customFormat="1" ht="21" spans="1:41">
      <c r="A84" s="1615" t="s">
        <v>730</v>
      </c>
      <c r="B84" s="14" t="s">
        <v>12980</v>
      </c>
      <c r="C84" s="160">
        <v>8152101</v>
      </c>
      <c r="D84" s="463" t="s">
        <v>12981</v>
      </c>
      <c r="E84" s="170" t="s">
        <v>12982</v>
      </c>
      <c r="F84" s="170" t="s">
        <v>125</v>
      </c>
      <c r="G84" s="102" t="s">
        <v>60</v>
      </c>
      <c r="H84" s="432" t="s">
        <v>12056</v>
      </c>
      <c r="I84" s="432" t="s">
        <v>12983</v>
      </c>
      <c r="J84" s="432"/>
      <c r="K84" s="106">
        <v>43212</v>
      </c>
      <c r="L84" s="106">
        <v>43302</v>
      </c>
      <c r="M84" s="106"/>
      <c r="N84" s="106"/>
      <c r="O84" s="106"/>
      <c r="P84" s="106"/>
      <c r="Q84" s="106"/>
      <c r="R84" s="106"/>
      <c r="S84" s="106"/>
      <c r="T84" s="106"/>
      <c r="U84" s="106"/>
      <c r="V84" s="106"/>
      <c r="W84" s="106"/>
      <c r="X84" s="106"/>
      <c r="Y84" s="540">
        <f ca="1" t="shared" si="16"/>
        <v>29.61546296296</v>
      </c>
      <c r="Z84" s="106" t="str">
        <f ca="1" t="shared" si="15"/>
        <v>WARNING</v>
      </c>
      <c r="AA84" s="116">
        <v>11876555</v>
      </c>
      <c r="AB84" s="116"/>
      <c r="AC84" s="116"/>
      <c r="AD84" s="116"/>
      <c r="AE84" s="116"/>
      <c r="AF84" s="116"/>
      <c r="AG84" s="432" t="s">
        <v>12984</v>
      </c>
      <c r="AH84" s="1577" t="s">
        <v>12985</v>
      </c>
      <c r="AI84" s="432" t="s">
        <v>12986</v>
      </c>
      <c r="AJ84" s="1579" t="s">
        <v>12987</v>
      </c>
      <c r="AK84" s="1577" t="s">
        <v>12988</v>
      </c>
      <c r="AL84" s="432">
        <v>13012705482</v>
      </c>
      <c r="AM84" s="1577" t="s">
        <v>12989</v>
      </c>
      <c r="AN84" s="149" t="s">
        <v>12990</v>
      </c>
      <c r="AO84" s="101"/>
    </row>
    <row r="85" s="93" customFormat="1" ht="21" spans="1:61">
      <c r="A85" s="1615" t="s">
        <v>740</v>
      </c>
      <c r="B85" s="14" t="s">
        <v>12991</v>
      </c>
      <c r="C85" s="160">
        <v>251012</v>
      </c>
      <c r="D85" s="463" t="s">
        <v>12992</v>
      </c>
      <c r="E85" s="170" t="s">
        <v>12993</v>
      </c>
      <c r="F85" s="170" t="s">
        <v>125</v>
      </c>
      <c r="G85" s="102" t="s">
        <v>44</v>
      </c>
      <c r="H85" s="432" t="s">
        <v>12994</v>
      </c>
      <c r="I85" s="432" t="s">
        <v>12724</v>
      </c>
      <c r="J85" s="432"/>
      <c r="K85" s="106">
        <v>43192</v>
      </c>
      <c r="L85" s="106">
        <v>43556</v>
      </c>
      <c r="M85" s="106"/>
      <c r="N85" s="106"/>
      <c r="O85" s="106"/>
      <c r="P85" s="106"/>
      <c r="Q85" s="106"/>
      <c r="R85" s="106"/>
      <c r="S85" s="106"/>
      <c r="T85" s="106"/>
      <c r="U85" s="106"/>
      <c r="V85" s="106"/>
      <c r="W85" s="106"/>
      <c r="X85" s="106"/>
      <c r="Y85" s="540">
        <f ca="1" t="shared" si="16"/>
        <v>283.61546296296</v>
      </c>
      <c r="Z85" s="106" t="str">
        <f ca="1" t="shared" si="15"/>
        <v>ACTIVE</v>
      </c>
      <c r="AA85" s="116">
        <v>3830438</v>
      </c>
      <c r="AB85" s="116"/>
      <c r="AC85" s="116"/>
      <c r="AD85" s="116"/>
      <c r="AE85" s="116" t="s">
        <v>112</v>
      </c>
      <c r="AF85" s="116" t="s">
        <v>12290</v>
      </c>
      <c r="AG85" s="432" t="s">
        <v>12995</v>
      </c>
      <c r="AH85" s="1577" t="s">
        <v>12996</v>
      </c>
      <c r="AI85" s="432" t="s">
        <v>12997</v>
      </c>
      <c r="AJ85" s="1579" t="s">
        <v>12998</v>
      </c>
      <c r="AK85" s="432"/>
      <c r="AL85" s="432"/>
      <c r="AM85" s="1577" t="s">
        <v>12999</v>
      </c>
      <c r="AN85" s="149" t="s">
        <v>13000</v>
      </c>
      <c r="AO85" s="101"/>
      <c r="BG85" s="564">
        <v>41597</v>
      </c>
      <c r="BH85" s="564">
        <v>42004</v>
      </c>
      <c r="BI85" s="565" t="str">
        <f>ROUNDDOWN((BH85-BG85)/360,0)*12&amp;ROUNDDOWN(MOD(BH85-BG85,360)/30,0)</f>
        <v>121</v>
      </c>
    </row>
    <row r="86" s="93" customFormat="1" ht="21" spans="1:41">
      <c r="A86" s="1615" t="s">
        <v>790</v>
      </c>
      <c r="B86" s="14" t="s">
        <v>13001</v>
      </c>
      <c r="C86" s="160">
        <v>5812</v>
      </c>
      <c r="D86" s="463" t="s">
        <v>13002</v>
      </c>
      <c r="E86" s="170" t="s">
        <v>13003</v>
      </c>
      <c r="F86" s="170" t="s">
        <v>125</v>
      </c>
      <c r="G86" s="102" t="s">
        <v>44</v>
      </c>
      <c r="H86" s="432" t="s">
        <v>13004</v>
      </c>
      <c r="I86" s="432" t="s">
        <v>13005</v>
      </c>
      <c r="J86" s="432"/>
      <c r="K86" s="107">
        <v>43221</v>
      </c>
      <c r="L86" s="107">
        <v>43585</v>
      </c>
      <c r="M86" s="106" t="s">
        <v>583</v>
      </c>
      <c r="N86" s="106" t="s">
        <v>583</v>
      </c>
      <c r="O86" s="106" t="s">
        <v>583</v>
      </c>
      <c r="P86" s="106"/>
      <c r="Q86" s="106"/>
      <c r="R86" s="106"/>
      <c r="S86" s="106"/>
      <c r="T86" s="106"/>
      <c r="U86" s="106"/>
      <c r="V86" s="106"/>
      <c r="W86" s="106"/>
      <c r="X86" s="106"/>
      <c r="Y86" s="540">
        <f ca="1" t="shared" si="16"/>
        <v>312.61546296296</v>
      </c>
      <c r="Z86" s="106" t="str">
        <f ca="1" t="shared" si="15"/>
        <v>ACTIVE</v>
      </c>
      <c r="AA86" s="116">
        <v>6000000</v>
      </c>
      <c r="AB86" s="116"/>
      <c r="AC86" s="116"/>
      <c r="AD86" s="116"/>
      <c r="AE86" s="116" t="s">
        <v>112</v>
      </c>
      <c r="AF86" s="116" t="s">
        <v>12290</v>
      </c>
      <c r="AG86" s="432" t="s">
        <v>13006</v>
      </c>
      <c r="AH86" s="1577" t="s">
        <v>13007</v>
      </c>
      <c r="AI86" s="432" t="s">
        <v>13008</v>
      </c>
      <c r="AJ86" s="1579" t="s">
        <v>13009</v>
      </c>
      <c r="AK86" s="1577" t="s">
        <v>13010</v>
      </c>
      <c r="AL86" s="1577" t="s">
        <v>13011</v>
      </c>
      <c r="AM86" s="432"/>
      <c r="AN86" s="149" t="s">
        <v>13012</v>
      </c>
      <c r="AO86" s="101"/>
    </row>
    <row r="87" s="93" customFormat="1" spans="36:41">
      <c r="AJ87" s="570"/>
      <c r="AO87" s="156"/>
    </row>
    <row r="88" s="93" customFormat="1" spans="36:41">
      <c r="AJ88" s="570"/>
      <c r="AO88" s="156"/>
    </row>
    <row r="89" s="93" customFormat="1" spans="36:41">
      <c r="AJ89" s="570"/>
      <c r="AO89" s="156"/>
    </row>
    <row r="90" s="93" customFormat="1" spans="36:41">
      <c r="AJ90" s="570"/>
      <c r="AO90" s="156"/>
    </row>
    <row r="91" s="93" customFormat="1" spans="36:41">
      <c r="AJ91" s="570"/>
      <c r="AO91" s="156"/>
    </row>
    <row r="92" s="93" customFormat="1" spans="36:41">
      <c r="AJ92" s="570"/>
      <c r="AO92" s="156"/>
    </row>
    <row r="93" s="93" customFormat="1" spans="36:41">
      <c r="AJ93" s="570"/>
      <c r="AO93" s="156"/>
    </row>
    <row r="94" s="93" customFormat="1" spans="36:41">
      <c r="AJ94" s="570"/>
      <c r="AO94" s="156"/>
    </row>
    <row r="95" s="93" customFormat="1" spans="36:41">
      <c r="AJ95" s="570"/>
      <c r="AO95" s="156"/>
    </row>
    <row r="96" s="93" customFormat="1" spans="36:41">
      <c r="AJ96" s="570"/>
      <c r="AO96" s="156"/>
    </row>
    <row r="97" s="93" customFormat="1" spans="36:41">
      <c r="AJ97" s="570"/>
      <c r="AO97" s="156"/>
    </row>
    <row r="98" s="93" customFormat="1" spans="36:41">
      <c r="AJ98" s="570"/>
      <c r="AO98" s="156"/>
    </row>
    <row r="99" s="93" customFormat="1" ht="11.25" spans="36:41">
      <c r="AJ99" s="570"/>
      <c r="AO99" s="156"/>
    </row>
    <row r="100" s="93" customFormat="1" ht="11.25" spans="1:41">
      <c r="A100" s="464" t="s">
        <v>2552</v>
      </c>
      <c r="B100" s="566"/>
      <c r="C100" s="567"/>
      <c r="AJ100" s="570"/>
      <c r="AO100" s="156"/>
    </row>
    <row r="101" s="93" customFormat="1" ht="14.1" customHeight="1" spans="1:41">
      <c r="A101" s="160">
        <v>47</v>
      </c>
      <c r="B101" s="161" t="s">
        <v>13013</v>
      </c>
      <c r="C101" s="162"/>
      <c r="D101" s="167" t="s">
        <v>13014</v>
      </c>
      <c r="E101" s="172" t="s">
        <v>13015</v>
      </c>
      <c r="F101" s="172" t="s">
        <v>43</v>
      </c>
      <c r="G101" s="173" t="s">
        <v>44</v>
      </c>
      <c r="H101" s="467" t="s">
        <v>13016</v>
      </c>
      <c r="I101" s="467" t="s">
        <v>12766</v>
      </c>
      <c r="J101" s="467"/>
      <c r="K101" s="182">
        <v>42562</v>
      </c>
      <c r="L101" s="182">
        <v>42926</v>
      </c>
      <c r="M101" s="182" t="s">
        <v>583</v>
      </c>
      <c r="N101" s="182" t="s">
        <v>583</v>
      </c>
      <c r="O101" s="182" t="s">
        <v>583</v>
      </c>
      <c r="P101" s="182"/>
      <c r="Q101" s="182"/>
      <c r="R101" s="182"/>
      <c r="S101" s="182"/>
      <c r="T101" s="182"/>
      <c r="U101" s="182"/>
      <c r="V101" s="182"/>
      <c r="W101" s="182"/>
      <c r="X101" s="182"/>
      <c r="Y101" s="542">
        <v>-25.7084512731453</v>
      </c>
      <c r="Z101" s="175" t="s">
        <v>2569</v>
      </c>
      <c r="AA101" s="181">
        <v>6500000</v>
      </c>
      <c r="AB101" s="181" t="s">
        <v>583</v>
      </c>
      <c r="AC101" s="181"/>
      <c r="AD101" s="181" t="s">
        <v>13017</v>
      </c>
      <c r="AE101" s="181" t="s">
        <v>112</v>
      </c>
      <c r="AF101" s="181" t="s">
        <v>12290</v>
      </c>
      <c r="AG101" s="180" t="s">
        <v>13018</v>
      </c>
      <c r="AH101" s="180"/>
      <c r="AI101" s="180" t="s">
        <v>13019</v>
      </c>
      <c r="AJ101" s="224" t="s">
        <v>13020</v>
      </c>
      <c r="AK101" s="180" t="s">
        <v>13021</v>
      </c>
      <c r="AL101" s="180">
        <v>11016036888</v>
      </c>
      <c r="AM101" s="180" t="s">
        <v>13022</v>
      </c>
      <c r="AN101" s="368" t="s">
        <v>13023</v>
      </c>
      <c r="AO101" s="163" t="s">
        <v>13024</v>
      </c>
    </row>
    <row r="102" s="93" customFormat="1" ht="14.1" customHeight="1" spans="1:41">
      <c r="A102" s="160">
        <v>77</v>
      </c>
      <c r="B102" s="161" t="s">
        <v>13025</v>
      </c>
      <c r="C102" s="161"/>
      <c r="D102" s="166" t="s">
        <v>13026</v>
      </c>
      <c r="E102" s="172" t="s">
        <v>13027</v>
      </c>
      <c r="F102" s="172" t="s">
        <v>125</v>
      </c>
      <c r="G102" s="173" t="s">
        <v>404</v>
      </c>
      <c r="H102" s="180" t="s">
        <v>13028</v>
      </c>
      <c r="I102" s="180" t="s">
        <v>12713</v>
      </c>
      <c r="J102" s="180"/>
      <c r="K102" s="175">
        <v>42782</v>
      </c>
      <c r="L102" s="175">
        <v>43146</v>
      </c>
      <c r="M102" s="175" t="s">
        <v>583</v>
      </c>
      <c r="N102" s="175" t="s">
        <v>583</v>
      </c>
      <c r="O102" s="175" t="s">
        <v>583</v>
      </c>
      <c r="P102" s="175"/>
      <c r="Q102" s="175"/>
      <c r="R102" s="175"/>
      <c r="S102" s="175"/>
      <c r="T102" s="175"/>
      <c r="U102" s="175"/>
      <c r="V102" s="175"/>
      <c r="W102" s="175"/>
      <c r="X102" s="175"/>
      <c r="Y102" s="542">
        <v>194.291548726855</v>
      </c>
      <c r="Z102" s="175" t="s">
        <v>745</v>
      </c>
      <c r="AA102" s="179">
        <v>9800000</v>
      </c>
      <c r="AB102" s="179"/>
      <c r="AC102" s="179"/>
      <c r="AD102" s="179"/>
      <c r="AE102" s="179" t="s">
        <v>112</v>
      </c>
      <c r="AF102" s="179" t="s">
        <v>12290</v>
      </c>
      <c r="AG102" s="180" t="s">
        <v>13029</v>
      </c>
      <c r="AH102" s="180">
        <v>8126624634</v>
      </c>
      <c r="AI102" s="180" t="s">
        <v>13030</v>
      </c>
      <c r="AJ102" s="1581" t="s">
        <v>13031</v>
      </c>
      <c r="AK102" s="1594" t="s">
        <v>13032</v>
      </c>
      <c r="AL102" s="180">
        <v>15008253237</v>
      </c>
      <c r="AM102" s="180" t="s">
        <v>13033</v>
      </c>
      <c r="AN102" s="86" t="s">
        <v>13034</v>
      </c>
      <c r="AO102" s="163" t="s">
        <v>13035</v>
      </c>
    </row>
    <row r="103" s="93" customFormat="1" ht="14.1" customHeight="1" spans="1:41">
      <c r="A103" s="1615" t="s">
        <v>272</v>
      </c>
      <c r="B103" s="161" t="s">
        <v>13036</v>
      </c>
      <c r="C103" s="162"/>
      <c r="D103" s="167" t="s">
        <v>13037</v>
      </c>
      <c r="E103" s="172" t="s">
        <v>13038</v>
      </c>
      <c r="F103" s="172" t="s">
        <v>125</v>
      </c>
      <c r="G103" s="173" t="s">
        <v>404</v>
      </c>
      <c r="H103" s="180" t="s">
        <v>13039</v>
      </c>
      <c r="I103" s="467" t="s">
        <v>13040</v>
      </c>
      <c r="J103" s="467" t="s">
        <v>583</v>
      </c>
      <c r="K103" s="182">
        <v>41962</v>
      </c>
      <c r="L103" s="182">
        <v>42326</v>
      </c>
      <c r="M103" s="182">
        <v>42692</v>
      </c>
      <c r="N103" s="182"/>
      <c r="O103" s="182"/>
      <c r="P103" s="182"/>
      <c r="Q103" s="182"/>
      <c r="R103" s="182"/>
      <c r="S103" s="182">
        <v>42693</v>
      </c>
      <c r="T103" s="182">
        <v>43057</v>
      </c>
      <c r="U103" s="182"/>
      <c r="V103" s="182"/>
      <c r="W103" s="182"/>
      <c r="X103" s="182"/>
      <c r="Y103" s="542">
        <v>56.3882930555556</v>
      </c>
      <c r="Z103" s="175" t="s">
        <v>745</v>
      </c>
      <c r="AA103" s="181">
        <v>5267688.8</v>
      </c>
      <c r="AB103" s="181"/>
      <c r="AC103" s="181"/>
      <c r="AD103" s="181" t="s">
        <v>13041</v>
      </c>
      <c r="AE103" s="181" t="s">
        <v>112</v>
      </c>
      <c r="AF103" s="181" t="s">
        <v>12290</v>
      </c>
      <c r="AG103" s="180" t="s">
        <v>13042</v>
      </c>
      <c r="AH103" s="180" t="s">
        <v>13043</v>
      </c>
      <c r="AI103" s="180" t="s">
        <v>13044</v>
      </c>
      <c r="AJ103" s="1581" t="s">
        <v>13045</v>
      </c>
      <c r="AK103" s="180" t="s">
        <v>13046</v>
      </c>
      <c r="AL103" s="180" t="s">
        <v>13047</v>
      </c>
      <c r="AM103" s="180" t="s">
        <v>13048</v>
      </c>
      <c r="AN103" s="368" t="s">
        <v>13049</v>
      </c>
      <c r="AO103" s="163" t="s">
        <v>13050</v>
      </c>
    </row>
    <row r="104" s="93" customFormat="1" ht="14.1" customHeight="1" spans="1:41">
      <c r="A104" s="1615" t="s">
        <v>381</v>
      </c>
      <c r="B104" s="161" t="s">
        <v>13051</v>
      </c>
      <c r="C104" s="162"/>
      <c r="D104" s="167" t="s">
        <v>13052</v>
      </c>
      <c r="E104" s="172" t="s">
        <v>13053</v>
      </c>
      <c r="F104" s="172" t="s">
        <v>125</v>
      </c>
      <c r="G104" s="173" t="s">
        <v>96</v>
      </c>
      <c r="H104" s="180" t="s">
        <v>7940</v>
      </c>
      <c r="I104" s="467" t="s">
        <v>12562</v>
      </c>
      <c r="J104" s="467" t="s">
        <v>12563</v>
      </c>
      <c r="K104" s="182">
        <v>42370</v>
      </c>
      <c r="L104" s="182">
        <v>42735</v>
      </c>
      <c r="M104" s="182">
        <v>43100</v>
      </c>
      <c r="N104" s="182"/>
      <c r="O104" s="182"/>
      <c r="P104" s="182"/>
      <c r="Q104" s="182"/>
      <c r="R104" s="182"/>
      <c r="S104" s="182"/>
      <c r="T104" s="182"/>
      <c r="U104" s="182"/>
      <c r="V104" s="182"/>
      <c r="W104" s="182"/>
      <c r="X104" s="182"/>
      <c r="Y104" s="542">
        <v>99.3882930555556</v>
      </c>
      <c r="Z104" s="175" t="s">
        <v>745</v>
      </c>
      <c r="AA104" s="181">
        <v>10505706.2</v>
      </c>
      <c r="AB104" s="181"/>
      <c r="AC104" s="181"/>
      <c r="AD104" s="181" t="s">
        <v>13054</v>
      </c>
      <c r="AE104" s="181" t="s">
        <v>112</v>
      </c>
      <c r="AF104" s="181" t="s">
        <v>12290</v>
      </c>
      <c r="AG104" s="180" t="s">
        <v>13055</v>
      </c>
      <c r="AH104" s="180">
        <v>81314176781</v>
      </c>
      <c r="AI104" s="180" t="s">
        <v>13056</v>
      </c>
      <c r="AJ104" s="1581" t="s">
        <v>13057</v>
      </c>
      <c r="AK104" s="180" t="s">
        <v>13058</v>
      </c>
      <c r="AL104" s="180" t="s">
        <v>13059</v>
      </c>
      <c r="AM104" s="180" t="s">
        <v>13060</v>
      </c>
      <c r="AN104" s="368" t="s">
        <v>13061</v>
      </c>
      <c r="AO104" s="163" t="s">
        <v>4058</v>
      </c>
    </row>
    <row r="105" s="93" customFormat="1" ht="14.1" customHeight="1" spans="1:41">
      <c r="A105" s="1618" t="s">
        <v>753</v>
      </c>
      <c r="B105" s="161" t="s">
        <v>13062</v>
      </c>
      <c r="C105" s="161"/>
      <c r="D105" s="166" t="s">
        <v>13063</v>
      </c>
      <c r="E105" s="172" t="s">
        <v>13064</v>
      </c>
      <c r="F105" s="172" t="s">
        <v>43</v>
      </c>
      <c r="G105" s="173" t="s">
        <v>44</v>
      </c>
      <c r="H105" s="180" t="s">
        <v>13065</v>
      </c>
      <c r="I105" s="180" t="s">
        <v>12713</v>
      </c>
      <c r="J105" s="180"/>
      <c r="K105" s="175">
        <v>42740</v>
      </c>
      <c r="L105" s="175">
        <v>43104</v>
      </c>
      <c r="M105" s="175"/>
      <c r="N105" s="175"/>
      <c r="O105" s="175"/>
      <c r="P105" s="175"/>
      <c r="Q105" s="175"/>
      <c r="R105" s="175"/>
      <c r="S105" s="175"/>
      <c r="T105" s="175"/>
      <c r="U105" s="175"/>
      <c r="V105" s="175"/>
      <c r="W105" s="175"/>
      <c r="X105" s="175"/>
      <c r="Y105" s="542">
        <v>103.388293055556</v>
      </c>
      <c r="Z105" s="175" t="s">
        <v>745</v>
      </c>
      <c r="AA105" s="179">
        <v>5250000</v>
      </c>
      <c r="AB105" s="179"/>
      <c r="AC105" s="179"/>
      <c r="AD105" s="179"/>
      <c r="AE105" s="179" t="s">
        <v>113</v>
      </c>
      <c r="AF105" s="179" t="s">
        <v>12290</v>
      </c>
      <c r="AG105" s="180" t="s">
        <v>13066</v>
      </c>
      <c r="AH105" s="180"/>
      <c r="AI105" s="180" t="s">
        <v>13067</v>
      </c>
      <c r="AJ105" s="1581" t="s">
        <v>13068</v>
      </c>
      <c r="AK105" s="1594" t="s">
        <v>13069</v>
      </c>
      <c r="AL105" s="180"/>
      <c r="AM105" s="180"/>
      <c r="AN105" s="368" t="s">
        <v>13070</v>
      </c>
      <c r="AO105" s="163" t="s">
        <v>13071</v>
      </c>
    </row>
    <row r="106" s="93" customFormat="1" ht="14.1" customHeight="1" spans="1:41">
      <c r="A106" s="1618" t="s">
        <v>777</v>
      </c>
      <c r="B106" s="161" t="s">
        <v>13072</v>
      </c>
      <c r="C106" s="161"/>
      <c r="D106" s="166" t="s">
        <v>13073</v>
      </c>
      <c r="E106" s="172" t="s">
        <v>13074</v>
      </c>
      <c r="F106" s="172" t="s">
        <v>125</v>
      </c>
      <c r="G106" s="173" t="s">
        <v>60</v>
      </c>
      <c r="H106" s="180" t="s">
        <v>13075</v>
      </c>
      <c r="I106" s="180" t="s">
        <v>12713</v>
      </c>
      <c r="J106" s="180" t="s">
        <v>12563</v>
      </c>
      <c r="K106" s="175">
        <v>42736</v>
      </c>
      <c r="L106" s="175">
        <v>42794</v>
      </c>
      <c r="M106" s="175">
        <v>42978</v>
      </c>
      <c r="N106" s="175"/>
      <c r="O106" s="175"/>
      <c r="P106" s="175"/>
      <c r="Q106" s="175"/>
      <c r="R106" s="175"/>
      <c r="S106" s="175"/>
      <c r="T106" s="175"/>
      <c r="U106" s="175"/>
      <c r="V106" s="175"/>
      <c r="W106" s="175"/>
      <c r="X106" s="175"/>
      <c r="Y106" s="542">
        <v>-22.6117069444444</v>
      </c>
      <c r="Z106" s="175" t="s">
        <v>2569</v>
      </c>
      <c r="AA106" s="179">
        <v>5300000</v>
      </c>
      <c r="AB106" s="179"/>
      <c r="AC106" s="179"/>
      <c r="AD106" s="179">
        <v>0</v>
      </c>
      <c r="AE106" s="179" t="s">
        <v>13076</v>
      </c>
      <c r="AF106" s="179" t="s">
        <v>12290</v>
      </c>
      <c r="AG106" s="180" t="s">
        <v>13077</v>
      </c>
      <c r="AH106" s="1594" t="s">
        <v>13078</v>
      </c>
      <c r="AI106" s="180" t="s">
        <v>13079</v>
      </c>
      <c r="AJ106" s="1581" t="s">
        <v>13080</v>
      </c>
      <c r="AK106" s="1594" t="s">
        <v>13081</v>
      </c>
      <c r="AL106" s="1594" t="s">
        <v>13082</v>
      </c>
      <c r="AM106" s="180" t="s">
        <v>112</v>
      </c>
      <c r="AN106" s="368" t="s">
        <v>13083</v>
      </c>
      <c r="AO106" s="163" t="s">
        <v>2828</v>
      </c>
    </row>
    <row r="107" s="93" customFormat="1" ht="14.1" customHeight="1" spans="1:41">
      <c r="A107" s="1615" t="s">
        <v>858</v>
      </c>
      <c r="B107" s="161" t="s">
        <v>13084</v>
      </c>
      <c r="C107" s="161"/>
      <c r="D107" s="166" t="s">
        <v>13085</v>
      </c>
      <c r="E107" s="172" t="s">
        <v>13086</v>
      </c>
      <c r="F107" s="172" t="s">
        <v>125</v>
      </c>
      <c r="G107" s="173" t="s">
        <v>254</v>
      </c>
      <c r="H107" s="180" t="s">
        <v>13087</v>
      </c>
      <c r="I107" s="180" t="s">
        <v>12903</v>
      </c>
      <c r="J107" s="180"/>
      <c r="K107" s="175">
        <v>41858</v>
      </c>
      <c r="L107" s="175">
        <v>42222</v>
      </c>
      <c r="M107" s="175">
        <v>42588</v>
      </c>
      <c r="N107" s="175"/>
      <c r="O107" s="175" t="s">
        <v>583</v>
      </c>
      <c r="P107" s="175"/>
      <c r="Q107" s="175"/>
      <c r="R107" s="175"/>
      <c r="S107" s="175">
        <v>42589</v>
      </c>
      <c r="T107" s="175">
        <v>42772</v>
      </c>
      <c r="U107" s="175">
        <v>42953</v>
      </c>
      <c r="V107" s="175"/>
      <c r="W107" s="175"/>
      <c r="X107" s="175"/>
      <c r="Y107" s="542">
        <v>-47.6117069444444</v>
      </c>
      <c r="Z107" s="175" t="s">
        <v>2569</v>
      </c>
      <c r="AA107" s="179">
        <v>6879400</v>
      </c>
      <c r="AB107" s="179"/>
      <c r="AC107" s="179"/>
      <c r="AD107" s="179" t="s">
        <v>13088</v>
      </c>
      <c r="AE107" s="179" t="s">
        <v>112</v>
      </c>
      <c r="AF107" s="179" t="s">
        <v>12290</v>
      </c>
      <c r="AG107" s="180" t="s">
        <v>13089</v>
      </c>
      <c r="AH107" s="1594" t="s">
        <v>13090</v>
      </c>
      <c r="AI107" s="180" t="s">
        <v>13091</v>
      </c>
      <c r="AJ107" s="1581" t="s">
        <v>13092</v>
      </c>
      <c r="AK107" s="1594" t="s">
        <v>13093</v>
      </c>
      <c r="AL107" s="180">
        <v>12033967196</v>
      </c>
      <c r="AM107" s="180" t="s">
        <v>13094</v>
      </c>
      <c r="AN107" s="86" t="s">
        <v>13095</v>
      </c>
      <c r="AO107" s="163" t="s">
        <v>13096</v>
      </c>
    </row>
    <row r="108" s="93" customFormat="1" ht="14.1" customHeight="1" spans="1:41">
      <c r="A108" s="1618" t="s">
        <v>261</v>
      </c>
      <c r="B108" s="161" t="s">
        <v>13097</v>
      </c>
      <c r="C108" s="162"/>
      <c r="D108" s="167" t="s">
        <v>13098</v>
      </c>
      <c r="E108" s="172" t="s">
        <v>13099</v>
      </c>
      <c r="F108" s="172" t="s">
        <v>43</v>
      </c>
      <c r="G108" s="173" t="s">
        <v>254</v>
      </c>
      <c r="H108" s="180" t="s">
        <v>12802</v>
      </c>
      <c r="I108" s="467" t="s">
        <v>12724</v>
      </c>
      <c r="J108" s="467"/>
      <c r="K108" s="182">
        <v>41913</v>
      </c>
      <c r="L108" s="182">
        <v>42277</v>
      </c>
      <c r="M108" s="182">
        <v>42460</v>
      </c>
      <c r="N108" s="182">
        <v>42643</v>
      </c>
      <c r="O108" s="182"/>
      <c r="P108" s="182"/>
      <c r="Q108" s="182"/>
      <c r="R108" s="182"/>
      <c r="S108" s="182">
        <v>42644</v>
      </c>
      <c r="T108" s="182">
        <v>42735</v>
      </c>
      <c r="U108" s="182">
        <v>42855</v>
      </c>
      <c r="V108" s="182">
        <v>43008</v>
      </c>
      <c r="W108" s="182"/>
      <c r="X108" s="182"/>
      <c r="Y108" s="542">
        <f ca="1">SUM(V108-NOW())</f>
        <v>-264.38453703704</v>
      </c>
      <c r="Z108" s="175" t="str">
        <f ca="1">IF(Y108&lt;=46,"WARNING","ACTIVE")</f>
        <v>WARNING</v>
      </c>
      <c r="AA108" s="181">
        <v>16451578</v>
      </c>
      <c r="AB108" s="181"/>
      <c r="AC108" s="181"/>
      <c r="AD108" s="181" t="s">
        <v>13100</v>
      </c>
      <c r="AE108" s="181" t="s">
        <v>112</v>
      </c>
      <c r="AF108" s="181" t="s">
        <v>12290</v>
      </c>
      <c r="AG108" s="180" t="s">
        <v>13101</v>
      </c>
      <c r="AH108" s="180" t="s">
        <v>13102</v>
      </c>
      <c r="AI108" s="180" t="s">
        <v>13103</v>
      </c>
      <c r="AJ108" s="1581" t="s">
        <v>13104</v>
      </c>
      <c r="AK108" s="180" t="s">
        <v>13105</v>
      </c>
      <c r="AL108" s="180">
        <v>11025428232</v>
      </c>
      <c r="AM108" s="180" t="s">
        <v>13106</v>
      </c>
      <c r="AN108" s="368" t="s">
        <v>13107</v>
      </c>
      <c r="AO108" s="163" t="s">
        <v>13108</v>
      </c>
    </row>
    <row r="109" s="93" customFormat="1" ht="14.1" customHeight="1" spans="1:41">
      <c r="A109" s="1618" t="s">
        <v>229</v>
      </c>
      <c r="B109" s="161" t="s">
        <v>13109</v>
      </c>
      <c r="C109" s="162"/>
      <c r="D109" s="167" t="s">
        <v>13110</v>
      </c>
      <c r="E109" s="172" t="s">
        <v>13111</v>
      </c>
      <c r="F109" s="172" t="s">
        <v>125</v>
      </c>
      <c r="G109" s="173" t="s">
        <v>44</v>
      </c>
      <c r="H109" s="180" t="s">
        <v>12348</v>
      </c>
      <c r="I109" s="467" t="s">
        <v>12288</v>
      </c>
      <c r="J109" s="467"/>
      <c r="K109" s="182">
        <v>42926</v>
      </c>
      <c r="L109" s="182">
        <v>43048</v>
      </c>
      <c r="M109" s="182" t="s">
        <v>583</v>
      </c>
      <c r="N109" s="182" t="s">
        <v>583</v>
      </c>
      <c r="O109" s="182" t="s">
        <v>583</v>
      </c>
      <c r="P109" s="182"/>
      <c r="Q109" s="182"/>
      <c r="R109" s="182"/>
      <c r="S109" s="182"/>
      <c r="T109" s="182"/>
      <c r="U109" s="182"/>
      <c r="V109" s="182"/>
      <c r="W109" s="182"/>
      <c r="X109" s="182"/>
      <c r="Y109" s="542">
        <v>-18.6070245370356</v>
      </c>
      <c r="Z109" s="175" t="s">
        <v>2569</v>
      </c>
      <c r="AA109" s="181">
        <v>3500000</v>
      </c>
      <c r="AB109" s="181"/>
      <c r="AC109" s="181"/>
      <c r="AD109" s="181"/>
      <c r="AE109" s="181" t="s">
        <v>112</v>
      </c>
      <c r="AF109" s="181" t="s">
        <v>12290</v>
      </c>
      <c r="AG109" s="180" t="s">
        <v>13112</v>
      </c>
      <c r="AH109" s="180">
        <v>85718991848</v>
      </c>
      <c r="AI109" s="180" t="s">
        <v>13113</v>
      </c>
      <c r="AJ109" s="224" t="s">
        <v>13114</v>
      </c>
      <c r="AK109" s="180" t="s">
        <v>13115</v>
      </c>
      <c r="AL109" s="180"/>
      <c r="AM109" s="1594" t="s">
        <v>13116</v>
      </c>
      <c r="AN109" s="86" t="s">
        <v>13117</v>
      </c>
      <c r="AO109" s="163" t="s">
        <v>13118</v>
      </c>
    </row>
    <row r="110" s="93" customFormat="1" ht="14.1" customHeight="1" spans="1:41">
      <c r="A110" s="160">
        <v>51</v>
      </c>
      <c r="B110" s="161" t="s">
        <v>13119</v>
      </c>
      <c r="C110" s="162"/>
      <c r="D110" s="167" t="s">
        <v>13120</v>
      </c>
      <c r="E110" s="172" t="s">
        <v>13121</v>
      </c>
      <c r="F110" s="172" t="s">
        <v>43</v>
      </c>
      <c r="G110" s="173" t="s">
        <v>44</v>
      </c>
      <c r="H110" s="180" t="s">
        <v>12802</v>
      </c>
      <c r="I110" s="467" t="s">
        <v>12766</v>
      </c>
      <c r="J110" s="467" t="s">
        <v>12725</v>
      </c>
      <c r="K110" s="182">
        <v>42635</v>
      </c>
      <c r="L110" s="182">
        <v>42725</v>
      </c>
      <c r="M110" s="182">
        <v>42825</v>
      </c>
      <c r="N110" s="182">
        <v>42886</v>
      </c>
      <c r="O110" s="182">
        <v>43100</v>
      </c>
      <c r="P110" s="182"/>
      <c r="Q110" s="182"/>
      <c r="R110" s="182"/>
      <c r="S110" s="182"/>
      <c r="T110" s="182"/>
      <c r="U110" s="182"/>
      <c r="V110" s="182"/>
      <c r="W110" s="182"/>
      <c r="X110" s="182"/>
      <c r="Y110" s="542">
        <v>33.3929754629644</v>
      </c>
      <c r="Z110" s="175" t="s">
        <v>2569</v>
      </c>
      <c r="AA110" s="181">
        <v>7150000</v>
      </c>
      <c r="AB110" s="181"/>
      <c r="AC110" s="181"/>
      <c r="AD110" s="181" t="s">
        <v>13122</v>
      </c>
      <c r="AE110" s="181" t="s">
        <v>112</v>
      </c>
      <c r="AF110" s="181" t="s">
        <v>12290</v>
      </c>
      <c r="AG110" s="180" t="s">
        <v>13123</v>
      </c>
      <c r="AH110" s="180" t="s">
        <v>13124</v>
      </c>
      <c r="AI110" s="180" t="s">
        <v>13125</v>
      </c>
      <c r="AJ110" s="1581" t="s">
        <v>13126</v>
      </c>
      <c r="AK110" s="180" t="s">
        <v>13127</v>
      </c>
      <c r="AL110" s="180"/>
      <c r="AM110" s="180"/>
      <c r="AN110" s="368" t="s">
        <v>13128</v>
      </c>
      <c r="AO110" s="163" t="s">
        <v>2986</v>
      </c>
    </row>
    <row r="111" s="93" customFormat="1" ht="14.1" customHeight="1" spans="1:41">
      <c r="A111" s="160">
        <v>54</v>
      </c>
      <c r="B111" s="1618" t="s">
        <v>13129</v>
      </c>
      <c r="C111" s="162" t="s">
        <v>13130</v>
      </c>
      <c r="D111" s="167" t="s">
        <v>13131</v>
      </c>
      <c r="E111" s="172" t="s">
        <v>13132</v>
      </c>
      <c r="F111" s="172" t="s">
        <v>125</v>
      </c>
      <c r="G111" s="173" t="s">
        <v>44</v>
      </c>
      <c r="H111" s="180" t="s">
        <v>13133</v>
      </c>
      <c r="I111" s="467" t="s">
        <v>13134</v>
      </c>
      <c r="J111" s="467" t="s">
        <v>12725</v>
      </c>
      <c r="K111" s="182">
        <v>42649</v>
      </c>
      <c r="L111" s="182">
        <v>42709</v>
      </c>
      <c r="M111" s="182">
        <v>43074</v>
      </c>
      <c r="N111" s="182"/>
      <c r="O111" s="182"/>
      <c r="P111" s="182"/>
      <c r="Q111" s="182"/>
      <c r="R111" s="182"/>
      <c r="S111" s="182"/>
      <c r="T111" s="182"/>
      <c r="U111" s="182"/>
      <c r="V111" s="182"/>
      <c r="W111" s="182"/>
      <c r="X111" s="182"/>
      <c r="Y111" s="542">
        <v>7.39297546296439</v>
      </c>
      <c r="Z111" s="175" t="s">
        <v>2569</v>
      </c>
      <c r="AA111" s="181">
        <v>7471283.6</v>
      </c>
      <c r="AB111" s="181"/>
      <c r="AC111" s="181"/>
      <c r="AD111" s="181" t="s">
        <v>13135</v>
      </c>
      <c r="AE111" s="181" t="s">
        <v>112</v>
      </c>
      <c r="AF111" s="181" t="s">
        <v>12290</v>
      </c>
      <c r="AG111" s="180" t="s">
        <v>13136</v>
      </c>
      <c r="AH111" s="1594" t="s">
        <v>13137</v>
      </c>
      <c r="AI111" s="180" t="s">
        <v>13138</v>
      </c>
      <c r="AJ111" s="1581" t="s">
        <v>13139</v>
      </c>
      <c r="AK111" s="180" t="s">
        <v>13140</v>
      </c>
      <c r="AL111" s="180"/>
      <c r="AM111" s="180"/>
      <c r="AN111" s="368" t="s">
        <v>13141</v>
      </c>
      <c r="AO111" s="163" t="s">
        <v>13142</v>
      </c>
    </row>
    <row r="112" s="93" customFormat="1" ht="14.1" customHeight="1" spans="1:41">
      <c r="A112" s="1618" t="s">
        <v>239</v>
      </c>
      <c r="B112" s="161" t="s">
        <v>13143</v>
      </c>
      <c r="C112" s="162"/>
      <c r="D112" s="167" t="s">
        <v>12456</v>
      </c>
      <c r="E112" s="172" t="s">
        <v>12457</v>
      </c>
      <c r="F112" s="172" t="s">
        <v>125</v>
      </c>
      <c r="G112" s="173" t="s">
        <v>44</v>
      </c>
      <c r="H112" s="180" t="s">
        <v>12348</v>
      </c>
      <c r="I112" s="467" t="s">
        <v>12288</v>
      </c>
      <c r="J112" s="467" t="s">
        <v>583</v>
      </c>
      <c r="K112" s="182">
        <v>43049</v>
      </c>
      <c r="L112" s="182">
        <v>43069</v>
      </c>
      <c r="M112" s="182" t="s">
        <v>583</v>
      </c>
      <c r="N112" s="182" t="s">
        <v>583</v>
      </c>
      <c r="O112" s="182" t="s">
        <v>583</v>
      </c>
      <c r="P112" s="182"/>
      <c r="Q112" s="182"/>
      <c r="R112" s="182"/>
      <c r="S112" s="182"/>
      <c r="T112" s="182"/>
      <c r="U112" s="182"/>
      <c r="V112" s="182"/>
      <c r="W112" s="182"/>
      <c r="X112" s="182"/>
      <c r="Y112" s="542">
        <f ca="1">SUM(L112-NOW())</f>
        <v>-203.38453703704</v>
      </c>
      <c r="Z112" s="175" t="str">
        <f ca="1">IF(Y112&lt;=46,"WARNING","ACTIVE")</f>
        <v>WARNING</v>
      </c>
      <c r="AA112" s="181">
        <v>3500000</v>
      </c>
      <c r="AB112" s="181"/>
      <c r="AC112" s="181"/>
      <c r="AD112" s="181"/>
      <c r="AE112" s="181" t="s">
        <v>112</v>
      </c>
      <c r="AF112" s="181" t="s">
        <v>12290</v>
      </c>
      <c r="AG112" s="180" t="s">
        <v>13144</v>
      </c>
      <c r="AH112" s="180"/>
      <c r="AI112" s="180" t="s">
        <v>12460</v>
      </c>
      <c r="AJ112" s="224" t="s">
        <v>12461</v>
      </c>
      <c r="AK112" s="1594" t="s">
        <v>12462</v>
      </c>
      <c r="AL112" s="180"/>
      <c r="AM112" s="180"/>
      <c r="AN112" s="86" t="s">
        <v>12463</v>
      </c>
      <c r="AO112" s="163" t="s">
        <v>4760</v>
      </c>
    </row>
    <row r="113" s="93" customFormat="1" ht="14.1" customHeight="1" spans="1:41">
      <c r="A113" s="162">
        <v>27</v>
      </c>
      <c r="B113" s="161" t="s">
        <v>13145</v>
      </c>
      <c r="C113" s="162"/>
      <c r="D113" s="167" t="s">
        <v>13146</v>
      </c>
      <c r="E113" s="172" t="s">
        <v>13147</v>
      </c>
      <c r="F113" s="172" t="s">
        <v>43</v>
      </c>
      <c r="G113" s="173" t="s">
        <v>60</v>
      </c>
      <c r="H113" s="180" t="s">
        <v>13016</v>
      </c>
      <c r="I113" s="467" t="s">
        <v>12766</v>
      </c>
      <c r="J113" s="467" t="s">
        <v>12725</v>
      </c>
      <c r="K113" s="182">
        <v>42366</v>
      </c>
      <c r="L113" s="182">
        <v>42548</v>
      </c>
      <c r="M113" s="182">
        <v>42582</v>
      </c>
      <c r="N113" s="182">
        <v>42766</v>
      </c>
      <c r="O113" s="182">
        <v>43096</v>
      </c>
      <c r="P113" s="182"/>
      <c r="Q113" s="182"/>
      <c r="R113" s="182"/>
      <c r="S113" s="182">
        <v>43097</v>
      </c>
      <c r="T113" s="182">
        <v>43100</v>
      </c>
      <c r="U113" s="182"/>
      <c r="V113" s="182"/>
      <c r="W113" s="182"/>
      <c r="X113" s="182"/>
      <c r="Y113" s="542">
        <v>-17.5416763888861</v>
      </c>
      <c r="Z113" s="175" t="s">
        <v>2569</v>
      </c>
      <c r="AA113" s="181">
        <v>9900000</v>
      </c>
      <c r="AB113" s="181"/>
      <c r="AC113" s="181"/>
      <c r="AD113" s="181" t="s">
        <v>13148</v>
      </c>
      <c r="AE113" s="181" t="s">
        <v>112</v>
      </c>
      <c r="AF113" s="181" t="s">
        <v>12290</v>
      </c>
      <c r="AG113" s="180" t="s">
        <v>13149</v>
      </c>
      <c r="AH113" s="180" t="s">
        <v>13150</v>
      </c>
      <c r="AI113" s="180" t="s">
        <v>13151</v>
      </c>
      <c r="AJ113" s="1581" t="s">
        <v>13152</v>
      </c>
      <c r="AK113" s="180" t="s">
        <v>13153</v>
      </c>
      <c r="AL113" s="180">
        <v>0</v>
      </c>
      <c r="AM113" s="1590" t="s">
        <v>13154</v>
      </c>
      <c r="AN113" s="368" t="s">
        <v>13155</v>
      </c>
      <c r="AO113" s="163" t="s">
        <v>13156</v>
      </c>
    </row>
    <row r="114" s="93" customFormat="1" ht="14.1" customHeight="1" spans="1:41">
      <c r="A114" s="162">
        <v>44</v>
      </c>
      <c r="B114" s="161" t="s">
        <v>13157</v>
      </c>
      <c r="C114" s="162"/>
      <c r="D114" s="167" t="s">
        <v>13158</v>
      </c>
      <c r="E114" s="172" t="s">
        <v>13159</v>
      </c>
      <c r="F114" s="172" t="s">
        <v>125</v>
      </c>
      <c r="G114" s="173" t="s">
        <v>44</v>
      </c>
      <c r="H114" s="180" t="s">
        <v>13160</v>
      </c>
      <c r="I114" s="467" t="s">
        <v>13161</v>
      </c>
      <c r="J114" s="467" t="s">
        <v>12725</v>
      </c>
      <c r="K114" s="182">
        <v>42491</v>
      </c>
      <c r="L114" s="182">
        <v>42674</v>
      </c>
      <c r="M114" s="182">
        <v>43100</v>
      </c>
      <c r="N114" s="182" t="s">
        <v>583</v>
      </c>
      <c r="O114" s="182" t="s">
        <v>583</v>
      </c>
      <c r="P114" s="182"/>
      <c r="Q114" s="182"/>
      <c r="R114" s="182"/>
      <c r="S114" s="182"/>
      <c r="T114" s="182"/>
      <c r="U114" s="182"/>
      <c r="V114" s="182"/>
      <c r="W114" s="182"/>
      <c r="X114" s="182"/>
      <c r="Y114" s="542">
        <v>-17.5416763888861</v>
      </c>
      <c r="Z114" s="175" t="s">
        <v>2569</v>
      </c>
      <c r="AA114" s="181">
        <v>5000000</v>
      </c>
      <c r="AB114" s="181"/>
      <c r="AC114" s="181"/>
      <c r="AD114" s="181" t="s">
        <v>13162</v>
      </c>
      <c r="AE114" s="181" t="s">
        <v>112</v>
      </c>
      <c r="AF114" s="181" t="s">
        <v>12290</v>
      </c>
      <c r="AG114" s="180" t="s">
        <v>13163</v>
      </c>
      <c r="AH114" s="180" t="s">
        <v>13164</v>
      </c>
      <c r="AI114" s="180" t="s">
        <v>13165</v>
      </c>
      <c r="AJ114" s="1581" t="s">
        <v>13166</v>
      </c>
      <c r="AK114" s="1594" t="s">
        <v>13167</v>
      </c>
      <c r="AL114" s="180"/>
      <c r="AM114" s="1594" t="s">
        <v>13168</v>
      </c>
      <c r="AN114" s="368" t="s">
        <v>13169</v>
      </c>
      <c r="AO114" s="163" t="s">
        <v>3157</v>
      </c>
    </row>
    <row r="115" s="93" customFormat="1" ht="14.1" customHeight="1" spans="1:41">
      <c r="A115" s="162">
        <v>55</v>
      </c>
      <c r="B115" s="161" t="s">
        <v>13170</v>
      </c>
      <c r="C115" s="161"/>
      <c r="D115" s="166" t="s">
        <v>13171</v>
      </c>
      <c r="E115" s="172" t="s">
        <v>13172</v>
      </c>
      <c r="F115" s="172" t="s">
        <v>125</v>
      </c>
      <c r="G115" s="173" t="s">
        <v>404</v>
      </c>
      <c r="H115" s="180" t="s">
        <v>13173</v>
      </c>
      <c r="I115" s="180"/>
      <c r="J115" s="180" t="s">
        <v>12563</v>
      </c>
      <c r="K115" s="175">
        <v>42727</v>
      </c>
      <c r="L115" s="175">
        <v>43091</v>
      </c>
      <c r="M115" s="175">
        <v>43100</v>
      </c>
      <c r="N115" s="175"/>
      <c r="O115" s="175"/>
      <c r="P115" s="175"/>
      <c r="Q115" s="175"/>
      <c r="R115" s="175"/>
      <c r="S115" s="175"/>
      <c r="T115" s="175"/>
      <c r="U115" s="175"/>
      <c r="V115" s="175"/>
      <c r="W115" s="175"/>
      <c r="X115" s="175"/>
      <c r="Y115" s="542">
        <v>-26.5416763888861</v>
      </c>
      <c r="Z115" s="175" t="s">
        <v>2569</v>
      </c>
      <c r="AA115" s="179">
        <v>7603800</v>
      </c>
      <c r="AB115" s="179"/>
      <c r="AC115" s="179"/>
      <c r="AD115" s="179" t="s">
        <v>13174</v>
      </c>
      <c r="AE115" s="179" t="s">
        <v>112</v>
      </c>
      <c r="AF115" s="179" t="s">
        <v>12290</v>
      </c>
      <c r="AG115" s="180" t="s">
        <v>13175</v>
      </c>
      <c r="AH115" s="180" t="s">
        <v>13176</v>
      </c>
      <c r="AI115" s="180" t="s">
        <v>13177</v>
      </c>
      <c r="AJ115" s="1581" t="s">
        <v>13178</v>
      </c>
      <c r="AK115" s="1594" t="s">
        <v>13179</v>
      </c>
      <c r="AL115" s="1594" t="s">
        <v>13180</v>
      </c>
      <c r="AM115" s="180"/>
      <c r="AN115" s="368" t="s">
        <v>13181</v>
      </c>
      <c r="AO115" s="163" t="s">
        <v>13182</v>
      </c>
    </row>
    <row r="116" s="93" customFormat="1" ht="14.1" customHeight="1" spans="1:41">
      <c r="A116" s="162">
        <v>56</v>
      </c>
      <c r="B116" s="161" t="s">
        <v>13183</v>
      </c>
      <c r="C116" s="161"/>
      <c r="D116" s="166" t="s">
        <v>13184</v>
      </c>
      <c r="E116" s="172" t="s">
        <v>13185</v>
      </c>
      <c r="F116" s="172" t="s">
        <v>43</v>
      </c>
      <c r="G116" s="173" t="s">
        <v>44</v>
      </c>
      <c r="H116" s="180" t="s">
        <v>13186</v>
      </c>
      <c r="I116" s="180"/>
      <c r="J116" s="180" t="s">
        <v>12563</v>
      </c>
      <c r="K116" s="175">
        <v>42719</v>
      </c>
      <c r="L116" s="175">
        <v>43083</v>
      </c>
      <c r="M116" s="175">
        <v>43100</v>
      </c>
      <c r="N116" s="175"/>
      <c r="O116" s="175"/>
      <c r="P116" s="175"/>
      <c r="Q116" s="175"/>
      <c r="R116" s="175"/>
      <c r="S116" s="175"/>
      <c r="T116" s="175"/>
      <c r="U116" s="175"/>
      <c r="V116" s="175"/>
      <c r="W116" s="175"/>
      <c r="X116" s="175"/>
      <c r="Y116" s="542">
        <v>-34.5416763888861</v>
      </c>
      <c r="Z116" s="175" t="s">
        <v>2569</v>
      </c>
      <c r="AA116" s="179">
        <v>4890600</v>
      </c>
      <c r="AB116" s="179"/>
      <c r="AC116" s="179"/>
      <c r="AD116" s="179" t="s">
        <v>13187</v>
      </c>
      <c r="AE116" s="179" t="s">
        <v>112</v>
      </c>
      <c r="AF116" s="179" t="s">
        <v>12290</v>
      </c>
      <c r="AG116" s="180" t="s">
        <v>13188</v>
      </c>
      <c r="AH116" s="180" t="s">
        <v>13189</v>
      </c>
      <c r="AI116" s="180" t="s">
        <v>13190</v>
      </c>
      <c r="AJ116" s="1581" t="s">
        <v>13191</v>
      </c>
      <c r="AK116" s="1594" t="s">
        <v>13192</v>
      </c>
      <c r="AL116" s="180"/>
      <c r="AM116" s="180"/>
      <c r="AN116" s="368" t="s">
        <v>13193</v>
      </c>
      <c r="AO116" s="163" t="s">
        <v>13182</v>
      </c>
    </row>
    <row r="117" s="93" customFormat="1" ht="14.1" customHeight="1" spans="1:41">
      <c r="A117" s="162">
        <v>64</v>
      </c>
      <c r="B117" s="161" t="s">
        <v>13194</v>
      </c>
      <c r="C117" s="161"/>
      <c r="D117" s="166" t="s">
        <v>13195</v>
      </c>
      <c r="E117" s="172" t="s">
        <v>13196</v>
      </c>
      <c r="F117" s="172" t="s">
        <v>43</v>
      </c>
      <c r="G117" s="173" t="s">
        <v>60</v>
      </c>
      <c r="H117" s="180" t="s">
        <v>13197</v>
      </c>
      <c r="I117" s="180" t="s">
        <v>12713</v>
      </c>
      <c r="J117" s="180" t="s">
        <v>12563</v>
      </c>
      <c r="K117" s="175">
        <v>42767</v>
      </c>
      <c r="L117" s="175">
        <v>43131</v>
      </c>
      <c r="M117" s="175"/>
      <c r="N117" s="175"/>
      <c r="O117" s="175"/>
      <c r="P117" s="175"/>
      <c r="Q117" s="175"/>
      <c r="R117" s="175"/>
      <c r="S117" s="175"/>
      <c r="T117" s="175"/>
      <c r="U117" s="175"/>
      <c r="V117" s="175"/>
      <c r="W117" s="175"/>
      <c r="X117" s="175"/>
      <c r="Y117" s="542">
        <v>13.4583236111139</v>
      </c>
      <c r="Z117" s="175" t="s">
        <v>2569</v>
      </c>
      <c r="AA117" s="179">
        <v>5500000</v>
      </c>
      <c r="AB117" s="179"/>
      <c r="AC117" s="179"/>
      <c r="AD117" s="179" t="s">
        <v>13198</v>
      </c>
      <c r="AE117" s="179" t="s">
        <v>112</v>
      </c>
      <c r="AF117" s="179" t="s">
        <v>12290</v>
      </c>
      <c r="AG117" s="180" t="s">
        <v>13199</v>
      </c>
      <c r="AH117" s="1594" t="s">
        <v>13200</v>
      </c>
      <c r="AI117" s="180" t="s">
        <v>13201</v>
      </c>
      <c r="AJ117" s="1581" t="s">
        <v>13202</v>
      </c>
      <c r="AK117" s="1594" t="s">
        <v>13203</v>
      </c>
      <c r="AL117" s="1594" t="s">
        <v>13204</v>
      </c>
      <c r="AM117" s="180"/>
      <c r="AN117" s="86" t="s">
        <v>13205</v>
      </c>
      <c r="AO117" s="163" t="s">
        <v>13206</v>
      </c>
    </row>
    <row r="118" s="93" customFormat="1" ht="14.1" customHeight="1" spans="1:41">
      <c r="A118" s="162">
        <v>70</v>
      </c>
      <c r="B118" s="161" t="s">
        <v>13207</v>
      </c>
      <c r="C118" s="161"/>
      <c r="D118" s="166" t="s">
        <v>13208</v>
      </c>
      <c r="E118" s="172" t="s">
        <v>13209</v>
      </c>
      <c r="F118" s="172" t="s">
        <v>125</v>
      </c>
      <c r="G118" s="173" t="s">
        <v>254</v>
      </c>
      <c r="H118" s="180" t="s">
        <v>13210</v>
      </c>
      <c r="I118" s="180" t="s">
        <v>12713</v>
      </c>
      <c r="J118" s="180"/>
      <c r="K118" s="175">
        <v>42792</v>
      </c>
      <c r="L118" s="175">
        <v>43094</v>
      </c>
      <c r="M118" s="175">
        <v>43100</v>
      </c>
      <c r="N118" s="175" t="s">
        <v>583</v>
      </c>
      <c r="O118" s="175" t="s">
        <v>583</v>
      </c>
      <c r="P118" s="175"/>
      <c r="Q118" s="175"/>
      <c r="R118" s="175"/>
      <c r="S118" s="175"/>
      <c r="T118" s="175"/>
      <c r="U118" s="175"/>
      <c r="V118" s="175"/>
      <c r="W118" s="175"/>
      <c r="X118" s="175"/>
      <c r="Y118" s="542">
        <v>-17.5416763888861</v>
      </c>
      <c r="Z118" s="175" t="s">
        <v>2569</v>
      </c>
      <c r="AA118" s="179">
        <v>7666560</v>
      </c>
      <c r="AB118" s="179"/>
      <c r="AC118" s="179"/>
      <c r="AD118" s="179" t="s">
        <v>13211</v>
      </c>
      <c r="AE118" s="179" t="s">
        <v>112</v>
      </c>
      <c r="AF118" s="179" t="s">
        <v>12290</v>
      </c>
      <c r="AG118" s="180" t="s">
        <v>13212</v>
      </c>
      <c r="AH118" s="180" t="s">
        <v>13213</v>
      </c>
      <c r="AI118" s="180" t="s">
        <v>13214</v>
      </c>
      <c r="AJ118" s="224" t="s">
        <v>13215</v>
      </c>
      <c r="AK118" s="180" t="s">
        <v>13216</v>
      </c>
      <c r="AL118" s="180">
        <v>9012382389</v>
      </c>
      <c r="AM118" s="180"/>
      <c r="AN118" s="86" t="s">
        <v>13217</v>
      </c>
      <c r="AO118" s="163" t="s">
        <v>2986</v>
      </c>
    </row>
    <row r="119" s="93" customFormat="1" ht="14.1" customHeight="1" spans="1:41">
      <c r="A119" s="1618" t="s">
        <v>250</v>
      </c>
      <c r="B119" s="161" t="s">
        <v>13097</v>
      </c>
      <c r="C119" s="162"/>
      <c r="D119" s="167" t="s">
        <v>13098</v>
      </c>
      <c r="E119" s="172" t="s">
        <v>13099</v>
      </c>
      <c r="F119" s="172" t="s">
        <v>43</v>
      </c>
      <c r="G119" s="173" t="s">
        <v>254</v>
      </c>
      <c r="H119" s="180" t="s">
        <v>12802</v>
      </c>
      <c r="I119" s="467" t="s">
        <v>12724</v>
      </c>
      <c r="J119" s="467"/>
      <c r="K119" s="182">
        <v>43040</v>
      </c>
      <c r="L119" s="182">
        <v>43404</v>
      </c>
      <c r="M119" s="182"/>
      <c r="N119" s="182"/>
      <c r="O119" s="182"/>
      <c r="P119" s="182"/>
      <c r="Q119" s="182"/>
      <c r="R119" s="182"/>
      <c r="S119" s="182"/>
      <c r="T119" s="182"/>
      <c r="U119" s="182"/>
      <c r="V119" s="182"/>
      <c r="W119" s="182"/>
      <c r="X119" s="182"/>
      <c r="Y119" s="542">
        <v>264.35267025463</v>
      </c>
      <c r="Z119" s="175" t="s">
        <v>745</v>
      </c>
      <c r="AA119" s="181">
        <v>16451578</v>
      </c>
      <c r="AB119" s="181"/>
      <c r="AC119" s="181"/>
      <c r="AD119" s="181" t="s">
        <v>13100</v>
      </c>
      <c r="AE119" s="181" t="s">
        <v>112</v>
      </c>
      <c r="AF119" s="181" t="s">
        <v>12290</v>
      </c>
      <c r="AG119" s="180" t="s">
        <v>13101</v>
      </c>
      <c r="AH119" s="180" t="s">
        <v>13102</v>
      </c>
      <c r="AI119" s="180" t="s">
        <v>13103</v>
      </c>
      <c r="AJ119" s="1581" t="s">
        <v>13104</v>
      </c>
      <c r="AK119" s="180" t="s">
        <v>13105</v>
      </c>
      <c r="AL119" s="180">
        <v>11025428232</v>
      </c>
      <c r="AM119" s="180" t="s">
        <v>13106</v>
      </c>
      <c r="AN119" s="368" t="s">
        <v>13107</v>
      </c>
      <c r="AO119" s="163" t="s">
        <v>13218</v>
      </c>
    </row>
    <row r="120" s="93" customFormat="1" ht="14.1" customHeight="1" spans="1:41">
      <c r="A120" s="1615" t="s">
        <v>533</v>
      </c>
      <c r="B120" s="161" t="s">
        <v>13219</v>
      </c>
      <c r="C120" s="162"/>
      <c r="D120" s="167" t="s">
        <v>13220</v>
      </c>
      <c r="E120" s="172" t="s">
        <v>13221</v>
      </c>
      <c r="F120" s="172" t="s">
        <v>125</v>
      </c>
      <c r="G120" s="173" t="s">
        <v>44</v>
      </c>
      <c r="H120" s="467" t="s">
        <v>13222</v>
      </c>
      <c r="I120" s="467" t="s">
        <v>12713</v>
      </c>
      <c r="J120" s="467"/>
      <c r="K120" s="182">
        <v>42583</v>
      </c>
      <c r="L120" s="182">
        <v>42766</v>
      </c>
      <c r="M120" s="182">
        <v>43131</v>
      </c>
      <c r="N120" s="182" t="s">
        <v>583</v>
      </c>
      <c r="O120" s="182" t="s">
        <v>583</v>
      </c>
      <c r="P120" s="182"/>
      <c r="Q120" s="182"/>
      <c r="R120" s="182"/>
      <c r="S120" s="182"/>
      <c r="T120" s="182"/>
      <c r="U120" s="182"/>
      <c r="V120" s="182"/>
      <c r="W120" s="182"/>
      <c r="X120" s="182"/>
      <c r="Y120" s="542">
        <v>-8.64732974537037</v>
      </c>
      <c r="Z120" s="175" t="s">
        <v>2569</v>
      </c>
      <c r="AA120" s="181">
        <v>5000000</v>
      </c>
      <c r="AB120" s="181"/>
      <c r="AC120" s="181"/>
      <c r="AD120" s="181"/>
      <c r="AE120" s="181" t="s">
        <v>112</v>
      </c>
      <c r="AF120" s="181" t="s">
        <v>12290</v>
      </c>
      <c r="AG120" s="180" t="s">
        <v>13223</v>
      </c>
      <c r="AH120" s="1594" t="s">
        <v>13224</v>
      </c>
      <c r="AI120" s="180" t="s">
        <v>13225</v>
      </c>
      <c r="AJ120" s="1581" t="s">
        <v>13226</v>
      </c>
      <c r="AK120" s="180" t="s">
        <v>13227</v>
      </c>
      <c r="AL120" s="180"/>
      <c r="AM120" s="1590" t="s">
        <v>13228</v>
      </c>
      <c r="AN120" s="368" t="s">
        <v>13229</v>
      </c>
      <c r="AO120" s="163" t="s">
        <v>13206</v>
      </c>
    </row>
    <row r="121" s="93" customFormat="1" ht="14.1" customHeight="1" spans="1:41">
      <c r="A121" s="1615" t="s">
        <v>671</v>
      </c>
      <c r="B121" s="161" t="s">
        <v>13230</v>
      </c>
      <c r="C121" s="161"/>
      <c r="D121" s="166" t="s">
        <v>13231</v>
      </c>
      <c r="E121" s="172" t="s">
        <v>13232</v>
      </c>
      <c r="F121" s="172" t="s">
        <v>125</v>
      </c>
      <c r="G121" s="173" t="s">
        <v>44</v>
      </c>
      <c r="H121" s="180" t="s">
        <v>13233</v>
      </c>
      <c r="I121" s="180" t="s">
        <v>12713</v>
      </c>
      <c r="J121" s="180" t="s">
        <v>12563</v>
      </c>
      <c r="K121" s="175">
        <v>42740</v>
      </c>
      <c r="L121" s="175">
        <v>43104</v>
      </c>
      <c r="M121" s="175">
        <v>43111</v>
      </c>
      <c r="N121" s="175"/>
      <c r="O121" s="175"/>
      <c r="P121" s="175"/>
      <c r="Q121" s="175"/>
      <c r="R121" s="175"/>
      <c r="S121" s="175"/>
      <c r="T121" s="175"/>
      <c r="U121" s="175"/>
      <c r="V121" s="175"/>
      <c r="W121" s="175"/>
      <c r="X121" s="175"/>
      <c r="Y121" s="542">
        <v>-28.6473297453704</v>
      </c>
      <c r="Z121" s="175" t="s">
        <v>2569</v>
      </c>
      <c r="AA121" s="179">
        <v>10120000</v>
      </c>
      <c r="AB121" s="179"/>
      <c r="AC121" s="179"/>
      <c r="AD121" s="179" t="s">
        <v>13234</v>
      </c>
      <c r="AE121" s="179" t="s">
        <v>112</v>
      </c>
      <c r="AF121" s="179" t="s">
        <v>12290</v>
      </c>
      <c r="AG121" s="180" t="s">
        <v>13235</v>
      </c>
      <c r="AH121" s="180" t="s">
        <v>13236</v>
      </c>
      <c r="AI121" s="180" t="s">
        <v>13237</v>
      </c>
      <c r="AJ121" s="1581" t="s">
        <v>13238</v>
      </c>
      <c r="AK121" s="1594" t="s">
        <v>13239</v>
      </c>
      <c r="AL121" s="180"/>
      <c r="AM121" s="1594" t="s">
        <v>13240</v>
      </c>
      <c r="AN121" s="86" t="s">
        <v>13241</v>
      </c>
      <c r="AO121" s="163" t="s">
        <v>13242</v>
      </c>
    </row>
    <row r="122" s="93" customFormat="1" ht="14.1" customHeight="1" spans="1:41">
      <c r="A122" s="1615" t="s">
        <v>680</v>
      </c>
      <c r="B122" s="161" t="s">
        <v>13243</v>
      </c>
      <c r="C122" s="161"/>
      <c r="D122" s="166" t="s">
        <v>13244</v>
      </c>
      <c r="E122" s="172" t="s">
        <v>13245</v>
      </c>
      <c r="F122" s="172" t="s">
        <v>125</v>
      </c>
      <c r="G122" s="173" t="s">
        <v>44</v>
      </c>
      <c r="H122" s="180" t="s">
        <v>11638</v>
      </c>
      <c r="I122" s="180" t="s">
        <v>12713</v>
      </c>
      <c r="J122" s="180" t="s">
        <v>12563</v>
      </c>
      <c r="K122" s="175">
        <v>42753</v>
      </c>
      <c r="L122" s="175">
        <v>43117</v>
      </c>
      <c r="M122" s="175"/>
      <c r="N122" s="175"/>
      <c r="O122" s="175"/>
      <c r="P122" s="175"/>
      <c r="Q122" s="175"/>
      <c r="R122" s="175"/>
      <c r="S122" s="175"/>
      <c r="T122" s="175"/>
      <c r="U122" s="175"/>
      <c r="V122" s="175"/>
      <c r="W122" s="175"/>
      <c r="X122" s="175"/>
      <c r="Y122" s="542">
        <v>-22.6473297453704</v>
      </c>
      <c r="Z122" s="175" t="s">
        <v>2569</v>
      </c>
      <c r="AA122" s="179">
        <v>4329000</v>
      </c>
      <c r="AB122" s="179"/>
      <c r="AC122" s="179"/>
      <c r="AD122" s="179" t="s">
        <v>13246</v>
      </c>
      <c r="AE122" s="179" t="s">
        <v>112</v>
      </c>
      <c r="AF122" s="179" t="s">
        <v>12290</v>
      </c>
      <c r="AG122" s="180" t="s">
        <v>13247</v>
      </c>
      <c r="AH122" s="1594" t="s">
        <v>13248</v>
      </c>
      <c r="AI122" s="180" t="s">
        <v>13249</v>
      </c>
      <c r="AJ122" s="1581" t="s">
        <v>13250</v>
      </c>
      <c r="AK122" s="1594" t="s">
        <v>13251</v>
      </c>
      <c r="AL122" s="1594" t="s">
        <v>13252</v>
      </c>
      <c r="AM122" s="180"/>
      <c r="AN122" s="86" t="s">
        <v>13253</v>
      </c>
      <c r="AO122" s="163" t="s">
        <v>13254</v>
      </c>
    </row>
    <row r="123" s="93" customFormat="1" ht="14.1" customHeight="1" spans="1:41">
      <c r="A123" s="1615" t="s">
        <v>690</v>
      </c>
      <c r="B123" s="161" t="s">
        <v>13255</v>
      </c>
      <c r="C123" s="161"/>
      <c r="D123" s="166" t="s">
        <v>13256</v>
      </c>
      <c r="E123" s="172" t="s">
        <v>13257</v>
      </c>
      <c r="F123" s="172" t="s">
        <v>125</v>
      </c>
      <c r="G123" s="173" t="s">
        <v>44</v>
      </c>
      <c r="H123" s="180" t="s">
        <v>11638</v>
      </c>
      <c r="I123" s="180" t="s">
        <v>12713</v>
      </c>
      <c r="J123" s="180" t="s">
        <v>12563</v>
      </c>
      <c r="K123" s="175">
        <v>42762</v>
      </c>
      <c r="L123" s="175">
        <v>43128</v>
      </c>
      <c r="M123" s="175"/>
      <c r="N123" s="175"/>
      <c r="O123" s="175"/>
      <c r="P123" s="175"/>
      <c r="Q123" s="175"/>
      <c r="R123" s="175"/>
      <c r="S123" s="175"/>
      <c r="T123" s="175"/>
      <c r="U123" s="175"/>
      <c r="V123" s="175"/>
      <c r="W123" s="175"/>
      <c r="X123" s="175"/>
      <c r="Y123" s="542">
        <v>-11.6473297453704</v>
      </c>
      <c r="Z123" s="175" t="s">
        <v>2569</v>
      </c>
      <c r="AA123" s="179">
        <v>5085000</v>
      </c>
      <c r="AB123" s="179"/>
      <c r="AC123" s="179"/>
      <c r="AD123" s="179" t="s">
        <v>13258</v>
      </c>
      <c r="AE123" s="179" t="s">
        <v>112</v>
      </c>
      <c r="AF123" s="179" t="s">
        <v>12290</v>
      </c>
      <c r="AG123" s="180" t="s">
        <v>13259</v>
      </c>
      <c r="AH123" s="1594" t="s">
        <v>13260</v>
      </c>
      <c r="AI123" s="180" t="s">
        <v>13261</v>
      </c>
      <c r="AJ123" s="1581" t="s">
        <v>13262</v>
      </c>
      <c r="AK123" s="1594" t="s">
        <v>13263</v>
      </c>
      <c r="AL123" s="180"/>
      <c r="AM123" s="180"/>
      <c r="AN123" s="86" t="s">
        <v>13264</v>
      </c>
      <c r="AO123" s="163" t="s">
        <v>13265</v>
      </c>
    </row>
    <row r="124" ht="14.1" customHeight="1" spans="1:41">
      <c r="A124" s="1618" t="s">
        <v>730</v>
      </c>
      <c r="B124" s="161" t="s">
        <v>13266</v>
      </c>
      <c r="C124" s="160">
        <v>5833</v>
      </c>
      <c r="D124" s="166" t="s">
        <v>13267</v>
      </c>
      <c r="E124" s="172" t="s">
        <v>13268</v>
      </c>
      <c r="F124" s="172" t="s">
        <v>43</v>
      </c>
      <c r="G124" s="173" t="s">
        <v>254</v>
      </c>
      <c r="H124" s="180" t="s">
        <v>1533</v>
      </c>
      <c r="I124" s="180" t="s">
        <v>12713</v>
      </c>
      <c r="J124" s="180"/>
      <c r="K124" s="175">
        <v>42797</v>
      </c>
      <c r="L124" s="175">
        <v>43161</v>
      </c>
      <c r="M124" s="175" t="s">
        <v>583</v>
      </c>
      <c r="N124" s="175" t="s">
        <v>583</v>
      </c>
      <c r="O124" s="175" t="s">
        <v>583</v>
      </c>
      <c r="P124" s="175"/>
      <c r="Q124" s="175"/>
      <c r="R124" s="175"/>
      <c r="S124" s="175"/>
      <c r="T124" s="175"/>
      <c r="U124" s="175"/>
      <c r="V124" s="175"/>
      <c r="W124" s="175"/>
      <c r="X124" s="175"/>
      <c r="Y124" s="542">
        <v>-4.70877372685209</v>
      </c>
      <c r="Z124" s="175" t="s">
        <v>2569</v>
      </c>
      <c r="AA124" s="179">
        <v>3500000</v>
      </c>
      <c r="AB124" s="179"/>
      <c r="AC124" s="179"/>
      <c r="AD124" s="179"/>
      <c r="AE124" s="179" t="s">
        <v>113</v>
      </c>
      <c r="AF124" s="179" t="s">
        <v>12290</v>
      </c>
      <c r="AG124" s="180" t="s">
        <v>13269</v>
      </c>
      <c r="AH124" s="180" t="s">
        <v>13270</v>
      </c>
      <c r="AI124" s="180" t="s">
        <v>13271</v>
      </c>
      <c r="AJ124" s="224" t="s">
        <v>13272</v>
      </c>
      <c r="AK124" s="180" t="s">
        <v>13273</v>
      </c>
      <c r="AL124" s="180"/>
      <c r="AM124" s="180"/>
      <c r="AN124" s="86"/>
      <c r="AO124" s="163" t="s">
        <v>13274</v>
      </c>
    </row>
    <row r="125" s="517" customFormat="1" ht="14.1" customHeight="1" spans="1:42">
      <c r="A125" s="1618" t="s">
        <v>504</v>
      </c>
      <c r="B125" s="568" t="s">
        <v>13275</v>
      </c>
      <c r="C125" s="160">
        <v>251005</v>
      </c>
      <c r="D125" s="167" t="s">
        <v>13276</v>
      </c>
      <c r="E125" s="172" t="s">
        <v>13277</v>
      </c>
      <c r="F125" s="172" t="s">
        <v>43</v>
      </c>
      <c r="G125" s="173" t="s">
        <v>60</v>
      </c>
      <c r="H125" s="180" t="s">
        <v>13278</v>
      </c>
      <c r="I125" s="467" t="s">
        <v>12724</v>
      </c>
      <c r="J125" s="467" t="s">
        <v>12725</v>
      </c>
      <c r="K125" s="182">
        <v>42491</v>
      </c>
      <c r="L125" s="182">
        <v>42855</v>
      </c>
      <c r="M125" s="182">
        <v>43220</v>
      </c>
      <c r="N125" s="182"/>
      <c r="O125" s="182"/>
      <c r="P125" s="182"/>
      <c r="Q125" s="182"/>
      <c r="R125" s="182"/>
      <c r="S125" s="182"/>
      <c r="T125" s="182"/>
      <c r="U125" s="182"/>
      <c r="V125" s="182"/>
      <c r="W125" s="182"/>
      <c r="X125" s="182"/>
      <c r="Y125" s="540">
        <f ca="1">SUM(M125-NOW())</f>
        <v>-52.38453703704</v>
      </c>
      <c r="Z125" s="175" t="str">
        <f ca="1" t="shared" ref="Z125" si="17">IF(Y125&lt;=46,"WARNING","ACTIVE")</f>
        <v>WARNING</v>
      </c>
      <c r="AA125" s="181">
        <f>5100000*110%</f>
        <v>5610000</v>
      </c>
      <c r="AB125" s="181">
        <v>5000000</v>
      </c>
      <c r="AC125" s="181"/>
      <c r="AD125" s="181" t="s">
        <v>13279</v>
      </c>
      <c r="AE125" s="181" t="s">
        <v>112</v>
      </c>
      <c r="AF125" s="181" t="s">
        <v>12290</v>
      </c>
      <c r="AG125" s="180" t="s">
        <v>13280</v>
      </c>
      <c r="AH125" s="180" t="s">
        <v>13281</v>
      </c>
      <c r="AI125" s="180" t="s">
        <v>13282</v>
      </c>
      <c r="AJ125" s="1581" t="s">
        <v>13283</v>
      </c>
      <c r="AK125" s="1594" t="s">
        <v>13284</v>
      </c>
      <c r="AL125" s="180"/>
      <c r="AM125" s="180" t="s">
        <v>13285</v>
      </c>
      <c r="AN125" s="368" t="s">
        <v>13286</v>
      </c>
      <c r="AO125" s="163" t="s">
        <v>8193</v>
      </c>
      <c r="AP125" s="459"/>
    </row>
    <row r="126" s="459" customFormat="1" ht="14.1" customHeight="1" spans="1:41">
      <c r="A126" s="1618" t="s">
        <v>651</v>
      </c>
      <c r="B126" s="161" t="s">
        <v>13287</v>
      </c>
      <c r="C126" s="162" t="s">
        <v>12651</v>
      </c>
      <c r="D126" s="166" t="s">
        <v>13288</v>
      </c>
      <c r="E126" s="172" t="s">
        <v>13289</v>
      </c>
      <c r="F126" s="172" t="s">
        <v>125</v>
      </c>
      <c r="G126" s="173" t="s">
        <v>44</v>
      </c>
      <c r="H126" s="180" t="s">
        <v>13290</v>
      </c>
      <c r="I126" s="180" t="s">
        <v>12890</v>
      </c>
      <c r="J126" s="180" t="s">
        <v>12725</v>
      </c>
      <c r="K126" s="175">
        <v>42738</v>
      </c>
      <c r="L126" s="175">
        <v>43102</v>
      </c>
      <c r="M126" s="175">
        <v>43467</v>
      </c>
      <c r="N126" s="175"/>
      <c r="O126" s="175"/>
      <c r="P126" s="175"/>
      <c r="Q126" s="175"/>
      <c r="R126" s="175"/>
      <c r="S126" s="175"/>
      <c r="T126" s="175"/>
      <c r="U126" s="175"/>
      <c r="V126" s="175"/>
      <c r="W126" s="175"/>
      <c r="X126" s="175"/>
      <c r="Y126" s="542">
        <f ca="1">SUM(M126-NOW())</f>
        <v>194.61546296296</v>
      </c>
      <c r="Z126" s="175" t="str">
        <f ca="1" t="shared" ref="Z126" si="18">IF(Y126&lt;=46,"WARNING","ACTIVE")</f>
        <v>ACTIVE</v>
      </c>
      <c r="AA126" s="179">
        <f>115%*6000000</f>
        <v>6900000</v>
      </c>
      <c r="AB126" s="179"/>
      <c r="AC126" s="179"/>
      <c r="AD126" s="179" t="s">
        <v>13291</v>
      </c>
      <c r="AE126" s="179" t="s">
        <v>112</v>
      </c>
      <c r="AF126" s="179" t="s">
        <v>12290</v>
      </c>
      <c r="AG126" s="180" t="s">
        <v>13292</v>
      </c>
      <c r="AH126" s="180" t="s">
        <v>13293</v>
      </c>
      <c r="AI126" s="180" t="s">
        <v>13294</v>
      </c>
      <c r="AJ126" s="1581" t="s">
        <v>13295</v>
      </c>
      <c r="AK126" s="1594" t="s">
        <v>13296</v>
      </c>
      <c r="AL126" s="1594" t="s">
        <v>13297</v>
      </c>
      <c r="AM126" s="180"/>
      <c r="AN126" s="368" t="s">
        <v>13298</v>
      </c>
      <c r="AO126" s="163" t="s">
        <v>13299</v>
      </c>
    </row>
    <row r="127" ht="14.1" customHeight="1" spans="1:41">
      <c r="A127" s="1618" t="s">
        <v>56</v>
      </c>
      <c r="B127" s="161" t="s">
        <v>12299</v>
      </c>
      <c r="C127" s="162" t="s">
        <v>12300</v>
      </c>
      <c r="D127" s="167" t="s">
        <v>12301</v>
      </c>
      <c r="E127" s="172" t="s">
        <v>12302</v>
      </c>
      <c r="F127" s="172" t="s">
        <v>43</v>
      </c>
      <c r="G127" s="173" t="s">
        <v>254</v>
      </c>
      <c r="H127" s="180" t="s">
        <v>12303</v>
      </c>
      <c r="I127" s="467" t="s">
        <v>12288</v>
      </c>
      <c r="J127" s="467" t="s">
        <v>583</v>
      </c>
      <c r="K127" s="182">
        <v>42128</v>
      </c>
      <c r="L127" s="182">
        <v>42219</v>
      </c>
      <c r="M127" s="182">
        <v>42311</v>
      </c>
      <c r="N127" s="182">
        <v>42677</v>
      </c>
      <c r="O127" s="182">
        <v>42858</v>
      </c>
      <c r="P127" s="182"/>
      <c r="Q127" s="182"/>
      <c r="R127" s="182"/>
      <c r="S127" s="182">
        <v>42859</v>
      </c>
      <c r="T127" s="182">
        <v>43223</v>
      </c>
      <c r="U127" s="182"/>
      <c r="V127" s="182"/>
      <c r="W127" s="182">
        <v>43252</v>
      </c>
      <c r="X127" s="182"/>
      <c r="Y127" s="542">
        <v>-11.4549864583314</v>
      </c>
      <c r="Z127" s="175" t="s">
        <v>2569</v>
      </c>
      <c r="AA127" s="181">
        <v>4903525</v>
      </c>
      <c r="AB127" s="181"/>
      <c r="AC127" s="181">
        <v>150000</v>
      </c>
      <c r="AD127" s="181" t="s">
        <v>12304</v>
      </c>
      <c r="AE127" s="181" t="s">
        <v>112</v>
      </c>
      <c r="AF127" s="181" t="s">
        <v>12290</v>
      </c>
      <c r="AG127" s="180" t="s">
        <v>12305</v>
      </c>
      <c r="AH127" s="180">
        <v>82221521392</v>
      </c>
      <c r="AI127" s="180" t="s">
        <v>12306</v>
      </c>
      <c r="AJ127" s="1581" t="s">
        <v>12307</v>
      </c>
      <c r="AK127" s="180" t="s">
        <v>12308</v>
      </c>
      <c r="AL127" s="180">
        <v>0</v>
      </c>
      <c r="AM127" s="180" t="s">
        <v>12309</v>
      </c>
      <c r="AN127" s="368"/>
      <c r="AO127" s="163" t="s">
        <v>13300</v>
      </c>
    </row>
    <row r="128" ht="14.1" customHeight="1" spans="1:41">
      <c r="A128" s="1615" t="s">
        <v>272</v>
      </c>
      <c r="B128" s="161" t="s">
        <v>13301</v>
      </c>
      <c r="C128" s="162">
        <v>251012</v>
      </c>
      <c r="D128" s="167" t="s">
        <v>13302</v>
      </c>
      <c r="E128" s="172" t="s">
        <v>13303</v>
      </c>
      <c r="F128" s="172" t="s">
        <v>125</v>
      </c>
      <c r="G128" s="173" t="s">
        <v>44</v>
      </c>
      <c r="H128" s="180" t="s">
        <v>13304</v>
      </c>
      <c r="I128" s="467" t="s">
        <v>12562</v>
      </c>
      <c r="J128" s="467"/>
      <c r="K128" s="182">
        <v>42310</v>
      </c>
      <c r="L128" s="182">
        <v>42675</v>
      </c>
      <c r="M128" s="182">
        <v>43040</v>
      </c>
      <c r="N128" s="182"/>
      <c r="O128" s="182"/>
      <c r="P128" s="182"/>
      <c r="Q128" s="182"/>
      <c r="R128" s="182"/>
      <c r="S128" s="182">
        <v>43041</v>
      </c>
      <c r="T128" s="182">
        <v>43405</v>
      </c>
      <c r="U128" s="182"/>
      <c r="V128" s="182"/>
      <c r="W128" s="182"/>
      <c r="X128" s="182"/>
      <c r="Y128" s="542">
        <v>170.545013425923</v>
      </c>
      <c r="Z128" s="175" t="s">
        <v>745</v>
      </c>
      <c r="AA128" s="181">
        <v>4169845.9</v>
      </c>
      <c r="AB128" s="181"/>
      <c r="AC128" s="181"/>
      <c r="AD128" s="181" t="s">
        <v>13305</v>
      </c>
      <c r="AE128" s="181" t="s">
        <v>112</v>
      </c>
      <c r="AF128" s="181" t="s">
        <v>12290</v>
      </c>
      <c r="AG128" s="180" t="s">
        <v>13306</v>
      </c>
      <c r="AH128" s="180">
        <v>81298185635</v>
      </c>
      <c r="AI128" s="180" t="s">
        <v>13307</v>
      </c>
      <c r="AJ128" s="1581" t="s">
        <v>13308</v>
      </c>
      <c r="AK128" s="180" t="s">
        <v>13309</v>
      </c>
      <c r="AL128" s="180">
        <v>14035387936</v>
      </c>
      <c r="AM128" s="1590" t="s">
        <v>13310</v>
      </c>
      <c r="AN128" s="368" t="s">
        <v>13311</v>
      </c>
      <c r="AO128" s="163" t="s">
        <v>13312</v>
      </c>
    </row>
    <row r="129" ht="14.1" customHeight="1" spans="1:41">
      <c r="A129" s="1615" t="s">
        <v>483</v>
      </c>
      <c r="B129" s="161" t="s">
        <v>13313</v>
      </c>
      <c r="C129" s="162">
        <v>251005</v>
      </c>
      <c r="D129" s="167" t="s">
        <v>13314</v>
      </c>
      <c r="E129" s="172" t="s">
        <v>13315</v>
      </c>
      <c r="F129" s="172" t="s">
        <v>125</v>
      </c>
      <c r="G129" s="173" t="s">
        <v>404</v>
      </c>
      <c r="H129" s="180" t="s">
        <v>13278</v>
      </c>
      <c r="I129" s="467" t="s">
        <v>12724</v>
      </c>
      <c r="J129" s="467" t="s">
        <v>12725</v>
      </c>
      <c r="K129" s="182">
        <v>42461</v>
      </c>
      <c r="L129" s="182">
        <v>42825</v>
      </c>
      <c r="M129" s="182">
        <v>43190</v>
      </c>
      <c r="N129" s="471">
        <v>43220</v>
      </c>
      <c r="O129" s="182"/>
      <c r="P129" s="182"/>
      <c r="Q129" s="182"/>
      <c r="R129" s="182"/>
      <c r="S129" s="182"/>
      <c r="T129" s="182"/>
      <c r="U129" s="182"/>
      <c r="V129" s="182"/>
      <c r="W129" s="182"/>
      <c r="X129" s="182"/>
      <c r="Y129" s="542">
        <v>-14.4549864583314</v>
      </c>
      <c r="Z129" s="175" t="s">
        <v>2569</v>
      </c>
      <c r="AA129" s="181">
        <v>11000000</v>
      </c>
      <c r="AB129" s="181">
        <v>5000000</v>
      </c>
      <c r="AC129" s="181"/>
      <c r="AD129" s="181" t="s">
        <v>13316</v>
      </c>
      <c r="AE129" s="181" t="s">
        <v>112</v>
      </c>
      <c r="AF129" s="181" t="s">
        <v>12290</v>
      </c>
      <c r="AG129" s="180" t="s">
        <v>13317</v>
      </c>
      <c r="AH129" s="180" t="s">
        <v>13318</v>
      </c>
      <c r="AI129" s="180" t="s">
        <v>13319</v>
      </c>
      <c r="AJ129" s="1581" t="s">
        <v>13320</v>
      </c>
      <c r="AK129" s="180" t="s">
        <v>13321</v>
      </c>
      <c r="AL129" s="180">
        <v>15046473888</v>
      </c>
      <c r="AM129" s="180" t="s">
        <v>13322</v>
      </c>
      <c r="AN129" s="368" t="s">
        <v>13323</v>
      </c>
      <c r="AO129" s="163" t="s">
        <v>13324</v>
      </c>
    </row>
    <row r="130" ht="14.1" customHeight="1" spans="1:41">
      <c r="A130" s="1618" t="s">
        <v>250</v>
      </c>
      <c r="B130" s="161" t="s">
        <v>13325</v>
      </c>
      <c r="C130" s="162">
        <v>258601</v>
      </c>
      <c r="D130" s="167" t="s">
        <v>13326</v>
      </c>
      <c r="E130" s="172" t="s">
        <v>13327</v>
      </c>
      <c r="F130" s="172" t="s">
        <v>125</v>
      </c>
      <c r="G130" s="173" t="s">
        <v>44</v>
      </c>
      <c r="H130" s="180" t="s">
        <v>13328</v>
      </c>
      <c r="I130" s="467" t="s">
        <v>13329</v>
      </c>
      <c r="J130" s="467" t="s">
        <v>583</v>
      </c>
      <c r="K130" s="182">
        <v>42142</v>
      </c>
      <c r="L130" s="182">
        <v>42325</v>
      </c>
      <c r="M130" s="182">
        <v>42691</v>
      </c>
      <c r="N130" s="182">
        <v>42872</v>
      </c>
      <c r="O130" s="182"/>
      <c r="P130" s="182"/>
      <c r="Q130" s="182"/>
      <c r="R130" s="182"/>
      <c r="S130" s="182">
        <v>42873</v>
      </c>
      <c r="T130" s="182">
        <v>43237</v>
      </c>
      <c r="U130" s="182"/>
      <c r="V130" s="182"/>
      <c r="W130" s="182"/>
      <c r="X130" s="182"/>
      <c r="Y130" s="542">
        <v>-4.3677033564818</v>
      </c>
      <c r="Z130" s="175" t="s">
        <v>2569</v>
      </c>
      <c r="AA130" s="181">
        <v>4400000</v>
      </c>
      <c r="AB130" s="181"/>
      <c r="AC130" s="181"/>
      <c r="AD130" s="181" t="s">
        <v>13330</v>
      </c>
      <c r="AE130" s="181" t="s">
        <v>112</v>
      </c>
      <c r="AF130" s="181" t="s">
        <v>12290</v>
      </c>
      <c r="AG130" s="180" t="s">
        <v>13331</v>
      </c>
      <c r="AH130" s="180" t="s">
        <v>13332</v>
      </c>
      <c r="AI130" s="180" t="s">
        <v>13333</v>
      </c>
      <c r="AJ130" s="1581" t="s">
        <v>13334</v>
      </c>
      <c r="AK130" s="180" t="s">
        <v>13335</v>
      </c>
      <c r="AL130" s="180">
        <v>0</v>
      </c>
      <c r="AM130" s="180" t="s">
        <v>13336</v>
      </c>
      <c r="AN130" s="368" t="s">
        <v>13337</v>
      </c>
      <c r="AO130" s="163" t="s">
        <v>13338</v>
      </c>
    </row>
    <row r="131" ht="14.1" customHeight="1" spans="1:41">
      <c r="A131" s="1618" t="s">
        <v>753</v>
      </c>
      <c r="B131" s="32" t="s">
        <v>13339</v>
      </c>
      <c r="C131" s="162">
        <v>5534</v>
      </c>
      <c r="D131" s="166" t="s">
        <v>13340</v>
      </c>
      <c r="E131" s="172" t="s">
        <v>13341</v>
      </c>
      <c r="F131" s="172" t="s">
        <v>43</v>
      </c>
      <c r="G131" s="173" t="s">
        <v>44</v>
      </c>
      <c r="H131" s="180" t="s">
        <v>13342</v>
      </c>
      <c r="I131" s="180" t="s">
        <v>12983</v>
      </c>
      <c r="J131" s="180"/>
      <c r="K131" s="175">
        <v>43191</v>
      </c>
      <c r="L131" s="175">
        <v>43251</v>
      </c>
      <c r="M131" s="175" t="s">
        <v>583</v>
      </c>
      <c r="N131" s="175" t="s">
        <v>583</v>
      </c>
      <c r="O131" s="175" t="s">
        <v>583</v>
      </c>
      <c r="P131" s="175"/>
      <c r="Q131" s="175"/>
      <c r="R131" s="175"/>
      <c r="S131" s="175"/>
      <c r="T131" s="175"/>
      <c r="U131" s="175"/>
      <c r="V131" s="175"/>
      <c r="W131" s="175"/>
      <c r="X131" s="175"/>
      <c r="Y131" s="542">
        <v>9.6322966435182</v>
      </c>
      <c r="Z131" s="175" t="s">
        <v>2569</v>
      </c>
      <c r="AA131" s="179">
        <v>4321944</v>
      </c>
      <c r="AB131" s="179"/>
      <c r="AC131" s="179"/>
      <c r="AD131" s="179"/>
      <c r="AE131" s="179" t="s">
        <v>112</v>
      </c>
      <c r="AF131" s="179" t="s">
        <v>12290</v>
      </c>
      <c r="AG131" s="180" t="s">
        <v>13343</v>
      </c>
      <c r="AH131" s="1594" t="s">
        <v>13344</v>
      </c>
      <c r="AI131" s="180" t="s">
        <v>13345</v>
      </c>
      <c r="AJ131" s="1581" t="s">
        <v>13346</v>
      </c>
      <c r="AK131" s="180"/>
      <c r="AL131" s="1594" t="s">
        <v>13347</v>
      </c>
      <c r="AM131" s="1594" t="s">
        <v>13348</v>
      </c>
      <c r="AN131" s="86" t="s">
        <v>13349</v>
      </c>
      <c r="AO131" s="163" t="s">
        <v>13350</v>
      </c>
    </row>
    <row r="132" ht="14.1" customHeight="1" spans="1:41">
      <c r="A132" s="1618" t="s">
        <v>766</v>
      </c>
      <c r="B132" s="32" t="s">
        <v>13351</v>
      </c>
      <c r="C132" s="162">
        <v>5534</v>
      </c>
      <c r="D132" s="166" t="s">
        <v>13352</v>
      </c>
      <c r="E132" s="172" t="s">
        <v>13353</v>
      </c>
      <c r="F132" s="172" t="s">
        <v>43</v>
      </c>
      <c r="G132" s="173" t="s">
        <v>60</v>
      </c>
      <c r="H132" s="180" t="s">
        <v>13354</v>
      </c>
      <c r="I132" s="180" t="s">
        <v>13005</v>
      </c>
      <c r="J132" s="180"/>
      <c r="K132" s="175">
        <v>43191</v>
      </c>
      <c r="L132" s="175">
        <v>43251</v>
      </c>
      <c r="M132" s="175" t="s">
        <v>583</v>
      </c>
      <c r="N132" s="175" t="s">
        <v>583</v>
      </c>
      <c r="O132" s="175" t="s">
        <v>583</v>
      </c>
      <c r="P132" s="175"/>
      <c r="Q132" s="175"/>
      <c r="R132" s="175"/>
      <c r="S132" s="175"/>
      <c r="T132" s="175"/>
      <c r="U132" s="175"/>
      <c r="V132" s="175"/>
      <c r="W132" s="175"/>
      <c r="X132" s="175"/>
      <c r="Y132" s="542">
        <v>9.6322966435182</v>
      </c>
      <c r="Z132" s="175" t="s">
        <v>2569</v>
      </c>
      <c r="AA132" s="179">
        <v>4362336</v>
      </c>
      <c r="AB132" s="179"/>
      <c r="AC132" s="179"/>
      <c r="AD132" s="179"/>
      <c r="AE132" s="179" t="s">
        <v>112</v>
      </c>
      <c r="AF132" s="179" t="s">
        <v>12290</v>
      </c>
      <c r="AG132" s="180" t="s">
        <v>13355</v>
      </c>
      <c r="AH132" s="1594" t="s">
        <v>13356</v>
      </c>
      <c r="AI132" s="180" t="s">
        <v>13357</v>
      </c>
      <c r="AJ132" s="1581" t="s">
        <v>13358</v>
      </c>
      <c r="AK132" s="1594" t="s">
        <v>13359</v>
      </c>
      <c r="AL132" s="180"/>
      <c r="AM132" s="1594" t="s">
        <v>13360</v>
      </c>
      <c r="AN132" s="86" t="s">
        <v>13361</v>
      </c>
      <c r="AO132" s="163" t="s">
        <v>13350</v>
      </c>
    </row>
    <row r="133" ht="14.1" customHeight="1" spans="1:41">
      <c r="A133" s="1618" t="s">
        <v>777</v>
      </c>
      <c r="B133" s="32" t="s">
        <v>13362</v>
      </c>
      <c r="C133" s="162"/>
      <c r="D133" s="166" t="s">
        <v>13363</v>
      </c>
      <c r="E133" s="172" t="s">
        <v>8231</v>
      </c>
      <c r="F133" s="172" t="s">
        <v>43</v>
      </c>
      <c r="G133" s="173" t="s">
        <v>254</v>
      </c>
      <c r="H133" s="180" t="s">
        <v>13364</v>
      </c>
      <c r="I133" s="180" t="s">
        <v>12724</v>
      </c>
      <c r="J133" s="180"/>
      <c r="K133" s="175">
        <v>43212</v>
      </c>
      <c r="L133" s="175">
        <v>43251</v>
      </c>
      <c r="M133" s="175"/>
      <c r="N133" s="175"/>
      <c r="O133" s="175"/>
      <c r="P133" s="175"/>
      <c r="Q133" s="175"/>
      <c r="R133" s="175"/>
      <c r="S133" s="175"/>
      <c r="T133" s="175"/>
      <c r="U133" s="175"/>
      <c r="V133" s="175"/>
      <c r="W133" s="175"/>
      <c r="X133" s="175"/>
      <c r="Y133" s="542">
        <v>9.6322966435182</v>
      </c>
      <c r="Z133" s="175" t="s">
        <v>2569</v>
      </c>
      <c r="AA133" s="179">
        <v>8951625</v>
      </c>
      <c r="AB133" s="179"/>
      <c r="AC133" s="179"/>
      <c r="AD133" s="179"/>
      <c r="AE133" s="179" t="s">
        <v>112</v>
      </c>
      <c r="AF133" s="179" t="s">
        <v>12290</v>
      </c>
      <c r="AG133" s="180" t="s">
        <v>13365</v>
      </c>
      <c r="AH133" s="1594" t="s">
        <v>13366</v>
      </c>
      <c r="AI133" s="180" t="s">
        <v>13367</v>
      </c>
      <c r="AJ133" s="1581" t="s">
        <v>13368</v>
      </c>
      <c r="AK133" s="1594" t="s">
        <v>13369</v>
      </c>
      <c r="AL133" s="180">
        <v>13033863773</v>
      </c>
      <c r="AM133" s="180"/>
      <c r="AN133" s="86" t="s">
        <v>13370</v>
      </c>
      <c r="AO133" s="163" t="s">
        <v>13350</v>
      </c>
    </row>
    <row r="151" spans="1:9">
      <c r="A151" s="571" t="s">
        <v>13371</v>
      </c>
      <c r="I151" s="577" t="s">
        <v>13372</v>
      </c>
    </row>
    <row r="152" ht="11.25" spans="1:8">
      <c r="A152" s="572" t="s">
        <v>112</v>
      </c>
      <c r="B152" s="572" t="s">
        <v>13373</v>
      </c>
      <c r="C152" s="572" t="s">
        <v>13374</v>
      </c>
      <c r="D152" s="572" t="s">
        <v>3493</v>
      </c>
      <c r="E152" s="572" t="s">
        <v>13375</v>
      </c>
      <c r="F152" s="572" t="s">
        <v>13376</v>
      </c>
      <c r="G152" s="572" t="s">
        <v>13377</v>
      </c>
      <c r="H152" s="572" t="s">
        <v>13378</v>
      </c>
    </row>
    <row r="153" ht="11.25" spans="1:8">
      <c r="A153" s="573"/>
      <c r="B153" s="574"/>
      <c r="C153" s="574"/>
      <c r="D153" s="574"/>
      <c r="E153" s="574"/>
      <c r="F153" s="574"/>
      <c r="G153" s="574"/>
      <c r="H153" s="574"/>
    </row>
    <row r="154" ht="11.25" spans="1:8">
      <c r="A154" s="575"/>
      <c r="B154" s="576"/>
      <c r="C154" s="576"/>
      <c r="D154" s="576"/>
      <c r="E154" s="576"/>
      <c r="F154" s="576"/>
      <c r="G154" s="576"/>
      <c r="H154" s="576"/>
    </row>
  </sheetData>
  <autoFilter ref="A12:AO86"/>
  <mergeCells count="67">
    <mergeCell ref="A1:D1"/>
    <mergeCell ref="A2:D2"/>
    <mergeCell ref="A3:D3"/>
    <mergeCell ref="A6:D6"/>
    <mergeCell ref="AA6:AF6"/>
    <mergeCell ref="A8:AH8"/>
    <mergeCell ref="A9:AH9"/>
    <mergeCell ref="K12:L12"/>
    <mergeCell ref="M12:Q12"/>
    <mergeCell ref="S12:T12"/>
    <mergeCell ref="W12:X12"/>
    <mergeCell ref="K38:L38"/>
    <mergeCell ref="S38:T38"/>
    <mergeCell ref="W38:X38"/>
    <mergeCell ref="A12:A13"/>
    <mergeCell ref="A38:A39"/>
    <mergeCell ref="B12:B13"/>
    <mergeCell ref="B38:B39"/>
    <mergeCell ref="C12:C13"/>
    <mergeCell ref="C38:C39"/>
    <mergeCell ref="D12:D13"/>
    <mergeCell ref="D38:D39"/>
    <mergeCell ref="E12:E13"/>
    <mergeCell ref="E38:E39"/>
    <mergeCell ref="F12:F13"/>
    <mergeCell ref="F38:F39"/>
    <mergeCell ref="G12:G13"/>
    <mergeCell ref="G38:G39"/>
    <mergeCell ref="H12:H13"/>
    <mergeCell ref="H38:H39"/>
    <mergeCell ref="I12:I13"/>
    <mergeCell ref="I38:I39"/>
    <mergeCell ref="J12:J13"/>
    <mergeCell ref="J38:J39"/>
    <mergeCell ref="Y12:Y13"/>
    <mergeCell ref="Y38:Y39"/>
    <mergeCell ref="Z12:Z13"/>
    <mergeCell ref="Z38:Z39"/>
    <mergeCell ref="AA12:AA13"/>
    <mergeCell ref="AA38:AA39"/>
    <mergeCell ref="AB12:AB13"/>
    <mergeCell ref="AB38:AB39"/>
    <mergeCell ref="AC12:AC13"/>
    <mergeCell ref="AD12:AD13"/>
    <mergeCell ref="AD38:AD39"/>
    <mergeCell ref="AE12:AE13"/>
    <mergeCell ref="AE38:AE39"/>
    <mergeCell ref="AF12:AF13"/>
    <mergeCell ref="AF38:AF39"/>
    <mergeCell ref="AG12:AG13"/>
    <mergeCell ref="AG38:AG39"/>
    <mergeCell ref="AH12:AH13"/>
    <mergeCell ref="AH38:AH39"/>
    <mergeCell ref="AI12:AI13"/>
    <mergeCell ref="AI38:AI39"/>
    <mergeCell ref="AJ12:AJ13"/>
    <mergeCell ref="AJ38:AJ39"/>
    <mergeCell ref="AK12:AK13"/>
    <mergeCell ref="AK38:AK39"/>
    <mergeCell ref="AL12:AL13"/>
    <mergeCell ref="AL38:AL39"/>
    <mergeCell ref="AM12:AM13"/>
    <mergeCell ref="AM38:AM39"/>
    <mergeCell ref="AN12:AN13"/>
    <mergeCell ref="AN38:AN39"/>
    <mergeCell ref="AO12:AO13"/>
    <mergeCell ref="AO38:AO39"/>
  </mergeCells>
  <conditionalFormatting sqref="A15:B15;AA12:AA13;AO35:AO37;I35:J37;C35:C37;K39:AA39;AJ35:AJ37;AK35:AL39;AN35:AN39;AM35:AM37;I63;K35:AD38;AE35:AE37;AE14:AF26;AM49:AM52;AF35:AI39;AD39;F14:G25;AH14:AO25;B16:B25;I14:I25;AD14:AD25;AF69:AF71;AD101:AF102;I102;AE77:AE79;AM43:AM47;AH65:AO67;AN101:AO101;A101:B101;AH102:AO102;Y101:Z102;AF77;Y103:AO104;I103:J104;AD105:AE106;AD107:AF107;I105:I107;A102:C108;AI108:AO108;I108:J108;Y108:AG108;C111;AH110:AO111;B110:C110;F110:G110;AD110:AF110;A109:A111;F101:G101;Y14:Z25;F69:G71;AH69:AO71;Y69:Z71;E35:G41;AF73;AH73:AO74;F73:G74;AD117:AF118;Y117:Z118;AD115:AE115;AD116;AH115:AO118;I114:I118;AH114:AL114;F114:G117;AD114:AF114;Y114:Z114;E113:G113;AN113:AO114;I113:J113;Y113:AL113;AH121:AO121;AD121:AE123;A121:C123;AN120;I120:I121;AH120:AL120;F120:G121;AD120:AF120;Y120:Z121;A120:B120;E119:G119;A119:C119;I119:J119;AI119:AO119;Y119:AG119;I124;B61:B76;I67:I80;A35:B40;AM54:AM59;I40:I61;E43:G56;AD74:AD81;Y73:Z86;AD40:AM41;AD42:AG55;AA40:AC54;J40:J59;AN40:AO64;AH42:AL64;F42:G42;F57:G66;AD56:AF68;Y40:Z64;B41:B59;A41:A86;C40:C82;A126:C126;AH125:AO125;F125:G125;AD124:AF125;Y124:Z125;A124:A125;C124:C125;C84:C86;AH129:AM129;A127:B129;E128:G128;AA128:AL128;I128:J128;AN128:AO129;C128:C129;F127:G127;F129:G129;AH127:AO127;I126:I127;AD127:AF127;AD129:AF129;Y127:Z129;A131:A133;I130:J130;E130:G130;Y130:AO130;A130:C130;C131:C133;AD69:AE73;A14;A16:A31">
    <cfRule type="expression" dxfId="1467" priority="1" stopIfTrue="1">
      <formula>IF(OR($BF12="not",$BF12="resign",$BF12="resign",$BF12="end",$BF12="terminated",$BF12="permanent"),"TRUE","FALSE")</formula>
    </cfRule>
  </conditionalFormatting>
  <conditionalFormatting sqref="B14:C14">
    <cfRule type="expression" dxfId="1468" priority="2" stopIfTrue="1">
      <formula>IF(OR($BF14="not",$BF14="resign",$BF14="resign",$BF14="end",$BF14="terminated",$BF14="permanent"),"TRUE","FALSE")</formula>
    </cfRule>
  </conditionalFormatting>
  <conditionalFormatting sqref="AB12:AC12">
    <cfRule type="expression" dxfId="1469" priority="3" stopIfTrue="1">
      <formula>IF(OR($BF12="not",$BF12="resign",$BF12="resign",$BF12="end",$BF12="terminated",$BF12="permanent"),"TRUE","FALSE")</formula>
    </cfRule>
  </conditionalFormatting>
  <conditionalFormatting sqref="AF27">
    <cfRule type="expression" dxfId="1470" priority="4" stopIfTrue="1">
      <formula>IF(OR(#REF!="not",#REF!="resign",#REF!="resign",#REF!="end",#REF!="terminated",#REF!="permanent"),"TRUE","FALSE")</formula>
    </cfRule>
  </conditionalFormatting>
  <conditionalFormatting sqref="J101;C101;AF101:AG101;E101:G101;I60:J61;AF27:AG27;E27:G27;Y27:Z27;I27:J27;A112;A101:A102;Y101:Z102;J62:J64;AF60:AG64;E60:G64;A124;Y60:Z85;A40:A86;A27:A31">
    <cfRule type="expression" dxfId="1471" priority="5" stopIfTrue="1">
      <formula>IF(OR(#REF!="not",#REF!="resign",#REF!="resign",#REF!="end",#REF!="terminated",#REF!="permanent"),"TRUE","FALSE")</formula>
    </cfRule>
  </conditionalFormatting>
  <conditionalFormatting sqref="AF60">
    <cfRule type="expression" dxfId="1472" priority="6" stopIfTrue="1">
      <formula>IF(OR($BF60="not",$BF60="resign",$BF60="resign",$BF60="end",$BF60="terminated",$BF60="permanent"),"TRUE","FALSE")</formula>
    </cfRule>
  </conditionalFormatting>
  <conditionalFormatting sqref="B60">
    <cfRule type="expression" dxfId="1473" priority="7" stopIfTrue="1">
      <formula>IF(OR($BF60="not",$BF60="resign",$BF60="resign",$BF60="end",$BF60="terminated",$BF60="permanent"),"TRUE","FALSE")</formula>
    </cfRule>
  </conditionalFormatting>
  <conditionalFormatting sqref="AF112;A112;Y62:Z64;AF28:AF29;Y124:Z124;A124;J72:J76;Y72:Z85;F43:G60;J43:J66;Y43:Z60;A40:A86;A26:A31">
    <cfRule type="expression" dxfId="1474" priority="8" stopIfTrue="1">
      <formula>IF(OR(#REF!="not",#REF!="resign",#REF!="resign",#REF!="end",#REF!="terminated",#REF!="permanent"),"TRUE","FALSE")</formula>
    </cfRule>
  </conditionalFormatting>
  <conditionalFormatting sqref="J102;A102;E28:G28;AF28:AG28;Y28:Z28;I28:I29;AF29">
    <cfRule type="expression" dxfId="1475" priority="9" stopIfTrue="1">
      <formula>IF(OR(#REF!="not",#REF!="resign",#REF!="resign",#REF!="end",#REF!="terminated",#REF!="permanent"),"TRUE","FALSE")</formula>
    </cfRule>
  </conditionalFormatting>
  <conditionalFormatting sqref="Y101:Z102;A101:A102;F62:G65;F41:G41;J41;Y41:Z41;F26:G28;AD28;J26:J28;Y26:Z28">
    <cfRule type="expression" dxfId="1476" priority="10" stopIfTrue="1">
      <formula>IF(OR(#REF!="not",#REF!="resign",#REF!="resign",#REF!="end",#REF!="terminated",#REF!="permanent"),"TRUE","FALSE")</formula>
    </cfRule>
  </conditionalFormatting>
  <conditionalFormatting sqref="I61">
    <cfRule type="expression" dxfId="1477" priority="11" stopIfTrue="1">
      <formula>IF(OR($BF61="not",$BF61="resign",$BF61="resign",$BF61="end",$BF61="terminated",$BF61="permanent"),"TRUE","FALSE")</formula>
    </cfRule>
    <cfRule type="expression" dxfId="1478" priority="12" stopIfTrue="1">
      <formula>IF(OR($BF61="not",$BF61="resign",$BF61="resign",$BF61="end",$BF61="terminated",$BF61="permanent"),"TRUE","FALSE")</formula>
    </cfRule>
  </conditionalFormatting>
  <conditionalFormatting sqref="A102;A106:A107">
    <cfRule type="expression" dxfId="1479" priority="13" stopIfTrue="1">
      <formula>IF(OR($BF141="not",$BF141="resign",$BF141="resign",$BF141="end",$BF141="terminated",$BF141="permanent"),"TRUE","FALSE")</formula>
    </cfRule>
    <cfRule type="expression" dxfId="1480" priority="14" stopIfTrue="1">
      <formula>IF(OR($BF142="not",$BF142="resign",$BF142="resign",$BF142="end",$BF142="terminated",$BF142="permanent"),"TRUE","FALSE")</formula>
    </cfRule>
  </conditionalFormatting>
  <conditionalFormatting sqref="A102;A124">
    <cfRule type="expression" dxfId="1481" priority="15" stopIfTrue="1">
      <formula>IF(OR($BF109="not",$BF109="resign",$BF109="resign",$BF109="end",$BF109="terminated",$BF109="permanent"),"TRUE","FALSE")</formula>
    </cfRule>
  </conditionalFormatting>
  <conditionalFormatting sqref="Y77:Z80">
    <cfRule type="expression" dxfId="1482" priority="16" stopIfTrue="1">
      <formula>IF(OR($BF81="not",$BF81="resign",$BF81="resign",$BF81="end",$BF81="terminated",$BF81="permanent"),"TRUE","FALSE")</formula>
    </cfRule>
  </conditionalFormatting>
  <conditionalFormatting sqref="Y64:Z65;Y86:Z86">
    <cfRule type="expression" dxfId="1483" priority="17" stopIfTrue="1">
      <formula>IF(OR($BF80="not",$BF80="resign",$BF80="resign",$BF80="end",$BF80="terminated",$BF80="permanent"),"TRUE","FALSE")</formula>
    </cfRule>
  </conditionalFormatting>
  <conditionalFormatting sqref="A110:A111;A105:A107">
    <cfRule type="expression" dxfId="1484" priority="18" stopIfTrue="1">
      <formula>IF(OR($BF134="not",$BF134="resign",$BF134="resign",$BF134="end",$BF134="terminated",$BF134="permanent"),"TRUE","FALSE")</formula>
    </cfRule>
  </conditionalFormatting>
  <conditionalFormatting sqref="Y65:Z67">
    <cfRule type="expression" dxfId="1485" priority="19" stopIfTrue="1">
      <formula>IF(OR($BF82="not",$BF82="resign",$BF82="resign",$BF82="end",$BF82="terminated",$BF82="permanent"),"TRUE","FALSE")</formula>
    </cfRule>
  </conditionalFormatting>
  <conditionalFormatting sqref="A114">
    <cfRule type="expression" dxfId="1486" priority="20" stopIfTrue="1">
      <formula>IF(OR(#REF!="not",#REF!="resign",#REF!="resign",#REF!="end",#REF!="terminated",#REF!="permanent"),"TRUE","FALSE")</formula>
    </cfRule>
    <cfRule type="expression" dxfId="1487" priority="21" stopIfTrue="1">
      <formula>IF(OR($BF131="not",$BF131="resign",$BF131="resign",$BF131="end",$BF131="terminated",$BF131="permanent"),"TRUE","FALSE")</formula>
    </cfRule>
    <cfRule type="expression" dxfId="1488" priority="22" stopIfTrue="1">
      <formula>IF(OR($BF130="not",$BF130="resign",$BF130="resign",$BF130="end",$BF130="terminated",$BF130="permanent"),"TRUE","FALSE")</formula>
    </cfRule>
  </conditionalFormatting>
  <conditionalFormatting sqref="Y117:Z117;A106:A107;A124">
    <cfRule type="expression" dxfId="1489" priority="23" stopIfTrue="1">
      <formula>IF(OR($BF143="not",$BF143="resign",$BF143="resign",$BF143="end",$BF143="terminated",$BF143="permanent"),"TRUE","FALSE")</formula>
    </cfRule>
  </conditionalFormatting>
  <conditionalFormatting sqref="Y121:Z121;A101:A102">
    <cfRule type="expression" dxfId="1490" priority="24" stopIfTrue="1">
      <formula>IF(OR($BF134="not",$BF134="resign",$BF134="resign",$BF134="end",$BF134="terminated",$BF134="permanent"),"TRUE","FALSE")</formula>
    </cfRule>
  </conditionalFormatting>
  <conditionalFormatting sqref="A110:A111;F117:G117;C117;A115:A119;A101:A102">
    <cfRule type="expression" dxfId="1491" priority="25" stopIfTrue="1">
      <formula>IF(OR($BF129="not",$BF129="resign",$BF129="resign",$BF129="end",$BF129="terminated",$BF129="permanent"),"TRUE","FALSE")</formula>
    </cfRule>
  </conditionalFormatting>
  <conditionalFormatting sqref="J101;F101:G101;Y101:Z101;C106;J105:J106;Y110:Z110;A121:A123;A101:A102">
    <cfRule type="expression" dxfId="1492" priority="26" stopIfTrue="1">
      <formula>IF(OR($BF132="not",$BF132="resign",$BF132="resign",$BF132="end",$BF132="terminated",$BF132="permanent"),"TRUE","FALSE")</formula>
    </cfRule>
  </conditionalFormatting>
  <conditionalFormatting sqref="A102;Y73:Z73;Y77:Z85;Y86">
    <cfRule type="expression" dxfId="1493" priority="27" stopIfTrue="1">
      <formula>IF(OR($BF85="not",$BF85="resign",$BF85="resign",$BF85="end",$BF85="terminated",$BF85="permanent"),"TRUE","FALSE")</formula>
    </cfRule>
  </conditionalFormatting>
  <conditionalFormatting sqref="A122:A123;A119;A113;F122:G123">
    <cfRule type="expression" dxfId="1494" priority="28" stopIfTrue="1">
      <formula>IF(OR($BF138="not",$BF138="resign",$BF138="resign",$BF138="end",$BF138="terminated",$BF138="permanent"),"TRUE","FALSE")</formula>
    </cfRule>
  </conditionalFormatting>
  <conditionalFormatting sqref="I62">
    <cfRule type="expression" dxfId="1495" priority="29" stopIfTrue="1">
      <formula>IF(OR($BF62="not",$BF62="resign",$BF62="resign",$BF62="end",$BF62="terminated",$BF62="permanent"),"TRUE","FALSE")</formula>
    </cfRule>
  </conditionalFormatting>
  <conditionalFormatting sqref="F67:G67;Y86:Z86">
    <cfRule type="expression" dxfId="1496" priority="30" stopIfTrue="1">
      <formula>IF(OR($BF82="not",$BF82="resign",$BF82="resign",$BF82="end",$BF82="terminated",$BF82="permanent"),"TRUE","FALSE")</formula>
    </cfRule>
  </conditionalFormatting>
  <conditionalFormatting sqref="A115:A118;C121;F121:G121;A121:A123;F111:G111;A110">
    <cfRule type="expression" dxfId="1497" priority="31" stopIfTrue="1">
      <formula>IF(OR($BF134="not",$BF134="resign",$BF134="resign",$BF134="end",$BF134="terminated",$BF134="permanent"),"TRUE","FALSE")</formula>
    </cfRule>
  </conditionalFormatting>
  <conditionalFormatting sqref="Y77:Z78;A124">
    <cfRule type="expression" dxfId="1498" priority="32" stopIfTrue="1">
      <formula>IF(OR($BF82="not",$BF82="resign",$BF82="resign",$BF82="end",$BF82="terminated",$BF82="permanent"),"TRUE","FALSE")</formula>
    </cfRule>
  </conditionalFormatting>
  <conditionalFormatting sqref="A102">
    <cfRule type="expression" dxfId="1499" priority="33" stopIfTrue="1">
      <formula>IF(OR($BF102="not",$BF102="resign",$BF102="resign",$BF102="end",$BF102="terminated",$BF102="permanent"),"TRUE","FALSE")</formula>
    </cfRule>
    <cfRule type="expression" dxfId="1500" priority="34" stopIfTrue="1">
      <formula>IF(OR($BF108="not",$BF108="resign",$BF108="resign",$BF108="end",$BF108="terminated",$BF108="permanent"),"TRUE","FALSE")</formula>
    </cfRule>
    <cfRule type="expression" dxfId="1501" priority="35" stopIfTrue="1">
      <formula>IF(OR($BF127="not",$BF127="resign",$BF127="resign",$BF127="end",$BF127="terminated",$BF127="permanent"),"TRUE","FALSE")</formula>
    </cfRule>
  </conditionalFormatting>
  <conditionalFormatting sqref="A106:A107;A102">
    <cfRule type="expression" dxfId="1502" priority="36" stopIfTrue="1">
      <formula>IF(OR($BF140="not",$BF140="resign",$BF140="resign",$BF140="end",$BF140="terminated",$BF140="permanent"),"TRUE","FALSE")</formula>
    </cfRule>
  </conditionalFormatting>
  <conditionalFormatting sqref="A124">
    <cfRule type="expression" dxfId="1503" priority="37" stopIfTrue="1">
      <formula>IF(OR(#REF!="not",#REF!="resign",#REF!="resign",#REF!="end",#REF!="terminated",#REF!="permanent"),"TRUE","FALSE")</formula>
    </cfRule>
    <cfRule type="expression" dxfId="1504" priority="38" stopIfTrue="1">
      <formula>IF(OR(#REF!="not",#REF!="resign",#REF!="resign",#REF!="end",#REF!="terminated",#REF!="permanent"),"TRUE","FALSE")</formula>
    </cfRule>
    <cfRule type="expression" dxfId="1505" priority="39" stopIfTrue="1">
      <formula>IF(OR($BF194="not",$BF194="resign",$BF194="resign",$BF194="end",$BF194="terminated",$BF194="permanent"),"TRUE","FALSE")</formula>
    </cfRule>
  </conditionalFormatting>
  <conditionalFormatting sqref="A101:A102">
    <cfRule type="expression" dxfId="1506" priority="40" stopIfTrue="1">
      <formula>IF(OR($BF235="not",$BF235="resign",$BF235="resign",$BF235="end",$BF235="terminated",$BF235="permanent"),"TRUE","FALSE")</formula>
    </cfRule>
    <cfRule type="expression" dxfId="1507" priority="41" stopIfTrue="1">
      <formula>IF(OR($BF126="not",$BF126="resign",$BF126="resign",$BF126="end",$BF126="terminated",$BF126="permanent"),"TRUE","FALSE")</formula>
    </cfRule>
    <cfRule type="expression" dxfId="1508" priority="42" stopIfTrue="1">
      <formula>IF(OR($BF127="not",$BF127="resign",$BF127="resign",$BF127="end",$BF127="terminated",$BF127="permanent"),"TRUE","FALSE")</formula>
    </cfRule>
  </conditionalFormatting>
  <conditionalFormatting sqref="I65">
    <cfRule type="expression" dxfId="1509" priority="43" stopIfTrue="1">
      <formula>IF(OR($BF65="not",$BF65="resign",$BF65="resign",$BF65="end",$BF65="terminated",$BF65="permanent"),"TRUE","FALSE")</formula>
    </cfRule>
  </conditionalFormatting>
  <conditionalFormatting sqref="Y65">
    <cfRule type="expression" dxfId="1510" priority="44" stopIfTrue="1">
      <formula>IF(OR($BD65="not",$BD65="resign",$BD65="resign",$BD65="end",$BD65="terminated",$BD65="permanent"),"TRUE","FALSE")</formula>
    </cfRule>
    <cfRule type="expression" dxfId="1511" priority="45" stopIfTrue="1">
      <formula>IF(OR($BF65="not",$BF65="resign",$BF65="resign",$BF65="end",$BF65="terminated",$BF65="permanent"),"TRUE","FALSE")</formula>
    </cfRule>
  </conditionalFormatting>
  <conditionalFormatting sqref="Z65">
    <cfRule type="expression" dxfId="1512" priority="46" stopIfTrue="1">
      <formula>IF(OR($BD65="not",$BD65="resign",$BD65="resign",$BD65="end",$BD65="terminated",$BD65="permanent"),"TRUE","FALSE")</formula>
    </cfRule>
    <cfRule type="expression" dxfId="1513" priority="47" stopIfTrue="1">
      <formula>IF(OR($BF65="not",$BF65="resign",$BF65="resign",$BF65="end",$BF65="terminated",$BF65="permanent"),"TRUE","FALSE")</formula>
    </cfRule>
  </conditionalFormatting>
  <conditionalFormatting sqref="I66">
    <cfRule type="expression" dxfId="1514" priority="48" stopIfTrue="1">
      <formula>IF(OR($BF66="not",$BF66="resign",$BF66="resign",$BF66="end",$BF66="terminated",$BF66="permanent"),"TRUE","FALSE")</formula>
    </cfRule>
  </conditionalFormatting>
  <conditionalFormatting sqref="Y66">
    <cfRule type="expression" dxfId="1515" priority="49" stopIfTrue="1">
      <formula>IF(OR($BD66="not",$BD66="resign",$BD66="resign",$BD66="end",$BD66="terminated",$BD66="permanent"),"TRUE","FALSE")</formula>
    </cfRule>
    <cfRule type="expression" dxfId="1516" priority="50" stopIfTrue="1">
      <formula>IF(OR($BF66="not",$BF66="resign",$BF66="resign",$BF66="end",$BF66="terminated",$BF66="permanent"),"TRUE","FALSE")</formula>
    </cfRule>
  </conditionalFormatting>
  <conditionalFormatting sqref="Z66">
    <cfRule type="expression" dxfId="1517" priority="51" stopIfTrue="1">
      <formula>IF(OR($BD66="not",$BD66="resign",$BD66="resign",$BD66="end",$BD66="terminated",$BD66="permanent"),"TRUE","FALSE")</formula>
    </cfRule>
    <cfRule type="expression" dxfId="1518" priority="52" stopIfTrue="1">
      <formula>IF(OR($BF66="not",$BF66="resign",$BF66="resign",$BF66="end",$BF66="terminated",$BF66="permanent"),"TRUE","FALSE")</formula>
    </cfRule>
  </conditionalFormatting>
  <conditionalFormatting sqref="F78">
    <cfRule type="expression" dxfId="1519" priority="53" stopIfTrue="1">
      <formula>IF(OR($BF9="not",$BF9="resign",$BF9="resign",$BF9="end",$BF9="terminated",$BF9="permanent"),"TRUE","FALSE")</formula>
    </cfRule>
  </conditionalFormatting>
  <conditionalFormatting sqref="J67">
    <cfRule type="expression" dxfId="1520" priority="54" stopIfTrue="1">
      <formula>IF(OR($BF82="not",$BF82="resign",$BF82="resign",$BF82="end",$BF82="terminated",$BF82="permanent"),"TRUE","FALSE")</formula>
    </cfRule>
  </conditionalFormatting>
  <conditionalFormatting sqref="Y67">
    <cfRule type="expression" dxfId="1521" priority="55" stopIfTrue="1">
      <formula>IF(OR(#REF!="not",#REF!="resign",#REF!="resign",#REF!="end",#REF!="terminated",#REF!="permanent"),"TRUE","FALSE")</formula>
    </cfRule>
    <cfRule type="expression" dxfId="1522" priority="56" stopIfTrue="1">
      <formula>IF(OR(#REF!="not",#REF!="resign",#REF!="resign",#REF!="end",#REF!="terminated",#REF!="permanent"),"TRUE","FALSE")</formula>
    </cfRule>
    <cfRule type="expression" dxfId="1523" priority="57" stopIfTrue="1">
      <formula>IF(OR($BD67="not",$BD67="resign",$BD67="resign",$BD67="end",$BD67="terminated",$BD67="permanent"),"TRUE","FALSE")</formula>
    </cfRule>
  </conditionalFormatting>
  <conditionalFormatting sqref="Z67">
    <cfRule type="expression" dxfId="1524" priority="58" stopIfTrue="1">
      <formula>IF(OR($BD67="not",$BD67="resign",$BD67="resign",$BD67="end",$BD67="terminated",$BD67="permanent"),"TRUE","FALSE")</formula>
    </cfRule>
    <cfRule type="expression" dxfId="1525" priority="59" stopIfTrue="1">
      <formula>IF(OR($BF67="not",$BF67="resign",$BF67="resign",$BF67="end",$BF67="terminated",$BF67="permanent"),"TRUE","FALSE")</formula>
    </cfRule>
  </conditionalFormatting>
  <conditionalFormatting sqref="A121:A123">
    <cfRule type="expression" dxfId="1526" priority="60" stopIfTrue="1">
      <formula>IF(OR($BF136="not",$BF136="resign",$BF136="resign",$BF136="end",$BF136="terminated",$BF136="permanent"),"TRUE","FALSE")</formula>
    </cfRule>
    <cfRule type="expression" dxfId="1527" priority="61" stopIfTrue="1">
      <formula>IF(OR(#REF!="not",#REF!="resign",#REF!="resign",#REF!="end",#REF!="terminated",#REF!="permanent"),"TRUE","FALSE")</formula>
    </cfRule>
    <cfRule type="expression" dxfId="1528" priority="62" stopIfTrue="1">
      <formula>IF(OR(#REF!="not",#REF!="resign",#REF!="resign",#REF!="end",#REF!="terminated",#REF!="permanent"),"TRUE","FALSE")</formula>
    </cfRule>
  </conditionalFormatting>
  <conditionalFormatting sqref="Y62:Z62">
    <cfRule type="expression" dxfId="1529" priority="63" stopIfTrue="1">
      <formula>IF(OR($BF78="not",$BF78="resign",$BF78="resign",$BF78="end",$BF78="terminated",$BF78="permanent"),"TRUE","FALSE")</formula>
    </cfRule>
  </conditionalFormatting>
  <conditionalFormatting sqref="AM53">
    <cfRule type="expression" dxfId="1530" priority="64" stopIfTrue="1">
      <formula>IF(OR($AE53="not",$AE53="resign",$AE53="resign",$AE53="end",$AE53="terminated",$AE53="permanent"),"TRUE","FALSE")</formula>
    </cfRule>
  </conditionalFormatting>
  <conditionalFormatting sqref="Y78:Z82">
    <cfRule type="expression" dxfId="1531" priority="65" stopIfTrue="1">
      <formula>IF(OR($BF81="not",$BF81="resign",$BF81="resign",$BF81="end",$BF81="terminated",$BF81="permanent"),"TRUE","FALSE")</formula>
    </cfRule>
  </conditionalFormatting>
  <conditionalFormatting sqref="A110:A111">
    <cfRule type="expression" dxfId="1532" priority="66" stopIfTrue="1">
      <formula>IF(OR($BF133="not",$BF133="resign",$BF133="resign",$BF133="end",$BF133="terminated",$BF133="permanent"),"TRUE","FALSE")</formula>
    </cfRule>
    <cfRule type="expression" dxfId="1533" priority="67" stopIfTrue="1">
      <formula>IF(OR($BF142="not",$BF142="resign",$BF142="resign",$BF142="end",$BF142="terminated",$BF142="permanent"),"TRUE","FALSE")</formula>
    </cfRule>
    <cfRule type="expression" dxfId="1534" priority="68" stopIfTrue="1">
      <formula>IF(OR($BF140="not",$BF140="resign",$BF140="resign",$BF140="end",$BF140="terminated",$BF140="permanent"),"TRUE","FALSE")</formula>
    </cfRule>
  </conditionalFormatting>
  <conditionalFormatting sqref="AH68:AO68">
    <cfRule type="expression" dxfId="1535" priority="69" stopIfTrue="1">
      <formula>IF(OR($BF68="not",$BF68="resign",$BF68="resign",$BF68="end",$BF68="terminated",$BF68="permanent"),"TRUE","FALSE")</formula>
    </cfRule>
  </conditionalFormatting>
  <conditionalFormatting sqref="F68:G68">
    <cfRule type="expression" dxfId="1536" priority="70" stopIfTrue="1">
      <formula>IF(OR($BF83="not",$BF83="resign",$BF83="resign",$BF83="end",$BF83="terminated",$BF83="permanent"),"TRUE","FALSE")</formula>
    </cfRule>
  </conditionalFormatting>
  <conditionalFormatting sqref="Y65:Z65">
    <cfRule type="expression" dxfId="1537" priority="71" stopIfTrue="1">
      <formula>IF(OR($BF83="not",$BF83="resign",$BF83="resign",$BF83="end",$BF83="terminated",$BF83="permanent"),"TRUE","FALSE")</formula>
    </cfRule>
  </conditionalFormatting>
  <conditionalFormatting sqref="J68">
    <cfRule type="expression" dxfId="1538" priority="72" stopIfTrue="1">
      <formula>IF(OR($BF83="not",$BF83="resign",$BF83="resign",$BF83="end",$BF83="terminated",$BF83="permanent"),"TRUE","FALSE")</formula>
    </cfRule>
  </conditionalFormatting>
  <conditionalFormatting sqref="I64">
    <cfRule type="expression" dxfId="1539" priority="73" stopIfTrue="1">
      <formula>IF(OR($BF64="not",$BF64="resign",$BF64="resign",$BF64="end",$BF64="terminated",$BF64="permanent"),"TRUE","FALSE")</formula>
    </cfRule>
  </conditionalFormatting>
  <conditionalFormatting sqref="Y79:Z83">
    <cfRule type="expression" dxfId="1540" priority="74" stopIfTrue="1">
      <formula>IF(OR($BF81="not",$BF81="resign",$BF81="resign",$BF81="end",$BF81="terminated",$BF81="permanent"),"TRUE","FALSE")</formula>
    </cfRule>
  </conditionalFormatting>
  <conditionalFormatting sqref="AF72">
    <cfRule type="expression" dxfId="1541" priority="75" stopIfTrue="1">
      <formula>IF(OR($BF72="not",$BF72="resign",$BF72="resign",$BF72="end",$BF72="terminated",$BF72="permanent"),"TRUE","FALSE")</formula>
    </cfRule>
  </conditionalFormatting>
  <conditionalFormatting sqref="AH72:AO72">
    <cfRule type="expression" dxfId="1542" priority="76" stopIfTrue="1">
      <formula>IF(OR($BF72="not",$BF72="resign",$BF72="resign",$BF72="end",$BF72="terminated",$BF72="permanent"),"TRUE","FALSE")</formula>
    </cfRule>
  </conditionalFormatting>
  <conditionalFormatting sqref="J70;F70:G70;Y86:Z86">
    <cfRule type="expression" dxfId="1543" priority="77" stopIfTrue="1">
      <formula>IF(OR($BF84="not",$BF84="resign",$BF84="resign",$BF84="end",$BF84="terminated",$BF84="permanent"),"TRUE","FALSE")</formula>
    </cfRule>
  </conditionalFormatting>
  <conditionalFormatting sqref="F72:G72">
    <cfRule type="expression" dxfId="1544" priority="78" stopIfTrue="1">
      <formula>IF(OR($BF72="not",$BF72="resign",$BF72="resign",$BF72="end",$BF72="terminated",$BF72="permanent"),"TRUE","FALSE")</formula>
    </cfRule>
  </conditionalFormatting>
  <conditionalFormatting sqref="Y72">
    <cfRule type="expression" dxfId="1545" priority="79" stopIfTrue="1">
      <formula>IF(OR($BD72="not",$BD72="resign",$BD72="resign",$BD72="end",$BD72="terminated",$BD72="permanent"),"TRUE","FALSE")</formula>
    </cfRule>
    <cfRule type="expression" dxfId="1546" priority="80" stopIfTrue="1">
      <formula>IF(OR($BF72="not",$BF72="resign",$BF72="resign",$BF72="end",$BF72="terminated",$BF72="permanent"),"TRUE","FALSE")</formula>
    </cfRule>
  </conditionalFormatting>
  <conditionalFormatting sqref="Z72">
    <cfRule type="expression" dxfId="1547" priority="81" stopIfTrue="1">
      <formula>IF(OR($BD72="not",$BD72="resign",$BD72="resign",$BD72="end",$BD72="terminated",$BD72="permanent"),"TRUE","FALSE")</formula>
    </cfRule>
    <cfRule type="expression" dxfId="1548" priority="82" stopIfTrue="1">
      <formula>IF(OR($BF72="not",$BF72="resign",$BF72="resign",$BF72="end",$BF72="terminated",$BF72="permanent"),"TRUE","FALSE")</formula>
    </cfRule>
  </conditionalFormatting>
  <conditionalFormatting sqref="A115:A118">
    <cfRule type="expression" dxfId="1549" priority="83" stopIfTrue="1">
      <formula>IF(OR(#REF!="not",#REF!="resign",#REF!="resign",#REF!="end",#REF!="terminated",#REF!="permanent"),"TRUE","FALSE")</formula>
    </cfRule>
    <cfRule type="expression" dxfId="1550" priority="84" stopIfTrue="1">
      <formula>IF(OR($BF186="not",$BF186="resign",$BF186="resign",$BF186="end",$BF186="terminated",$BF186="permanent"),"TRUE","FALSE")</formula>
    </cfRule>
    <cfRule type="expression" dxfId="1551" priority="85" stopIfTrue="1">
      <formula>IF(OR($BF138="not",$BF138="resign",$BF138="resign",$BF138="end",$BF138="terminated",$BF138="permanent"),"TRUE","FALSE")</formula>
    </cfRule>
  </conditionalFormatting>
  <conditionalFormatting sqref="AF74">
    <cfRule type="expression" dxfId="1552" priority="86" stopIfTrue="1">
      <formula>IF(OR($BF74="not",$BF74="resign",$BF74="resign",$BF74="end",$BF74="terminated",$BF74="permanent"),"TRUE","FALSE")</formula>
    </cfRule>
  </conditionalFormatting>
  <conditionalFormatting sqref="AE74">
    <cfRule type="expression" dxfId="1553" priority="87" stopIfTrue="1">
      <formula>IF(OR($BF74="not",$BF74="resign",$BF74="resign",$BF74="end",$BF74="terminated",$BF74="permanent"),"TRUE","FALSE")</formula>
    </cfRule>
  </conditionalFormatting>
  <conditionalFormatting sqref="AH75:AO75">
    <cfRule type="expression" dxfId="1554" priority="88" stopIfTrue="1">
      <formula>IF(OR($BF75="not",$BF75="resign",$BF75="resign",$BF75="end",$BF75="terminated",$BF75="permanent"),"TRUE","FALSE")</formula>
    </cfRule>
  </conditionalFormatting>
  <conditionalFormatting sqref="F75:G75">
    <cfRule type="expression" dxfId="1555" priority="89" stopIfTrue="1">
      <formula>IF(OR($BF75="not",$BF75="resign",$BF75="resign",$BF75="end",$BF75="terminated",$BF75="permanent"),"TRUE","FALSE")</formula>
    </cfRule>
  </conditionalFormatting>
  <conditionalFormatting sqref="AF75">
    <cfRule type="expression" dxfId="1556" priority="90" stopIfTrue="1">
      <formula>IF(OR($BF75="not",$BF75="resign",$BF75="resign",$BF75="end",$BF75="terminated",$BF75="permanent"),"TRUE","FALSE")</formula>
    </cfRule>
  </conditionalFormatting>
  <conditionalFormatting sqref="AE75">
    <cfRule type="expression" dxfId="1557" priority="91" stopIfTrue="1">
      <formula>IF(OR($BF75="not",$BF75="resign",$BF75="resign",$BF75="end",$BF75="terminated",$BF75="permanent"),"TRUE","FALSE")</formula>
    </cfRule>
  </conditionalFormatting>
  <conditionalFormatting sqref="F76:G76;Y77:Z85">
    <cfRule type="expression" dxfId="1558" priority="92" stopIfTrue="1">
      <formula>IF(OR($BF85="not",$BF85="resign",$BF85="resign",$BF85="end",$BF85="terminated",$BF85="permanent"),"TRUE","FALSE")</formula>
    </cfRule>
  </conditionalFormatting>
  <conditionalFormatting sqref="A118;Y77:Z77;A124">
    <cfRule type="expression" dxfId="1559" priority="93" stopIfTrue="1">
      <formula>IF(OR($BF83="not",$BF83="resign",$BF83="resign",$BF83="end",$BF83="terminated",$BF83="permanent"),"TRUE","FALSE")</formula>
    </cfRule>
  </conditionalFormatting>
  <conditionalFormatting sqref="J64">
    <cfRule type="expression" dxfId="1560" priority="94" stopIfTrue="1">
      <formula>IF(OR($BF78="not",$BF78="resign",$BF78="resign",$BF78="end",$BF78="terminated",$BF78="permanent"),"TRUE","FALSE")</formula>
    </cfRule>
  </conditionalFormatting>
  <conditionalFormatting sqref="AH76:AO76">
    <cfRule type="expression" dxfId="1561" priority="95" stopIfTrue="1">
      <formula>IF(OR($BF76="not",$BF76="resign",$BF76="resign",$BF76="end",$BF76="terminated",$BF76="permanent"),"TRUE","FALSE")</formula>
    </cfRule>
  </conditionalFormatting>
  <conditionalFormatting sqref="AF76">
    <cfRule type="expression" dxfId="1562" priority="96" stopIfTrue="1">
      <formula>IF(OR($BF76="not",$BF76="resign",$BF76="resign",$BF76="end",$BF76="terminated",$BF76="permanent"),"TRUE","FALSE")</formula>
    </cfRule>
  </conditionalFormatting>
  <conditionalFormatting sqref="AE76">
    <cfRule type="expression" dxfId="1563" priority="97" stopIfTrue="1">
      <formula>IF(OR($BF76="not",$BF76="resign",$BF76="resign",$BF76="end",$BF76="terminated",$BF76="permanent"),"TRUE","FALSE")</formula>
    </cfRule>
  </conditionalFormatting>
  <conditionalFormatting sqref="A102;Y77:Z85">
    <cfRule type="expression" dxfId="1564" priority="98" stopIfTrue="1">
      <formula>IF(OR($BF87="not",$BF87="resign",$BF87="resign",$BF87="end",$BF87="terminated",$BF87="permanent"),"TRUE","FALSE")</formula>
    </cfRule>
    <cfRule type="expression" dxfId="1565" priority="99" stopIfTrue="1">
      <formula>IF(OR($BF88="not",$BF88="resign",$BF88="resign",$BF88="end",$BF88="terminated",$BF88="permanent"),"TRUE","FALSE")</formula>
    </cfRule>
  </conditionalFormatting>
  <conditionalFormatting sqref="A102;A118;Y78:Y85">
    <cfRule type="expression" dxfId="1566" priority="100" stopIfTrue="1">
      <formula>IF(OR($BF86="not",$BF86="resign",$BF86="resign",$BF86="end",$BF86="terminated",$BF86="permanent"),"TRUE","FALSE")</formula>
    </cfRule>
  </conditionalFormatting>
  <conditionalFormatting sqref="A102;C115:C116;A113:A114;J115:J116;F115:G116">
    <cfRule type="expression" dxfId="1567" priority="101" stopIfTrue="1">
      <formula>IF(OR($BF129="not",$BF129="resign",$BF129="resign",$BF129="end",$BF129="terminated",$BF129="permanent"),"TRUE","FALSE")</formula>
    </cfRule>
  </conditionalFormatting>
  <conditionalFormatting sqref="Y63:Z64">
    <cfRule type="expression" dxfId="1568" priority="102" stopIfTrue="1">
      <formula>IF(OR($BF78="not",$BF78="resign",$BF78="resign",$BF78="end",$BF78="terminated",$BF78="permanent"),"TRUE","FALSE")</formula>
    </cfRule>
  </conditionalFormatting>
  <conditionalFormatting sqref="AH101:AL101">
    <cfRule type="expression" dxfId="1569" priority="103" stopIfTrue="1">
      <formula>IF(OR($BF101="not",$BF101="resign",$BF101="resign",$BF101="end",$BF101="terminated",$BF101="permanent"),"TRUE","FALSE")</formula>
    </cfRule>
  </conditionalFormatting>
  <conditionalFormatting sqref="AF101">
    <cfRule type="expression" dxfId="1570" priority="104" stopIfTrue="1">
      <formula>IF(OR($BD101="not",$BD101="resign",$BD101="resign",$BD101="end",$BD101="terminated",$BD101="permanent"),"TRUE","FALSE")</formula>
    </cfRule>
  </conditionalFormatting>
  <conditionalFormatting sqref="I101">
    <cfRule type="expression" dxfId="1571" priority="105" stopIfTrue="1">
      <formula>IF(OR($BF101="not",$BF101="resign",$BF101="resign",$BF101="end",$BF101="terminated",$BF101="permanent"),"TRUE","FALSE")</formula>
    </cfRule>
  </conditionalFormatting>
  <conditionalFormatting sqref="Y101:Z101">
    <cfRule type="expression" dxfId="1572" priority="106" stopIfTrue="1">
      <formula>IF(OR($BF235="not",$BF235="resign",$BF235="resign",$BF235="end",$BF235="terminated",$BF235="permanent"),"TRUE","FALSE")</formula>
    </cfRule>
    <cfRule type="expression" dxfId="1573" priority="107" stopIfTrue="1">
      <formula>IF(OR($BF134="not",$BF134="resign",$BF134="resign",$BF134="end",$BF134="terminated",$BF134="permanent"),"TRUE","FALSE")</formula>
    </cfRule>
  </conditionalFormatting>
  <conditionalFormatting sqref="Y102:Z102">
    <cfRule type="expression" dxfId="1574" priority="108" stopIfTrue="1">
      <formula>IF(OR($BF145="not",$BF145="resign",$BF145="resign",$BF145="end",$BF145="terminated",$BF145="permanent"),"TRUE","FALSE")</formula>
    </cfRule>
    <cfRule type="expression" dxfId="1575" priority="109" stopIfTrue="1">
      <formula>IF(OR($BF143="not",$BF143="resign",$BF143="resign",$BF143="end",$BF143="terminated",$BF143="permanent"),"TRUE","FALSE")</formula>
    </cfRule>
    <cfRule type="expression" dxfId="1576" priority="110" stopIfTrue="1">
      <formula>IF(OR($BF142="not",$BF142="resign",$BF142="resign",$BF142="end",$BF142="terminated",$BF142="permanent"),"TRUE","FALSE")</formula>
    </cfRule>
  </conditionalFormatting>
  <conditionalFormatting sqref="A102;Y86:Z86">
    <cfRule type="expression" dxfId="1577" priority="111" stopIfTrue="1">
      <formula>IF(OR($BF99="not",$BF99="resign",$BF99="resign",$BF99="end",$BF99="terminated",$BF99="permanent"),"TRUE","FALSE")</formula>
    </cfRule>
  </conditionalFormatting>
  <conditionalFormatting sqref="Y102">
    <cfRule type="expression" dxfId="1578" priority="112" stopIfTrue="1">
      <formula>IF(OR($BD102="not",$BD102="resign",$BD102="resign",$BD102="end",$BD102="terminated",$BD102="permanent"),"TRUE","FALSE")</formula>
    </cfRule>
    <cfRule type="expression" dxfId="1579" priority="113" stopIfTrue="1">
      <formula>IF(OR($BF102="not",$BF102="resign",$BF102="resign",$BF102="end",$BF102="terminated",$BF102="permanent"),"TRUE","FALSE")</formula>
    </cfRule>
    <cfRule type="expression" dxfId="1580" priority="114" stopIfTrue="1">
      <formula>IF(OR($BD102="not",$BD102="resign",$BD102="resign",$BD102="end",$BD102="terminated",$BD102="permanent"),"TRUE","FALSE")</formula>
    </cfRule>
  </conditionalFormatting>
  <conditionalFormatting sqref="Z102">
    <cfRule type="expression" dxfId="1581" priority="115" stopIfTrue="1">
      <formula>IF(OR($BD102="not",$BD102="resign",$BD102="resign",$BD102="end",$BD102="terminated",$BD102="permanent"),"TRUE","FALSE")</formula>
    </cfRule>
    <cfRule type="expression" dxfId="1582" priority="116" stopIfTrue="1">
      <formula>IF(OR($BF102="not",$BF102="resign",$BF102="resign",$BF102="end",$BF102="terminated",$BF102="permanent"),"TRUE","FALSE")</formula>
    </cfRule>
    <cfRule type="expression" dxfId="1583" priority="117" stopIfTrue="1">
      <formula>IF(OR($BD102="not",$BD102="resign",$BD102="resign",$BD102="end",$BD102="terminated",$BD102="permanent"),"TRUE","FALSE")</formula>
    </cfRule>
  </conditionalFormatting>
  <conditionalFormatting sqref="F102:G102">
    <cfRule type="expression" dxfId="1584" priority="118" stopIfTrue="1">
      <formula>IF(OR($BF136="not",$BF136="resign",$BF136="resign",$BF136="end",$BF136="terminated",$BF136="permanent"),"TRUE","FALSE")</formula>
    </cfRule>
  </conditionalFormatting>
  <conditionalFormatting sqref="B77">
    <cfRule type="expression" dxfId="1585" priority="119" stopIfTrue="1">
      <formula>IF(OR($BF77="not",$BF77="resign",$BF77="resign",$BF77="end",$BF77="terminated",$BF77="permanent"),"TRUE","FALSE")</formula>
    </cfRule>
  </conditionalFormatting>
  <conditionalFormatting sqref="J77">
    <cfRule type="expression" dxfId="1586" priority="120" stopIfTrue="1">
      <formula>IF(OR(#REF!="not",#REF!="resign",#REF!="resign",#REF!="end",#REF!="terminated",#REF!="permanent"),"TRUE","FALSE")</formula>
    </cfRule>
  </conditionalFormatting>
  <conditionalFormatting sqref="AO77">
    <cfRule type="expression" dxfId="1587" priority="121" stopIfTrue="1">
      <formula>IF(OR($BF77="not",$BF77="resign",$BF77="resign",$BF77="end",$BF77="terminated",$BF77="permanent"),"TRUE","FALSE")</formula>
    </cfRule>
  </conditionalFormatting>
  <conditionalFormatting sqref="F77:G77">
    <cfRule type="expression" dxfId="1588" priority="122" stopIfTrue="1">
      <formula>IF(OR($BF8="not",$BF8="resign",$BF8="resign",$BF8="end",$BF8="terminated",$BF8="permanent"),"TRUE","FALSE")</formula>
    </cfRule>
  </conditionalFormatting>
  <conditionalFormatting sqref="F77:G77;F78">
    <cfRule type="expression" dxfId="1589" priority="123" stopIfTrue="1">
      <formula>IF(OR(#REF!="not",#REF!="resign",#REF!="resign",#REF!="end",#REF!="terminated",#REF!="permanent"),"TRUE","FALSE")</formula>
    </cfRule>
  </conditionalFormatting>
  <conditionalFormatting sqref="AH77:AN77">
    <cfRule type="expression" dxfId="1590" priority="124" stopIfTrue="1">
      <formula>IF(OR(#REF!="not",#REF!="resign",#REF!="resign",#REF!="end",#REF!="terminated",#REF!="permanent"),"TRUE","FALSE")</formula>
    </cfRule>
  </conditionalFormatting>
  <conditionalFormatting sqref="AG78;E78;J78">
    <cfRule type="expression" dxfId="1591" priority="125" stopIfTrue="1">
      <formula>IF(OR(#REF!="not",#REF!="resign",#REF!="resign",#REF!="end",#REF!="terminated",#REF!="permanent"),"TRUE","FALSE")</formula>
    </cfRule>
  </conditionalFormatting>
  <conditionalFormatting sqref="AO78">
    <cfRule type="expression" dxfId="1592" priority="126" stopIfTrue="1">
      <formula>IF(OR($BF78="not",$BF78="resign",$BF78="resign",$BF78="end",$BF78="terminated",$BF78="permanent"),"TRUE","FALSE")</formula>
    </cfRule>
  </conditionalFormatting>
  <conditionalFormatting sqref="G78">
    <cfRule type="expression" dxfId="1593" priority="127" stopIfTrue="1">
      <formula>IF(OR(#REF!="not",#REF!="resign",#REF!="resign",#REF!="end",#REF!="terminated",#REF!="permanent"),"TRUE","FALSE")</formula>
    </cfRule>
  </conditionalFormatting>
  <conditionalFormatting sqref="AH78:AN78">
    <cfRule type="expression" dxfId="1594" priority="128" stopIfTrue="1">
      <formula>IF(OR(#REF!="not",#REF!="resign",#REF!="resign",#REF!="end",#REF!="terminated",#REF!="permanent"),"TRUE","FALSE")</formula>
    </cfRule>
  </conditionalFormatting>
  <conditionalFormatting sqref="AF78">
    <cfRule type="expression" dxfId="1595" priority="129" stopIfTrue="1">
      <formula>IF(OR($BF78="not",$BF78="resign",$BF78="resign",$BF78="end",$BF78="terminated",$BF78="permanent"),"TRUE","FALSE")</formula>
    </cfRule>
  </conditionalFormatting>
  <conditionalFormatting sqref="AG79;E79;J79">
    <cfRule type="expression" dxfId="1596" priority="130" stopIfTrue="1">
      <formula>IF(OR(#REF!="not",#REF!="resign",#REF!="resign",#REF!="end",#REF!="terminated",#REF!="permanent"),"TRUE","FALSE")</formula>
    </cfRule>
  </conditionalFormatting>
  <conditionalFormatting sqref="AO79">
    <cfRule type="expression" dxfId="1597" priority="131" stopIfTrue="1">
      <formula>IF(OR($BF79="not",$BF79="resign",$BF79="resign",$BF79="end",$BF79="terminated",$BF79="permanent"),"TRUE","FALSE")</formula>
    </cfRule>
  </conditionalFormatting>
  <conditionalFormatting sqref="AL79:AN79">
    <cfRule type="expression" dxfId="1598" priority="132" stopIfTrue="1">
      <formula>IF(OR(#REF!="not",#REF!="resign",#REF!="resign",#REF!="end",#REF!="terminated",#REF!="permanent"),"TRUE","FALSE")</formula>
    </cfRule>
  </conditionalFormatting>
  <conditionalFormatting sqref="AF79:AF81">
    <cfRule type="expression" dxfId="1599" priority="133" stopIfTrue="1">
      <formula>IF(OR($BF79="not",$BF79="resign",$BF79="resign",$BF79="end",$BF79="terminated",$BF79="permanent"),"TRUE","FALSE")</formula>
    </cfRule>
  </conditionalFormatting>
  <conditionalFormatting sqref="F79:G79">
    <cfRule type="expression" dxfId="1600" priority="134" stopIfTrue="1">
      <formula>IF(OR(#REF!="not",#REF!="resign",#REF!="resign",#REF!="end",#REF!="terminated",#REF!="permanent"),"TRUE","FALSE")</formula>
    </cfRule>
  </conditionalFormatting>
  <conditionalFormatting sqref="AH79:AK79">
    <cfRule type="expression" dxfId="1601" priority="135" stopIfTrue="1">
      <formula>IF(OR(#REF!="not",#REF!="resign",#REF!="resign",#REF!="end",#REF!="terminated",#REF!="permanent"),"TRUE","FALSE")</formula>
    </cfRule>
  </conditionalFormatting>
  <conditionalFormatting sqref="H1:H28;H134:H1048576;H124;H87:H107;H65:H79;H33:H63">
    <cfRule type="expression" dxfId="1602" priority="136" stopIfTrue="1">
      <formula>NOT(ISERROR(SEARCH("it analyst",H1)))</formula>
    </cfRule>
  </conditionalFormatting>
  <conditionalFormatting sqref="E103:G104">
    <cfRule type="expression" dxfId="1603" priority="137" stopIfTrue="1">
      <formula>IF(OR($BF103="not",$BF103="resign",$BF103="resign",$BF103="end",$BF103="terminated",$BF103="permanent"),"TRUE","FALSE")</formula>
    </cfRule>
  </conditionalFormatting>
  <conditionalFormatting sqref="Y103:Z104;E103:G107;AF103:AG107;C103:C107;A103:A107;I103:J107">
    <cfRule type="expression" dxfId="1604" priority="138" stopIfTrue="1">
      <formula>IF(OR(#REF!="not",#REF!="resign",#REF!="resign",#REF!="end",#REF!="terminated",#REF!="permanent"),"TRUE","FALSE")</formula>
    </cfRule>
  </conditionalFormatting>
  <conditionalFormatting sqref="C103">
    <cfRule type="expression" dxfId="1605" priority="139" stopIfTrue="1">
      <formula>IF(OR($BF103="not",$BF103="resign",$BF103="resign",$BF103="end",$BF103="terminated",$BF103="permanent"),"TRUE","FALSE")</formula>
    </cfRule>
  </conditionalFormatting>
  <conditionalFormatting sqref="C104;F104:G104;J104;Y104:Z107;A103:A107">
    <cfRule type="expression" dxfId="1606" priority="140" stopIfTrue="1">
      <formula>IF(OR(#REF!="not",#REF!="resign",#REF!="resign",#REF!="end",#REF!="terminated",#REF!="permanent"),"TRUE","FALSE")</formula>
    </cfRule>
  </conditionalFormatting>
  <conditionalFormatting sqref="A101:A104">
    <cfRule type="expression" dxfId="1607" priority="141" stopIfTrue="1">
      <formula>IF(OR($BF131="not",$BF131="resign",$BF131="resign",$BF131="end",$BF131="terminated",$BF131="permanent"),"TRUE","FALSE")</formula>
    </cfRule>
  </conditionalFormatting>
  <conditionalFormatting sqref="A103">
    <cfRule type="expression" dxfId="1608" priority="142" stopIfTrue="1">
      <formula>IF(OR($BF132="not",$BF132="resign",$BF132="resign",$BF132="end",$BF132="terminated",$BF132="permanent"),"TRUE","FALSE")</formula>
    </cfRule>
  </conditionalFormatting>
  <conditionalFormatting sqref="F103:G103;J103;A103;C103;Y103:Z103">
    <cfRule type="expression" dxfId="1609" priority="143" stopIfTrue="1">
      <formula>IF(OR($BF160="not",$BF160="resign",$BF160="resign",$BF160="end",$BF160="terminated",$BF160="permanent"),"TRUE","FALSE")</formula>
    </cfRule>
  </conditionalFormatting>
  <conditionalFormatting sqref="A103:A107">
    <cfRule type="expression" dxfId="1610" priority="144" stopIfTrue="1">
      <formula>IF(OR(#REF!="not",#REF!="resign",#REF!="resign",#REF!="end",#REF!="terminated",#REF!="permanent"),"TRUE","FALSE")</formula>
    </cfRule>
    <cfRule type="expression" dxfId="1611" priority="145" stopIfTrue="1">
      <formula>IF(OR(#REF!="not",#REF!="resign",#REF!="resign",#REF!="end",#REF!="terminated",#REF!="permanent"),"TRUE","FALSE")</formula>
    </cfRule>
  </conditionalFormatting>
  <conditionalFormatting sqref="A104">
    <cfRule type="expression" dxfId="1612" priority="146" stopIfTrue="1">
      <formula>IF(OR($BF131="not",$BF131="resign",$BF131="resign",$BF131="end",$BF131="terminated",$BF131="permanent"),"TRUE","FALSE")</formula>
    </cfRule>
    <cfRule type="expression" dxfId="1613" priority="147" stopIfTrue="1">
      <formula>IF(OR($BF128="not",$BF128="resign",$BF128="resign",$BF128="end",$BF128="terminated",$BF128="permanent"),"TRUE","FALSE")</formula>
    </cfRule>
    <cfRule type="expression" dxfId="1614" priority="148" stopIfTrue="1">
      <formula>IF(OR(#REF!="not",#REF!="resign",#REF!="resign",#REF!="end",#REF!="terminated",#REF!="permanent"),"TRUE","FALSE")</formula>
    </cfRule>
  </conditionalFormatting>
  <conditionalFormatting sqref="A104:A107">
    <cfRule type="expression" dxfId="1615" priority="149" stopIfTrue="1">
      <formula>IF(OR($BF126="not",$BF126="resign",$BF126="resign",$BF126="end",$BF126="terminated",$BF126="permanent"),"TRUE","FALSE")</formula>
    </cfRule>
    <cfRule type="expression" dxfId="1616" priority="150" stopIfTrue="1">
      <formula>IF(OR($BF127="not",$BF127="resign",$BF127="resign",$BF127="end",$BF127="terminated",$BF127="permanent"),"TRUE","FALSE")</formula>
    </cfRule>
  </conditionalFormatting>
  <conditionalFormatting sqref="Y105:Z107;A105:A107">
    <cfRule type="expression" dxfId="1617" priority="151" stopIfTrue="1">
      <formula>IF(OR(#REF!="not",#REF!="resign",#REF!="resign",#REF!="end",#REF!="terminated",#REF!="permanent"),"TRUE","FALSE")</formula>
    </cfRule>
  </conditionalFormatting>
  <conditionalFormatting sqref="J105:J107;A105:A107">
    <cfRule type="expression" dxfId="1618" priority="152" stopIfTrue="1">
      <formula>IF(OR(#REF!="not",#REF!="resign",#REF!="resign",#REF!="end",#REF!="terminated",#REF!="permanent"),"TRUE","FALSE")</formula>
    </cfRule>
  </conditionalFormatting>
  <conditionalFormatting sqref="Y105:Z106">
    <cfRule type="expression" dxfId="1619" priority="153" stopIfTrue="1">
      <formula>IF(OR($BF142="not",$BF142="resign",$BF142="resign",$BF142="end",$BF142="terminated",$BF142="permanent"),"TRUE","FALSE")</formula>
    </cfRule>
    <cfRule type="expression" dxfId="1620" priority="154" stopIfTrue="1">
      <formula>IF(OR($BF143="not",$BF143="resign",$BF143="resign",$BF143="end",$BF143="terminated",$BF143="permanent"),"TRUE","FALSE")</formula>
    </cfRule>
    <cfRule type="expression" dxfId="1621" priority="155" stopIfTrue="1">
      <formula>IF(OR($BF144="not",$BF144="resign",$BF144="resign",$BF144="end",$BF144="terminated",$BF144="permanent"),"TRUE","FALSE")</formula>
    </cfRule>
  </conditionalFormatting>
  <conditionalFormatting sqref="A105:A107">
    <cfRule type="expression" dxfId="1622" priority="156" stopIfTrue="1">
      <formula>IF(OR($BF233="not",$BF233="resign",$BF233="resign",$BF233="end",$BF233="terminated",$BF233="permanent"),"TRUE","FALSE")</formula>
    </cfRule>
    <cfRule type="expression" dxfId="1623" priority="157" stopIfTrue="1">
      <formula>IF(OR($BF129="not",$BF129="resign",$BF129="resign",$BF129="end",$BF129="terminated",$BF129="permanent"),"TRUE","FALSE")</formula>
    </cfRule>
    <cfRule type="expression" dxfId="1624" priority="158" stopIfTrue="1">
      <formula>IF(OR($BF131="not",$BF131="resign",$BF131="resign",$BF131="end",$BF131="terminated",$BF131="permanent"),"TRUE","FALSE")</formula>
    </cfRule>
  </conditionalFormatting>
  <conditionalFormatting sqref="A105">
    <cfRule type="expression" dxfId="1625" priority="159" stopIfTrue="1">
      <formula>IF(OR($BF145="not",$BF145="resign",$BF145="resign",$BF145="end",$BF145="terminated",$BF145="permanent"),"TRUE","FALSE")</formula>
    </cfRule>
    <cfRule type="expression" dxfId="1626" priority="160" stopIfTrue="1">
      <formula>IF(OR($BF144="not",$BF144="resign",$BF144="resign",$BF144="end",$BF144="terminated",$BF144="permanent"),"TRUE","FALSE")</formula>
    </cfRule>
    <cfRule type="expression" dxfId="1627" priority="161" stopIfTrue="1">
      <formula>IF(OR($BF140="not",$BF140="resign",$BF140="resign",$BF140="end",$BF140="terminated",$BF140="permanent"),"TRUE","FALSE")</formula>
    </cfRule>
  </conditionalFormatting>
  <conditionalFormatting sqref="A105;Y106:Z106;A115:A118">
    <cfRule type="expression" dxfId="1628" priority="162" stopIfTrue="1">
      <formula>IF(OR($BF141="not",$BF141="resign",$BF141="resign",$BF141="end",$BF141="terminated",$BF141="permanent"),"TRUE","FALSE")</formula>
    </cfRule>
  </conditionalFormatting>
  <conditionalFormatting sqref="AH105:AO105">
    <cfRule type="expression" dxfId="1629" priority="163" stopIfTrue="1">
      <formula>IF(OR($BF105="not",$BF105="resign",$BF105="resign",$BF105="end",$BF105="terminated",$BF105="permanent"),"TRUE","FALSE")</formula>
    </cfRule>
  </conditionalFormatting>
  <conditionalFormatting sqref="J105">
    <cfRule type="expression" dxfId="1630" priority="164" stopIfTrue="1">
      <formula>IF(OR($BF133="not",$BF133="resign",$BF133="resign",$BF133="end",$BF133="terminated",$BF133="permanent"),"TRUE","FALSE")</formula>
    </cfRule>
  </conditionalFormatting>
  <conditionalFormatting sqref="C105">
    <cfRule type="expression" dxfId="1631" priority="165" stopIfTrue="1">
      <formula>IF(OR($BF136="not",$BF136="resign",$BF136="resign",$BF136="end",$BF136="terminated",$BF136="permanent"),"TRUE","FALSE")</formula>
    </cfRule>
  </conditionalFormatting>
  <conditionalFormatting sqref="I105">
    <cfRule type="expression" dxfId="1632" priority="166" stopIfTrue="1">
      <formula>IF(OR($BF105="not",$BF105="resign",$BF105="resign",$BF105="end",$BF105="terminated",$BF105="permanent"),"TRUE","FALSE")</formula>
    </cfRule>
  </conditionalFormatting>
  <conditionalFormatting sqref="Y105:Y106">
    <cfRule type="expression" dxfId="1633" priority="167" stopIfTrue="1">
      <formula>IF(OR($BD105="not",$BD105="resign",$BD105="resign",$BD105="end",$BD105="terminated",$BD105="permanent"),"TRUE","FALSE")</formula>
    </cfRule>
    <cfRule type="expression" dxfId="1634" priority="168" stopIfTrue="1">
      <formula>IF(OR($BF105="not",$BF105="resign",$BF105="resign",$BF105="end",$BF105="terminated",$BF105="permanent"),"TRUE","FALSE")</formula>
    </cfRule>
  </conditionalFormatting>
  <conditionalFormatting sqref="Z105:Z106">
    <cfRule type="expression" dxfId="1635" priority="169" stopIfTrue="1">
      <formula>IF(OR($BD105="not",$BD105="resign",$BD105="resign",$BD105="end",$BD105="terminated",$BD105="permanent"),"TRUE","FALSE")</formula>
    </cfRule>
    <cfRule type="expression" dxfId="1636" priority="170" stopIfTrue="1">
      <formula>IF(OR($BF105="not",$BF105="resign",$BF105="resign",$BF105="end",$BF105="terminated",$BF105="permanent"),"TRUE","FALSE")</formula>
    </cfRule>
  </conditionalFormatting>
  <conditionalFormatting sqref="A106:A107">
    <cfRule type="expression" dxfId="1637" priority="171" stopIfTrue="1">
      <formula>IF(OR($BF142="not",$BF142="resign",$BF142="resign",$BF142="end",$BF142="terminated",$BF142="permanent"),"TRUE","FALSE")</formula>
    </cfRule>
    <cfRule type="expression" dxfId="1638" priority="172" stopIfTrue="1">
      <formula>IF(OR($BF141="not",$BF141="resign",$BF141="resign",$BF141="end",$BF141="terminated",$BF141="permanent"),"TRUE","FALSE")</formula>
    </cfRule>
  </conditionalFormatting>
  <conditionalFormatting sqref="J106">
    <cfRule type="expression" dxfId="1639" priority="173" stopIfTrue="1">
      <formula>IF(OR($BF134="not",$BF134="resign",$BF134="resign",$BF134="end",$BF134="terminated",$BF134="permanent"),"TRUE","FALSE")</formula>
    </cfRule>
  </conditionalFormatting>
  <conditionalFormatting sqref="A106">
    <cfRule type="expression" dxfId="1640" priority="174" stopIfTrue="1">
      <formula>IF(OR(#REF!="not",#REF!="resign",#REF!="resign",#REF!="end",#REF!="terminated",#REF!="permanent"),"TRUE","FALSE")</formula>
    </cfRule>
    <cfRule type="expression" dxfId="1641" priority="175" stopIfTrue="1">
      <formula>IF(OR($BF106="not",$BF106="resign",$BF106="resign",$BF106="end",$BF106="terminated",$BF106="permanent"),"TRUE","FALSE")</formula>
    </cfRule>
  </conditionalFormatting>
  <conditionalFormatting sqref="AH106:AO106">
    <cfRule type="expression" dxfId="1642" priority="176" stopIfTrue="1">
      <formula>IF(OR($BF106="not",$BF106="resign",$BF106="resign",$BF106="end",$BF106="terminated",$BF106="permanent"),"TRUE","FALSE")</formula>
    </cfRule>
  </conditionalFormatting>
  <conditionalFormatting sqref="I106">
    <cfRule type="expression" dxfId="1643" priority="177" stopIfTrue="1">
      <formula>IF(OR($BF106="not",$BF106="resign",$BF106="resign",$BF106="end",$BF106="terminated",$BF106="permanent"),"TRUE","FALSE")</formula>
    </cfRule>
  </conditionalFormatting>
  <conditionalFormatting sqref="A107">
    <cfRule type="expression" dxfId="1644" priority="178" stopIfTrue="1">
      <formula>IF(OR(#REF!="not",#REF!="resign",#REF!="resign",#REF!="end",#REF!="terminated",#REF!="permanent"),"TRUE","FALSE")</formula>
    </cfRule>
    <cfRule type="expression" dxfId="1645" priority="179" stopIfTrue="1">
      <formula>IF(OR($BF210="not",$BF210="resign",$BF210="resign",$BF210="end",$BF210="terminated",$BF210="permanent"),"TRUE","FALSE")</formula>
    </cfRule>
    <cfRule type="expression" dxfId="1646" priority="180" stopIfTrue="1">
      <formula>IF(OR($BF115="not",$BF115="resign",$BF115="resign",$BF115="end",$BF115="terminated",$BF115="permanent"),"TRUE","FALSE")</formula>
    </cfRule>
  </conditionalFormatting>
  <conditionalFormatting sqref="Y107:Z107">
    <cfRule type="expression" dxfId="1647" priority="181" stopIfTrue="1">
      <formula>IF(OR($BF146="not",$BF146="resign",$BF146="resign",$BF146="end",$BF146="terminated",$BF146="permanent"),"TRUE","FALSE")</formula>
    </cfRule>
    <cfRule type="expression" dxfId="1648" priority="182" stopIfTrue="1">
      <formula>IF(OR($BF144="not",$BF144="resign",$BF144="resign",$BF144="end",$BF144="terminated",$BF144="permanent"),"TRUE","FALSE")</formula>
    </cfRule>
    <cfRule type="expression" dxfId="1649" priority="183" stopIfTrue="1">
      <formula>IF(OR($BF143="not",$BF143="resign",$BF143="resign",$BF143="end",$BF143="terminated",$BF143="permanent"),"TRUE","FALSE")</formula>
    </cfRule>
  </conditionalFormatting>
  <conditionalFormatting sqref="Y107">
    <cfRule type="expression" dxfId="1650" priority="184" stopIfTrue="1">
      <formula>IF(OR($BD107="not",$BD107="resign",$BD107="resign",$BD107="end",$BD107="terminated",$BD107="permanent"),"TRUE","FALSE")</formula>
    </cfRule>
    <cfRule type="expression" dxfId="1651" priority="185" stopIfTrue="1">
      <formula>IF(OR($BF107="not",$BF107="resign",$BF107="resign",$BF107="end",$BF107="terminated",$BF107="permanent"),"TRUE","FALSE")</formula>
    </cfRule>
  </conditionalFormatting>
  <conditionalFormatting sqref="Z107">
    <cfRule type="expression" dxfId="1652" priority="186" stopIfTrue="1">
      <formula>IF(OR($BD107="not",$BD107="resign",$BD107="resign",$BD107="end",$BD107="terminated",$BD107="permanent"),"TRUE","FALSE")</formula>
    </cfRule>
    <cfRule type="expression" dxfId="1653" priority="187" stopIfTrue="1">
      <formula>IF(OR($BF107="not",$BF107="resign",$BF107="resign",$BF107="end",$BF107="terminated",$BF107="permanent"),"TRUE","FALSE")</formula>
    </cfRule>
  </conditionalFormatting>
  <conditionalFormatting sqref="J107">
    <cfRule type="expression" dxfId="1654" priority="188" stopIfTrue="1">
      <formula>IF(OR($BF134="not",$BF134="resign",$BF134="resign",$BF134="end",$BF134="terminated",$BF134="permanent"),"TRUE","FALSE")</formula>
    </cfRule>
    <cfRule type="expression" dxfId="1655" priority="189" stopIfTrue="1">
      <formula>IF(OR($BF137="not",$BF137="resign",$BF137="resign",$BF137="end",$BF137="terminated",$BF137="permanent"),"TRUE","FALSE")</formula>
    </cfRule>
  </conditionalFormatting>
  <conditionalFormatting sqref="C107">
    <cfRule type="expression" dxfId="1656" priority="190" stopIfTrue="1">
      <formula>IF(OR($BF137="not",$BF137="resign",$BF137="resign",$BF137="end",$BF137="terminated",$BF137="permanent"),"TRUE","FALSE")</formula>
    </cfRule>
  </conditionalFormatting>
  <conditionalFormatting sqref="AH107:AO107">
    <cfRule type="expression" dxfId="1657" priority="191" stopIfTrue="1">
      <formula>IF(OR($BF107="not",$BF107="resign",$BF107="resign",$BF107="end",$BF107="terminated",$BF107="permanent"),"TRUE","FALSE")</formula>
    </cfRule>
  </conditionalFormatting>
  <conditionalFormatting sqref="I107">
    <cfRule type="expression" dxfId="1658" priority="192" stopIfTrue="1">
      <formula>IF(OR($BF107="not",$BF107="resign",$BF107="resign",$BF107="end",$BF107="terminated",$BF107="permanent"),"TRUE","FALSE")</formula>
    </cfRule>
    <cfRule type="expression" dxfId="1659" priority="193" stopIfTrue="1">
      <formula>IF(OR($BF107="not",$BF107="resign",$BF107="resign",$BF107="end",$BF107="terminated",$BF107="permanent"),"TRUE","FALSE")</formula>
    </cfRule>
    <cfRule type="expression" dxfId="1660" priority="194" stopIfTrue="1">
      <formula>IF(OR($BF107="not",$BF107="resign",$BF107="resign",$BF107="end",$BF107="terminated",$BF107="permanent"),"TRUE","FALSE")</formula>
    </cfRule>
  </conditionalFormatting>
  <conditionalFormatting sqref="Z1:Z28;Z124;Z134:Z1048576;Z33:Z107">
    <cfRule type="expression" dxfId="1661" priority="195" stopIfTrue="1">
      <formula>NOT(ISERROR(SEARCH("warning",Z1)))</formula>
    </cfRule>
  </conditionalFormatting>
  <conditionalFormatting sqref="B79">
    <cfRule type="expression" dxfId="1662" priority="196" stopIfTrue="1">
      <formula>IF(OR(#REF!="not",#REF!="resign",#REF!="resign",#REF!="end",#REF!="terminated",#REF!="permanent"),"TRUE","FALSE")</formula>
    </cfRule>
  </conditionalFormatting>
  <conditionalFormatting sqref="B78">
    <cfRule type="expression" dxfId="1663" priority="197" stopIfTrue="1">
      <formula>IF(OR($BF78="not",$BF78="resign",$BF78="resign",$BF78="end",$BF78="terminated",$BF78="permanent"),"TRUE","FALSE")</formula>
    </cfRule>
  </conditionalFormatting>
  <conditionalFormatting sqref="AA64">
    <cfRule type="expression" dxfId="1664" priority="198" stopIfTrue="1">
      <formula>IF(OR($BF64="not",$BF64="resign",$BF64="resign",$BF64="end",$BF64="terminated",$BF64="permanent"),"TRUE","FALSE")</formula>
    </cfRule>
  </conditionalFormatting>
  <conditionalFormatting sqref="E108:G108">
    <cfRule type="expression" dxfId="1665" priority="199" stopIfTrue="1">
      <formula>IF(OR($BF108="not",$BF108="resign",$BF108="resign",$BF108="end",$BF108="terminated",$BF108="permanent"),"TRUE","FALSE")</formula>
    </cfRule>
  </conditionalFormatting>
  <conditionalFormatting sqref="AF108:AG108;E108:G108;C108;I108:J108;A108;Y108:Z108">
    <cfRule type="expression" dxfId="1666" priority="200" stopIfTrue="1">
      <formula>IF(OR(#REF!="not",#REF!="resign",#REF!="resign",#REF!="end",#REF!="terminated",#REF!="permanent"),"TRUE","FALSE")</formula>
    </cfRule>
  </conditionalFormatting>
  <conditionalFormatting sqref="AF108">
    <cfRule type="expression" dxfId="1667" priority="201" stopIfTrue="1">
      <formula>IF(OR($BF108="not",$BF108="resign",$BF108="resign",$BF108="end",$BF108="terminated",$BF108="permanent"),"TRUE","FALSE")</formula>
    </cfRule>
    <cfRule type="expression" dxfId="1668" priority="202" stopIfTrue="1">
      <formula>IF(OR($BF108="not",$BF108="resign",$BF108="resign",$BF108="end",$BF108="terminated",$BF108="permanent"),"TRUE","FALSE")</formula>
    </cfRule>
    <cfRule type="expression" dxfId="1669" priority="203" stopIfTrue="1">
      <formula>IF(OR($BF108="not",$BF108="resign",$BF108="resign",$BF108="end",$BF108="terminated",$BF108="permanent"),"TRUE","FALSE")</formula>
    </cfRule>
  </conditionalFormatting>
  <conditionalFormatting sqref="C108">
    <cfRule type="expression" dxfId="1670" priority="204" stopIfTrue="1">
      <formula>IF(OR($BF108="not",$BF108="resign",$BF108="resign",$BF108="end",$BF108="terminated",$BF108="permanent"),"TRUE","FALSE")</formula>
    </cfRule>
  </conditionalFormatting>
  <conditionalFormatting sqref="A108">
    <cfRule type="expression" dxfId="1671" priority="205" stopIfTrue="1">
      <formula>IF(OR($BF135="not",$BF135="resign",$BF135="resign",$BF135="end",$BF135="terminated",$BF135="permanent"),"TRUE","FALSE")</formula>
    </cfRule>
    <cfRule type="expression" dxfId="1672" priority="206" stopIfTrue="1">
      <formula>IF(OR($BF138="not",$BF138="resign",$BF138="resign",$BF138="end",$BF138="terminated",$BF138="permanent"),"TRUE","FALSE")</formula>
    </cfRule>
    <cfRule type="expression" dxfId="1673" priority="207" stopIfTrue="1">
      <formula>IF(OR($BF137="not",$BF137="resign",$BF137="resign",$BF137="end",$BF137="terminated",$BF137="permanent"),"TRUE","FALSE")</formula>
    </cfRule>
  </conditionalFormatting>
  <conditionalFormatting sqref="F108:G108;J108;C108;Y108:Z108;A108">
    <cfRule type="expression" dxfId="1674" priority="208" stopIfTrue="1">
      <formula>IF(OR(#REF!="not",#REF!="resign",#REF!="resign",#REF!="end",#REF!="terminated",#REF!="permanent"),"TRUE","FALSE")</formula>
    </cfRule>
  </conditionalFormatting>
  <conditionalFormatting sqref="AH108">
    <cfRule type="expression" dxfId="1675" priority="209" stopIfTrue="1">
      <formula>IF(OR($BF108="not",$BF108="resign",$BF108="resign",$BF108="end",$BF108="terminated",$BF108="permanent"),"TRUE","FALSE")</formula>
    </cfRule>
  </conditionalFormatting>
  <conditionalFormatting sqref="H108">
    <cfRule type="expression" dxfId="1676" priority="210" stopIfTrue="1">
      <formula>NOT(ISERROR(SEARCH("it analyst",H108)))</formula>
    </cfRule>
  </conditionalFormatting>
  <conditionalFormatting sqref="Z108">
    <cfRule type="expression" dxfId="1677" priority="211" stopIfTrue="1">
      <formula>NOT(ISERROR(SEARCH("warning",Z108)))</formula>
    </cfRule>
  </conditionalFormatting>
  <conditionalFormatting sqref="Y64:Z64">
    <cfRule type="expression" dxfId="1678" priority="212" stopIfTrue="1">
      <formula>IF(OR(#REF!="not",#REF!="resign",#REF!="resign",#REF!="end",#REF!="terminated",#REF!="permanent"),"TRUE","FALSE")</formula>
    </cfRule>
    <cfRule type="expression" dxfId="1679" priority="213" stopIfTrue="1">
      <formula>IF(OR(#REF!="not",#REF!="resign",#REF!="resign",#REF!="end",#REF!="terminated",#REF!="permanent"),"TRUE","FALSE")</formula>
    </cfRule>
  </conditionalFormatting>
  <conditionalFormatting sqref="F66:G66;J66">
    <cfRule type="expression" dxfId="1680" priority="214" stopIfTrue="1">
      <formula>IF(OR(#REF!="not",#REF!="resign",#REF!="resign",#REF!="end",#REF!="terminated",#REF!="permanent"),"TRUE","FALSE")</formula>
    </cfRule>
  </conditionalFormatting>
  <conditionalFormatting sqref="AE80:AE81">
    <cfRule type="expression" dxfId="1681" priority="215" stopIfTrue="1">
      <formula>IF(OR($BF80="not",$BF80="resign",$BF80="resign",$BF80="end",$BF80="terminated",$BF80="permanent"),"TRUE","FALSE")</formula>
    </cfRule>
  </conditionalFormatting>
  <conditionalFormatting sqref="I80;AE80:AE81">
    <cfRule type="expression" dxfId="1682" priority="216" stopIfTrue="1">
      <formula>IF(OR(#REF!="not",#REF!="resign",#REF!="resign",#REF!="end",#REF!="terminated",#REF!="permanent"),"TRUE","FALSE")</formula>
    </cfRule>
  </conditionalFormatting>
  <conditionalFormatting sqref="I80">
    <cfRule type="expression" dxfId="1683" priority="217" stopIfTrue="1">
      <formula>IF(OR($BF80="not",$BF80="resign",$BF80="resign",$BF80="end",$BF80="terminated",$BF80="permanent"),"TRUE","FALSE")</formula>
    </cfRule>
    <cfRule type="expression" dxfId="1684" priority="218" stopIfTrue="1">
      <formula>IF(OR($BF80="not",$BF80="resign",$BF80="resign",$BF80="end",$BF80="terminated",$BF80="permanent"),"TRUE","FALSE")</formula>
    </cfRule>
    <cfRule type="expression" dxfId="1685" priority="219" stopIfTrue="1">
      <formula>IF(OR($BF80="not",$BF80="resign",$BF80="resign",$BF80="end",$BF80="terminated",$BF80="permanent"),"TRUE","FALSE")</formula>
    </cfRule>
  </conditionalFormatting>
  <conditionalFormatting sqref="AG80;E80;J80">
    <cfRule type="expression" dxfId="1686" priority="220" stopIfTrue="1">
      <formula>IF(OR(#REF!="not",#REF!="resign",#REF!="resign",#REF!="end",#REF!="terminated",#REF!="permanent"),"TRUE","FALSE")</formula>
    </cfRule>
  </conditionalFormatting>
  <conditionalFormatting sqref="AO80">
    <cfRule type="expression" dxfId="1687" priority="221" stopIfTrue="1">
      <formula>IF(OR($BF80="not",$BF80="resign",$BF80="resign",$BF80="end",$BF80="terminated",$BF80="permanent"),"TRUE","FALSE")</formula>
    </cfRule>
  </conditionalFormatting>
  <conditionalFormatting sqref="AL80:AN80">
    <cfRule type="expression" dxfId="1688" priority="222" stopIfTrue="1">
      <formula>IF(OR(#REF!="not",#REF!="resign",#REF!="resign",#REF!="end",#REF!="terminated",#REF!="permanent"),"TRUE","FALSE")</formula>
    </cfRule>
  </conditionalFormatting>
  <conditionalFormatting sqref="F80:G80">
    <cfRule type="expression" dxfId="1689" priority="223" stopIfTrue="1">
      <formula>IF(OR(#REF!="not",#REF!="resign",#REF!="resign",#REF!="end",#REF!="terminated",#REF!="permanent"),"TRUE","FALSE")</formula>
    </cfRule>
  </conditionalFormatting>
  <conditionalFormatting sqref="AH80:AK80">
    <cfRule type="expression" dxfId="1690" priority="224" stopIfTrue="1">
      <formula>IF(OR(#REF!="not",#REF!="resign",#REF!="resign",#REF!="end",#REF!="terminated",#REF!="permanent"),"TRUE","FALSE")</formula>
    </cfRule>
  </conditionalFormatting>
  <conditionalFormatting sqref="H80">
    <cfRule type="expression" dxfId="1691" priority="225" stopIfTrue="1">
      <formula>NOT(ISERROR(SEARCH("it analyst",H80)))</formula>
    </cfRule>
  </conditionalFormatting>
  <conditionalFormatting sqref="B80">
    <cfRule type="expression" dxfId="1692" priority="226" stopIfTrue="1">
      <formula>IF(OR(#REF!="not",#REF!="resign",#REF!="resign",#REF!="end",#REF!="terminated",#REF!="permanent"),"TRUE","FALSE")</formula>
    </cfRule>
  </conditionalFormatting>
  <conditionalFormatting sqref="I112;F112:G112">
    <cfRule type="expression" dxfId="1693" priority="227" stopIfTrue="1">
      <formula>IF(OR(#REF!="not",#REF!="resign",#REF!="resign",#REF!="end",#REF!="terminated",#REF!="permanent"),"TRUE","FALSE")</formula>
    </cfRule>
  </conditionalFormatting>
  <conditionalFormatting sqref="H112">
    <cfRule type="expression" dxfId="1694" priority="228" stopIfTrue="1">
      <formula>NOT(ISERROR(SEARCH("it analyst",H112)))</formula>
    </cfRule>
  </conditionalFormatting>
  <conditionalFormatting sqref="AD111:AE111">
    <cfRule type="expression" dxfId="1695" priority="229" stopIfTrue="1">
      <formula>IF(OR($BF111="not",$BF111="resign",$BF111="resign",$BF111="end",$BF111="terminated",$BF111="permanent"),"TRUE","FALSE")</formula>
    </cfRule>
  </conditionalFormatting>
  <conditionalFormatting sqref="E111:G111;AF111:AG111;A111:B111;C110:C111;I110:J111;I109;F109:G110;Y109:Z109;AE109;A109:A110">
    <cfRule type="expression" dxfId="1696" priority="230" stopIfTrue="1">
      <formula>IF(OR(#REF!="not",#REF!="resign",#REF!="resign",#REF!="end",#REF!="terminated",#REF!="permanent"),"TRUE","FALSE")</formula>
    </cfRule>
  </conditionalFormatting>
  <conditionalFormatting sqref="Y110:Z111;A109:A111">
    <cfRule type="expression" dxfId="1697" priority="231" stopIfTrue="1">
      <formula>IF(OR(#REF!="not",#REF!="resign",#REF!="resign",#REF!="end",#REF!="terminated",#REF!="permanent"),"TRUE","FALSE")</formula>
    </cfRule>
  </conditionalFormatting>
  <conditionalFormatting sqref="A111:B111;A110;Y109:Z109;AN109:AO109;AD109;AF109:AL109;J109:J110;E109:G109;A109:C109">
    <cfRule type="expression" dxfId="1698" priority="232" stopIfTrue="1">
      <formula>IF(OR(#REF!="not",#REF!="resign",#REF!="resign",#REF!="end",#REF!="terminated",#REF!="permanent"),"TRUE","FALSE")</formula>
    </cfRule>
  </conditionalFormatting>
  <conditionalFormatting sqref="H109:H111">
    <cfRule type="expression" dxfId="1699" priority="233" stopIfTrue="1">
      <formula>NOT(ISERROR(SEARCH("it analyst",H109)))</formula>
    </cfRule>
  </conditionalFormatting>
  <conditionalFormatting sqref="Z109:Z111">
    <cfRule type="expression" dxfId="1700" priority="234" stopIfTrue="1">
      <formula>NOT(ISERROR(SEARCH("warning",Z109)))</formula>
    </cfRule>
  </conditionalFormatting>
  <conditionalFormatting sqref="C110;E110:G110;AF110:AG110;J110;A110:A111">
    <cfRule type="expression" dxfId="1701" priority="235" stopIfTrue="1">
      <formula>IF(OR(#REF!="not",#REF!="resign",#REF!="resign",#REF!="end",#REF!="terminated",#REF!="permanent"),"TRUE","FALSE")</formula>
    </cfRule>
  </conditionalFormatting>
  <conditionalFormatting sqref="Y110:Z110">
    <cfRule type="expression" dxfId="1702" priority="236" stopIfTrue="1">
      <formula>IF(OR($BF140="not",$BF140="resign",$BF140="resign",$BF140="end",$BF140="terminated",$BF140="permanent"),"TRUE","FALSE")</formula>
    </cfRule>
    <cfRule type="expression" dxfId="1703" priority="237" stopIfTrue="1">
      <formula>IF(OR($BF139="not",$BF139="resign",$BF139="resign",$BF139="end",$BF139="terminated",$BF139="permanent"),"TRUE","FALSE")</formula>
    </cfRule>
    <cfRule type="expression" dxfId="1704" priority="238" stopIfTrue="1">
      <formula>IF(OR($BF138="not",$BF138="resign",$BF138="resign",$BF138="end",$BF138="terminated",$BF138="permanent"),"TRUE","FALSE")</formula>
    </cfRule>
  </conditionalFormatting>
  <conditionalFormatting sqref="A110">
    <cfRule type="expression" dxfId="1705" priority="239" stopIfTrue="1">
      <formula>IF(OR(#REF!="not",#REF!="resign",#REF!="resign",#REF!="end",#REF!="terminated",#REF!="permanent"),"TRUE","FALSE")</formula>
    </cfRule>
    <cfRule type="expression" dxfId="1706" priority="240" stopIfTrue="1">
      <formula>IF(OR($BF232="not",$BF232="resign",$BF232="resign",$BF232="end",$BF232="terminated",$BF232="permanent"),"TRUE","FALSE")</formula>
    </cfRule>
    <cfRule type="expression" dxfId="1707" priority="241" stopIfTrue="1">
      <formula>IF(OR($BF236="not",$BF236="resign",$BF236="resign",$BF236="end",$BF236="terminated",$BF236="permanent"),"TRUE","FALSE")</formula>
    </cfRule>
  </conditionalFormatting>
  <conditionalFormatting sqref="C111">
    <cfRule type="expression" dxfId="1708" priority="242" stopIfTrue="1">
      <formula>IF(OR($BF135="not",$BF135="resign",$BF135="resign",$BF135="end",$BF135="terminated",$BF135="permanent"),"TRUE","FALSE")</formula>
    </cfRule>
  </conditionalFormatting>
  <conditionalFormatting sqref="Y110">
    <cfRule type="expression" dxfId="1709" priority="243" stopIfTrue="1">
      <formula>IF(OR($BD110="not",$BD110="resign",$BD110="resign",$BD110="end",$BD110="terminated",$BD110="permanent"),"TRUE","FALSE")</formula>
    </cfRule>
    <cfRule type="expression" dxfId="1710" priority="244" stopIfTrue="1">
      <formula>IF(OR($BF110="not",$BF110="resign",$BF110="resign",$BF110="end",$BF110="terminated",$BF110="permanent"),"TRUE","FALSE")</formula>
    </cfRule>
  </conditionalFormatting>
  <conditionalFormatting sqref="Z110">
    <cfRule type="expression" dxfId="1711" priority="245" stopIfTrue="1">
      <formula>IF(OR($BD110="not",$BD110="resign",$BD110="resign",$BD110="end",$BD110="terminated",$BD110="permanent"),"TRUE","FALSE")</formula>
    </cfRule>
    <cfRule type="expression" dxfId="1712" priority="246" stopIfTrue="1">
      <formula>IF(OR($BF110="not",$BF110="resign",$BF110="resign",$BF110="end",$BF110="terminated",$BF110="permanent"),"TRUE","FALSE")</formula>
    </cfRule>
  </conditionalFormatting>
  <conditionalFormatting sqref="A111">
    <cfRule type="expression" dxfId="1713" priority="247" stopIfTrue="1">
      <formula>IF(OR(#REF!="not",#REF!="resign",#REF!="resign",#REF!="end",#REF!="terminated",#REF!="permanent"),"TRUE","FALSE")</formula>
    </cfRule>
    <cfRule type="expression" dxfId="1714" priority="248" stopIfTrue="1">
      <formula>IF(OR($BF132="not",$BF132="resign",$BF132="resign",$BF132="end",$BF132="terminated",$BF132="permanent"),"TRUE","FALSE")</formula>
    </cfRule>
    <cfRule type="expression" dxfId="1715" priority="249" stopIfTrue="1">
      <formula>IF(OR($BF145="not",$BF145="resign",$BF145="resign",$BF145="end",$BF145="terminated",$BF145="permanent"),"TRUE","FALSE")</formula>
    </cfRule>
  </conditionalFormatting>
  <conditionalFormatting sqref="Y111:Z111">
    <cfRule type="expression" dxfId="1716" priority="250" stopIfTrue="1">
      <formula>IF(OR($BF144="not",$BF144="resign",$BF144="resign",$BF144="end",$BF144="terminated",$BF144="permanent"),"TRUE","FALSE")</formula>
    </cfRule>
    <cfRule type="expression" dxfId="1717" priority="251" stopIfTrue="1">
      <formula>IF(OR($BF143="not",$BF143="resign",$BF143="resign",$BF143="end",$BF143="terminated",$BF143="permanent"),"TRUE","FALSE")</formula>
    </cfRule>
    <cfRule type="expression" dxfId="1718" priority="252" stopIfTrue="1">
      <formula>IF(OR($BF142="not",$BF142="resign",$BF142="resign",$BF142="end",$BF142="terminated",$BF142="permanent"),"TRUE","FALSE")</formula>
    </cfRule>
  </conditionalFormatting>
  <conditionalFormatting sqref="F111:G111">
    <cfRule type="expression" dxfId="1719" priority="253" stopIfTrue="1">
      <formula>IF(OR($BF111="not",$BF111="resign",$BF111="resign",$BF111="end",$BF111="terminated",$BF111="permanent"),"TRUE","FALSE")</formula>
    </cfRule>
  </conditionalFormatting>
  <conditionalFormatting sqref="Y111">
    <cfRule type="expression" dxfId="1720" priority="254" stopIfTrue="1">
      <formula>IF(OR($BD111="not",$BD111="resign",$BD111="resign",$BD111="end",$BD111="terminated",$BD111="permanent"),"TRUE","FALSE")</formula>
    </cfRule>
    <cfRule type="expression" dxfId="1721" priority="255" stopIfTrue="1">
      <formula>IF(OR($BF111="not",$BF111="resign",$BF111="resign",$BF111="end",$BF111="terminated",$BF111="permanent"),"TRUE","FALSE")</formula>
    </cfRule>
  </conditionalFormatting>
  <conditionalFormatting sqref="Z111">
    <cfRule type="expression" dxfId="1722" priority="256" stopIfTrue="1">
      <formula>IF(OR($BD111="not",$BD111="resign",$BD111="resign",$BD111="end",$BD111="terminated",$BD111="permanent"),"TRUE","FALSE")</formula>
    </cfRule>
    <cfRule type="expression" dxfId="1723" priority="257" stopIfTrue="1">
      <formula>IF(OR($BF111="not",$BF111="resign",$BF111="resign",$BF111="end",$BF111="terminated",$BF111="permanent"),"TRUE","FALSE")</formula>
    </cfRule>
  </conditionalFormatting>
  <conditionalFormatting sqref="B111">
    <cfRule type="expression" dxfId="1724" priority="258" stopIfTrue="1">
      <formula>IF(OR($BF144="not",$BF144="resign",$BF144="resign",$BF144="end",$BF144="terminated",$BF144="permanent"),"TRUE","FALSE")</formula>
    </cfRule>
    <cfRule type="expression" dxfId="1725" priority="259" stopIfTrue="1">
      <formula>IF(OR($BF145="not",$BF145="resign",$BF145="resign",$BF145="end",$BF145="terminated",$BF145="permanent"),"TRUE","FALSE")</formula>
    </cfRule>
    <cfRule type="expression" dxfId="1726" priority="260" stopIfTrue="1">
      <formula>IF(OR($BF143="not",$BF143="resign",$BF143="resign",$BF143="end",$BF143="terminated",$BF143="permanent"),"TRUE","FALSE")</formula>
    </cfRule>
  </conditionalFormatting>
  <conditionalFormatting sqref="Y112:Z112">
    <cfRule type="expression" dxfId="1727" priority="261" stopIfTrue="1">
      <formula>IF(OR(#REF!="not",#REF!="resign",#REF!="resign",#REF!="end",#REF!="terminated",#REF!="permanent"),"TRUE","FALSE")</formula>
    </cfRule>
  </conditionalFormatting>
  <conditionalFormatting sqref="Y78">
    <cfRule type="expression" dxfId="1728" priority="262" stopIfTrue="1">
      <formula>IF(OR($BF89="not",$BF89="resign",$BF89="resign",$BF89="end",$BF89="terminated",$BF89="permanent"),"TRUE","FALSE")</formula>
    </cfRule>
    <cfRule type="expression" dxfId="1729" priority="263" stopIfTrue="1">
      <formula>IF(OR($BF87="not",$BF87="resign",$BF87="resign",$BF87="end",$BF87="terminated",$BF87="permanent"),"TRUE","FALSE")</formula>
    </cfRule>
    <cfRule type="expression" dxfId="1730" priority="264" stopIfTrue="1">
      <formula>IF(OR($BF86="not",$BF86="resign",$BF86="resign",$BF86="end",$BF86="terminated",$BF86="permanent"),"TRUE","FALSE")</formula>
    </cfRule>
  </conditionalFormatting>
  <conditionalFormatting sqref="A112">
    <cfRule type="expression" dxfId="1731" priority="265" stopIfTrue="1">
      <formula>IF(OR(#REF!="not",#REF!="resign",#REF!="resign",#REF!="end",#REF!="terminated",#REF!="permanent"),"TRUE","FALSE")</formula>
    </cfRule>
  </conditionalFormatting>
  <conditionalFormatting sqref="Y63">
    <cfRule type="expression" dxfId="1732" priority="266" stopIfTrue="1">
      <formula>IF(OR($BF79="not",$BF79="resign",$BF79="resign",$BF79="end",$BF79="terminated",$BF79="permanent"),"TRUE","FALSE")</formula>
    </cfRule>
  </conditionalFormatting>
  <conditionalFormatting sqref="J62">
    <cfRule type="expression" dxfId="1733" priority="267" stopIfTrue="1">
      <formula>IF(OR(#REF!="not",#REF!="resign",#REF!="resign",#REF!="end",#REF!="terminated",#REF!="permanent"),"TRUE","FALSE")</formula>
    </cfRule>
  </conditionalFormatting>
  <conditionalFormatting sqref="A113:C118">
    <cfRule type="expression" dxfId="1734" priority="268" stopIfTrue="1">
      <formula>IF(OR($BF113="not",$BF113="resign",$BF113="resign",$BF113="end",$BF113="terminated",$BF113="permanent"),"TRUE","FALSE")</formula>
    </cfRule>
  </conditionalFormatting>
  <conditionalFormatting sqref="AF113:AG118;E113:G118;C113:C118;I113:J118;A113:A118;Y113:Z114">
    <cfRule type="expression" dxfId="1735" priority="269" stopIfTrue="1">
      <formula>IF(OR(#REF!="not",#REF!="resign",#REF!="resign",#REF!="end",#REF!="terminated",#REF!="permanent"),"TRUE","FALSE")</formula>
    </cfRule>
  </conditionalFormatting>
  <conditionalFormatting sqref="I113">
    <cfRule type="expression" dxfId="1736" priority="270" stopIfTrue="1">
      <formula>IF(OR($BF113="not",$BF113="resign",$BF113="resign",$BF113="end",$BF113="terminated",$BF113="permanent"),"TRUE","FALSE")</formula>
    </cfRule>
    <cfRule type="expression" dxfId="1737" priority="271" stopIfTrue="1">
      <formula>IF(OR($BF113="not",$BF113="resign",$BF113="resign",$BF113="end",$BF113="terminated",$BF113="permanent"),"TRUE","FALSE")</formula>
    </cfRule>
    <cfRule type="expression" dxfId="1738" priority="272" stopIfTrue="1">
      <formula>IF(OR($BF113="not",$BF113="resign",$BF113="resign",$BF113="end",$BF113="terminated",$BF113="permanent"),"TRUE","FALSE")</formula>
    </cfRule>
  </conditionalFormatting>
  <conditionalFormatting sqref="C113">
    <cfRule type="expression" dxfId="1739" priority="273" stopIfTrue="1">
      <formula>IF(OR($BF113="not",$BF113="resign",$BF113="resign",$BF113="end",$BF113="terminated",$BF113="permanent"),"TRUE","FALSE")</formula>
    </cfRule>
  </conditionalFormatting>
  <conditionalFormatting sqref="A113:A118">
    <cfRule type="expression" dxfId="1740" priority="274" stopIfTrue="1">
      <formula>IF(OR($BF139="not",$BF139="resign",$BF139="resign",$BF139="end",$BF139="terminated",$BF139="permanent"),"TRUE","FALSE")</formula>
    </cfRule>
    <cfRule type="expression" dxfId="1741" priority="275" stopIfTrue="1">
      <formula>IF(OR(#REF!="not",#REF!="resign",#REF!="resign",#REF!="end",#REF!="terminated",#REF!="permanent"),"TRUE","FALSE")</formula>
    </cfRule>
    <cfRule type="expression" dxfId="1742" priority="276" stopIfTrue="1">
      <formula>IF(OR(#REF!="not",#REF!="resign",#REF!="resign",#REF!="end",#REF!="terminated",#REF!="permanent"),"TRUE","FALSE")</formula>
    </cfRule>
  </conditionalFormatting>
  <conditionalFormatting sqref="Y115:Z118;A113:A118">
    <cfRule type="expression" dxfId="1743" priority="277" stopIfTrue="1">
      <formula>IF(OR(#REF!="not",#REF!="resign",#REF!="resign",#REF!="end",#REF!="terminated",#REF!="permanent"),"TRUE","FALSE")</formula>
    </cfRule>
  </conditionalFormatting>
  <conditionalFormatting sqref="Y117:Z118;C113:C114;F113:G114;J113:J114;Y113:Z114">
    <cfRule type="expression" dxfId="1744" priority="278" stopIfTrue="1">
      <formula>IF(OR(#REF!="not",#REF!="resign",#REF!="resign",#REF!="end",#REF!="terminated",#REF!="permanent"),"TRUE","FALSE")</formula>
    </cfRule>
  </conditionalFormatting>
  <conditionalFormatting sqref="A117">
    <cfRule type="expression" dxfId="1745" priority="279" stopIfTrue="1">
      <formula>IF(OR(#REF!="not",#REF!="resign",#REF!="resign",#REF!="end",#REF!="terminated",#REF!="permanent"),"TRUE","FALSE")</formula>
    </cfRule>
    <cfRule type="expression" dxfId="1746" priority="280" stopIfTrue="1">
      <formula>IF(OR($BF190="not",$BF190="resign",$BF190="resign",$BF190="end",$BF190="terminated",$BF190="permanent"),"TRUE","FALSE")</formula>
    </cfRule>
    <cfRule type="expression" dxfId="1747" priority="281" stopIfTrue="1">
      <formula>IF(OR($BF144="not",$BF144="resign",$BF144="resign",$BF144="end",$BF144="terminated",$BF144="permanent"),"TRUE","FALSE")</formula>
    </cfRule>
  </conditionalFormatting>
  <conditionalFormatting sqref="H113:H118">
    <cfRule type="expression" dxfId="1748" priority="282" stopIfTrue="1">
      <formula>NOT(ISERROR(SEARCH("it analyst",H113)))</formula>
    </cfRule>
  </conditionalFormatting>
  <conditionalFormatting sqref="Z113:Z118">
    <cfRule type="expression" dxfId="1749" priority="283" stopIfTrue="1">
      <formula>NOT(ISERROR(SEARCH("warning",Z113)))</formula>
    </cfRule>
  </conditionalFormatting>
  <conditionalFormatting sqref="A113">
    <cfRule type="expression" dxfId="1750" priority="284" stopIfTrue="1">
      <formula>IF(OR(#REF!="not",#REF!="resign",#REF!="resign",#REF!="end",#REF!="terminated",#REF!="permanent"),"TRUE","FALSE")</formula>
    </cfRule>
  </conditionalFormatting>
  <conditionalFormatting sqref="A114:A118">
    <cfRule type="expression" dxfId="1751" priority="285" stopIfTrue="1">
      <formula>IF(OR($BF136="not",$BF136="resign",$BF136="resign",$BF136="end",$BF136="terminated",$BF136="permanent"),"TRUE","FALSE")</formula>
    </cfRule>
    <cfRule type="expression" dxfId="1752" priority="286" stopIfTrue="1">
      <formula>IF(OR($BF135="not",$BF135="resign",$BF135="resign",$BF135="end",$BF135="terminated",$BF135="permanent"),"TRUE","FALSE")</formula>
    </cfRule>
  </conditionalFormatting>
  <conditionalFormatting sqref="A116:A117">
    <cfRule type="expression" dxfId="1753" priority="287" stopIfTrue="1">
      <formula>IF(OR($BF134="not",$BF134="resign",$BF134="resign",$BF134="end",$BF134="terminated",$BF134="permanent"),"TRUE","FALSE")</formula>
    </cfRule>
  </conditionalFormatting>
  <conditionalFormatting sqref="A115:A117">
    <cfRule type="expression" dxfId="1754" priority="288" stopIfTrue="1">
      <formula>IF(OR($BF147="not",$BF147="resign",$BF147="resign",$BF147="end",$BF147="terminated",$BF147="permanent"),"TRUE","FALSE")</formula>
    </cfRule>
    <cfRule type="expression" dxfId="1755" priority="289" stopIfTrue="1">
      <formula>IF(OR($BF148="not",$BF148="resign",$BF148="resign",$BF148="end",$BF148="terminated",$BF148="permanent"),"TRUE","FALSE")</formula>
    </cfRule>
  </conditionalFormatting>
  <conditionalFormatting sqref="Y117:Z117">
    <cfRule type="expression" dxfId="1756" priority="290" stopIfTrue="1">
      <formula>IF(OR($BF151="not",$BF151="resign",$BF151="resign",$BF151="end",$BF151="terminated",$BF151="permanent"),"TRUE","FALSE")</formula>
    </cfRule>
    <cfRule type="expression" dxfId="1757" priority="291" stopIfTrue="1">
      <formula>IF(OR($BF153="not",$BF153="resign",$BF153="resign",$BF153="end",$BF153="terminated",$BF153="permanent"),"TRUE","FALSE")</formula>
    </cfRule>
    <cfRule type="expression" dxfId="1758" priority="292" stopIfTrue="1">
      <formula>IF(OR($BF152="not",$BF152="resign",$BF152="resign",$BF152="end",$BF152="terminated",$BF152="permanent"),"TRUE","FALSE")</formula>
    </cfRule>
  </conditionalFormatting>
  <conditionalFormatting sqref="A115:A116">
    <cfRule type="expression" dxfId="1759" priority="293" stopIfTrue="1">
      <formula>IF(OR($BF152="not",$BF152="resign",$BF152="resign",$BF152="end",$BF152="terminated",$BF152="permanent"),"TRUE","FALSE")</formula>
    </cfRule>
    <cfRule type="expression" dxfId="1760" priority="294" stopIfTrue="1">
      <formula>IF(OR($BF146="not",$BF146="resign",$BF146="resign",$BF146="end",$BF146="terminated",$BF146="permanent"),"TRUE","FALSE")</formula>
    </cfRule>
  </conditionalFormatting>
  <conditionalFormatting sqref="J115:J116">
    <cfRule type="expression" dxfId="1761" priority="295" stopIfTrue="1">
      <formula>IF(OR($BF139="not",$BF139="resign",$BF139="resign",$BF139="end",$BF139="terminated",$BF139="permanent"),"TRUE","FALSE")</formula>
    </cfRule>
  </conditionalFormatting>
  <conditionalFormatting sqref="Y115:Z116">
    <cfRule type="expression" dxfId="1762" priority="296" stopIfTrue="1">
      <formula>IF(OR($BF151="not",$BF151="resign",$BF151="resign",$BF151="end",$BF151="terminated",$BF151="permanent"),"TRUE","FALSE")</formula>
    </cfRule>
    <cfRule type="expression" dxfId="1763" priority="297" stopIfTrue="1">
      <formula>IF(OR($BF150="not",$BF150="resign",$BF150="resign",$BF150="end",$BF150="terminated",$BF150="permanent"),"TRUE","FALSE")</formula>
    </cfRule>
    <cfRule type="expression" dxfId="1764" priority="298" stopIfTrue="1">
      <formula>IF(OR($BF149="not",$BF149="resign",$BF149="resign",$BF149="end",$BF149="terminated",$BF149="permanent"),"TRUE","FALSE")</formula>
    </cfRule>
  </conditionalFormatting>
  <conditionalFormatting sqref="Y115:Y116">
    <cfRule type="expression" dxfId="1765" priority="299" stopIfTrue="1">
      <formula>IF(OR($BD115="not",$BD115="resign",$BD115="resign",$BD115="end",$BD115="terminated",$BD115="permanent"),"TRUE","FALSE")</formula>
    </cfRule>
    <cfRule type="expression" dxfId="1766" priority="300" stopIfTrue="1">
      <formula>IF(OR($BF115="not",$BF115="resign",$BF115="resign",$BF115="end",$BF115="terminated",$BF115="permanent"),"TRUE","FALSE")</formula>
    </cfRule>
  </conditionalFormatting>
  <conditionalFormatting sqref="Z115:Z116">
    <cfRule type="expression" dxfId="1767" priority="301" stopIfTrue="1">
      <formula>IF(OR($BD115="not",$BD115="resign",$BD115="resign",$BD115="end",$BD115="terminated",$BD115="permanent"),"TRUE","FALSE")</formula>
    </cfRule>
    <cfRule type="expression" dxfId="1768" priority="302" stopIfTrue="1">
      <formula>IF(OR($BF115="not",$BF115="resign",$BF115="resign",$BF115="end",$BF115="terminated",$BF115="permanent"),"TRUE","FALSE")</formula>
    </cfRule>
  </conditionalFormatting>
  <conditionalFormatting sqref="AE116">
    <cfRule type="expression" dxfId="1769" priority="303" stopIfTrue="1">
      <formula>IF(OR($BF116="not",$BF116="resign",$BF116="resign",$BF116="end",$BF116="terminated",$BF116="permanent"),"TRUE","FALSE")</formula>
    </cfRule>
  </conditionalFormatting>
  <conditionalFormatting sqref="A116">
    <cfRule type="expression" dxfId="1770" priority="304" stopIfTrue="1">
      <formula>IF(OR(#REF!="not",#REF!="resign",#REF!="resign",#REF!="end",#REF!="terminated",#REF!="permanent"),"TRUE","FALSE")</formula>
    </cfRule>
  </conditionalFormatting>
  <conditionalFormatting sqref="A115">
    <cfRule type="expression" dxfId="1771" priority="305" stopIfTrue="1">
      <formula>IF(OR(#REF!="not",#REF!="resign",#REF!="resign",#REF!="end",#REF!="terminated",#REF!="permanent"),"TRUE","FALSE")</formula>
    </cfRule>
  </conditionalFormatting>
  <conditionalFormatting sqref="Y117:Z118">
    <cfRule type="expression" dxfId="1772" priority="306" stopIfTrue="1">
      <formula>IF(OR($BD117="not",$BD117="resign",$BD117="resign",$BD117="end",$BD117="terminated",$BD117="permanent"),"TRUE","FALSE")</formula>
    </cfRule>
  </conditionalFormatting>
  <conditionalFormatting sqref="J117:J118;A117:A118">
    <cfRule type="expression" dxfId="1773" priority="307" stopIfTrue="1">
      <formula>IF(OR(#REF!="not",#REF!="resign",#REF!="resign",#REF!="end",#REF!="terminated",#REF!="permanent"),"TRUE","FALSE")</formula>
    </cfRule>
  </conditionalFormatting>
  <conditionalFormatting sqref="A117:A118">
    <cfRule type="expression" dxfId="1774" priority="308" stopIfTrue="1">
      <formula>IF(OR($BF126="not",$BF126="resign",$BF126="resign",$BF126="end",$BF126="terminated",$BF126="permanent"),"TRUE","FALSE")</formula>
    </cfRule>
    <cfRule type="expression" dxfId="1775" priority="309" stopIfTrue="1">
      <formula>IF(OR($BF154="not",$BF154="resign",$BF154="resign",$BF154="end",$BF154="terminated",$BF154="permanent"),"TRUE","FALSE")</formula>
    </cfRule>
    <cfRule type="expression" dxfId="1776" priority="310" stopIfTrue="1">
      <formula>IF(OR($BF155="not",$BF155="resign",$BF155="resign",$BF155="end",$BF155="terminated",$BF155="permanent"),"TRUE","FALSE")</formula>
    </cfRule>
  </conditionalFormatting>
  <conditionalFormatting sqref="J117">
    <cfRule type="expression" dxfId="1777" priority="311" stopIfTrue="1">
      <formula>IF(OR($BF142="not",$BF142="resign",$BF142="resign",$BF142="end",$BF142="terminated",$BF142="permanent"),"TRUE","FALSE")</formula>
    </cfRule>
  </conditionalFormatting>
  <conditionalFormatting sqref="Y118:Z118">
    <cfRule type="expression" dxfId="1778" priority="312" stopIfTrue="1">
      <formula>IF(OR($BF156="not",$BF156="resign",$BF156="resign",$BF156="end",$BF156="terminated",$BF156="permanent"),"TRUE","FALSE")</formula>
    </cfRule>
    <cfRule type="expression" dxfId="1779" priority="313" stopIfTrue="1">
      <formula>IF(OR($BF154="not",$BF154="resign",$BF154="resign",$BF154="end",$BF154="terminated",$BF154="permanent"),"TRUE","FALSE")</formula>
    </cfRule>
    <cfRule type="expression" dxfId="1780" priority="314" stopIfTrue="1">
      <formula>IF(OR($BF153="not",$BF153="resign",$BF153="resign",$BF153="end",$BF153="terminated",$BF153="permanent"),"TRUE","FALSE")</formula>
    </cfRule>
  </conditionalFormatting>
  <conditionalFormatting sqref="A118">
    <cfRule type="expression" dxfId="1781" priority="315" stopIfTrue="1">
      <formula>IF(OR(#REF!="not",#REF!="resign",#REF!="resign",#REF!="end",#REF!="terminated",#REF!="permanent"),"TRUE","FALSE")</formula>
    </cfRule>
    <cfRule type="expression" dxfId="1782" priority="316" stopIfTrue="1">
      <formula>IF(OR(#REF!="not",#REF!="resign",#REF!="resign",#REF!="end",#REF!="terminated",#REF!="permanent"),"TRUE","FALSE")</formula>
    </cfRule>
    <cfRule type="expression" dxfId="1783" priority="317" stopIfTrue="1">
      <formula>IF(OR(#REF!="not",#REF!="resign",#REF!="resign",#REF!="end",#REF!="terminated",#REF!="permanent"),"TRUE","FALSE")</formula>
    </cfRule>
  </conditionalFormatting>
  <conditionalFormatting sqref="AE118:AF118">
    <cfRule type="expression" dxfId="1784" priority="318" stopIfTrue="1">
      <formula>IF(OR($BF118="not",$BF118="resign",$BF118="resign",$BF118="end",$BF118="terminated",$BF118="permanent"),"TRUE","FALSE")</formula>
    </cfRule>
  </conditionalFormatting>
  <conditionalFormatting sqref="Y118">
    <cfRule type="expression" dxfId="1785" priority="319" stopIfTrue="1">
      <formula>IF(OR($BD118="not",$BD118="resign",$BD118="resign",$BD118="end",$BD118="terminated",$BD118="permanent"),"TRUE","FALSE")</formula>
    </cfRule>
    <cfRule type="expression" dxfId="1786" priority="320" stopIfTrue="1">
      <formula>IF(OR($BF118="not",$BF118="resign",$BF118="resign",$BF118="end",$BF118="terminated",$BF118="permanent"),"TRUE","FALSE")</formula>
    </cfRule>
  </conditionalFormatting>
  <conditionalFormatting sqref="Z118">
    <cfRule type="expression" dxfId="1787" priority="321" stopIfTrue="1">
      <formula>IF(OR($BD118="not",$BD118="resign",$BD118="resign",$BD118="end",$BD118="terminated",$BD118="permanent"),"TRUE","FALSE")</formula>
    </cfRule>
    <cfRule type="expression" dxfId="1788" priority="322" stopIfTrue="1">
      <formula>IF(OR($BF118="not",$BF118="resign",$BF118="resign",$BF118="end",$BF118="terminated",$BF118="permanent"),"TRUE","FALSE")</formula>
    </cfRule>
  </conditionalFormatting>
  <conditionalFormatting sqref="J118">
    <cfRule type="expression" dxfId="1789" priority="323" stopIfTrue="1">
      <formula>IF(OR($BF144="not",$BF144="resign",$BF144="resign",$BF144="end",$BF144="terminated",$BF144="permanent"),"TRUE","FALSE")</formula>
    </cfRule>
    <cfRule type="expression" dxfId="1790" priority="324" stopIfTrue="1">
      <formula>IF(OR($BF147="not",$BF147="resign",$BF147="resign",$BF147="end",$BF147="terminated",$BF147="permanent"),"TRUE","FALSE")</formula>
    </cfRule>
  </conditionalFormatting>
  <conditionalFormatting sqref="C118">
    <cfRule type="expression" dxfId="1791" priority="325" stopIfTrue="1">
      <formula>IF(OR($BF147="not",$BF147="resign",$BF147="resign",$BF147="end",$BF147="terminated",$BF147="permanent"),"TRUE","FALSE")</formula>
    </cfRule>
  </conditionalFormatting>
  <conditionalFormatting sqref="Y77:Z77">
    <cfRule type="expression" dxfId="1792" priority="326" stopIfTrue="1">
      <formula>IF(OR(#REF!="not",#REF!="resign",#REF!="resign",#REF!="end",#REF!="terminated",#REF!="permanent"),"TRUE","FALSE")</formula>
    </cfRule>
  </conditionalFormatting>
  <conditionalFormatting sqref="Y78:Z78">
    <cfRule type="expression" dxfId="1793" priority="327" stopIfTrue="1">
      <formula>IF(OR(#REF!="not",#REF!="resign",#REF!="resign",#REF!="end",#REF!="terminated",#REF!="permanent"),"TRUE","FALSE")</formula>
    </cfRule>
  </conditionalFormatting>
  <conditionalFormatting sqref="I81">
    <cfRule type="expression" dxfId="1794" priority="328" stopIfTrue="1">
      <formula>IF(OR($BF81="not",$BF81="resign",$BF81="resign",$BF81="end",$BF81="terminated",$BF81="permanent"),"TRUE","FALSE")</formula>
    </cfRule>
  </conditionalFormatting>
  <conditionalFormatting sqref="AG81;E81;J81">
    <cfRule type="expression" dxfId="1795" priority="329" stopIfTrue="1">
      <formula>IF(OR(#REF!="not",#REF!="resign",#REF!="resign",#REF!="end",#REF!="terminated",#REF!="permanent"),"TRUE","FALSE")</formula>
    </cfRule>
  </conditionalFormatting>
  <conditionalFormatting sqref="AO81">
    <cfRule type="expression" dxfId="1796" priority="330" stopIfTrue="1">
      <formula>IF(OR($BF81="not",$BF81="resign",$BF81="resign",$BF81="end",$BF81="terminated",$BF81="permanent"),"TRUE","FALSE")</formula>
    </cfRule>
  </conditionalFormatting>
  <conditionalFormatting sqref="AL81:AN81">
    <cfRule type="expression" dxfId="1797" priority="331" stopIfTrue="1">
      <formula>IF(OR(#REF!="not",#REF!="resign",#REF!="resign",#REF!="end",#REF!="terminated",#REF!="permanent"),"TRUE","FALSE")</formula>
    </cfRule>
  </conditionalFormatting>
  <conditionalFormatting sqref="F81:G81">
    <cfRule type="expression" dxfId="1798" priority="332" stopIfTrue="1">
      <formula>IF(OR(#REF!="not",#REF!="resign",#REF!="resign",#REF!="end",#REF!="terminated",#REF!="permanent"),"TRUE","FALSE")</formula>
    </cfRule>
  </conditionalFormatting>
  <conditionalFormatting sqref="AH81:AK81">
    <cfRule type="expression" dxfId="1799" priority="333" stopIfTrue="1">
      <formula>IF(OR(#REF!="not",#REF!="resign",#REF!="resign",#REF!="end",#REF!="terminated",#REF!="permanent"),"TRUE","FALSE")</formula>
    </cfRule>
  </conditionalFormatting>
  <conditionalFormatting sqref="H81">
    <cfRule type="expression" dxfId="1800" priority="334" stopIfTrue="1">
      <formula>NOT(ISERROR(SEARCH("it analyst",H81)))</formula>
    </cfRule>
  </conditionalFormatting>
  <conditionalFormatting sqref="B81">
    <cfRule type="expression" dxfId="1801" priority="335" stopIfTrue="1">
      <formula>IF(OR(#REF!="not",#REF!="resign",#REF!="resign",#REF!="end",#REF!="terminated",#REF!="permanent"),"TRUE","FALSE")</formula>
    </cfRule>
  </conditionalFormatting>
  <conditionalFormatting sqref="AO29;B29;Y29:Z29">
    <cfRule type="expression" dxfId="1802" priority="336" stopIfTrue="1">
      <formula>IF(OR(#REF!="not",#REF!="resign",#REF!="resign",#REF!="end",#REF!="terminated",#REF!="permanent"),"TRUE","FALSE")</formula>
    </cfRule>
  </conditionalFormatting>
  <conditionalFormatting sqref="H29">
    <cfRule type="expression" dxfId="1803" priority="337" stopIfTrue="1">
      <formula>NOT(ISERROR(SEARCH("it analyst",H29)))</formula>
    </cfRule>
  </conditionalFormatting>
  <conditionalFormatting sqref="AF121">
    <cfRule type="expression" dxfId="1804" priority="338" stopIfTrue="1">
      <formula>IF(OR($BF121="not",$BF121="resign",$BF121="resign",$BF121="end",$BF121="terminated",$BF121="permanent"),"TRUE","FALSE")</formula>
    </cfRule>
  </conditionalFormatting>
  <conditionalFormatting sqref="I119:J123;AF121:AG123;E121:G123;C121:C123;AF120;AF119:AG119;E119:G119;C119;Y119:Z119;A119:A123">
    <cfRule type="expression" dxfId="1805" priority="339" stopIfTrue="1">
      <formula>IF(OR(#REF!="not",#REF!="resign",#REF!="resign",#REF!="end",#REF!="terminated",#REF!="permanent"),"TRUE","FALSE")</formula>
    </cfRule>
  </conditionalFormatting>
  <conditionalFormatting sqref="AF119">
    <cfRule type="expression" dxfId="1806" priority="340" stopIfTrue="1">
      <formula>IF(OR($BF119="not",$BF119="resign",$BF119="resign",$BF119="end",$BF119="terminated",$BF119="permanent"),"TRUE","FALSE")</formula>
    </cfRule>
    <cfRule type="expression" dxfId="1807" priority="341" stopIfTrue="1">
      <formula>IF(OR($BF119="not",$BF119="resign",$BF119="resign",$BF119="end",$BF119="terminated",$BF119="permanent"),"TRUE","FALSE")</formula>
    </cfRule>
    <cfRule type="expression" dxfId="1808" priority="342" stopIfTrue="1">
      <formula>IF(OR($BF119="not",$BF119="resign",$BF119="resign",$BF119="end",$BF119="terminated",$BF119="permanent"),"TRUE","FALSE")</formula>
    </cfRule>
  </conditionalFormatting>
  <conditionalFormatting sqref="C119">
    <cfRule type="expression" dxfId="1809" priority="343" stopIfTrue="1">
      <formula>IF(OR($BF119="not",$BF119="resign",$BF119="resign",$BF119="end",$BF119="terminated",$BF119="permanent"),"TRUE","FALSE")</formula>
    </cfRule>
  </conditionalFormatting>
  <conditionalFormatting sqref="J120;C120;AF120:AG120;E120:G120;Y120:Z123;A119:A123">
    <cfRule type="expression" dxfId="1810" priority="344" stopIfTrue="1">
      <formula>IF(OR(#REF!="not",#REF!="resign",#REF!="resign",#REF!="end",#REF!="terminated",#REF!="permanent"),"TRUE","FALSE")</formula>
    </cfRule>
  </conditionalFormatting>
  <conditionalFormatting sqref="J121:J123;Y121:Z123;A119:A123">
    <cfRule type="expression" dxfId="1811" priority="345" stopIfTrue="1">
      <formula>IF(OR(#REF!="not",#REF!="resign",#REF!="resign",#REF!="end",#REF!="terminated",#REF!="permanent"),"TRUE","FALSE")</formula>
    </cfRule>
  </conditionalFormatting>
  <conditionalFormatting sqref="F119:G119;J119;C119;Y119:Z120">
    <cfRule type="expression" dxfId="1812" priority="346" stopIfTrue="1">
      <formula>IF(OR(#REF!="not",#REF!="resign",#REF!="resign",#REF!="end",#REF!="terminated",#REF!="permanent"),"TRUE","FALSE")</formula>
    </cfRule>
  </conditionalFormatting>
  <conditionalFormatting sqref="A121">
    <cfRule type="expression" dxfId="1813" priority="347" stopIfTrue="1">
      <formula>IF(OR($BF188="not",$BF188="resign",$BF188="resign",$BF188="end",$BF188="terminated",$BF188="permanent"),"TRUE","FALSE")</formula>
    </cfRule>
    <cfRule type="expression" dxfId="1814" priority="348" stopIfTrue="1">
      <formula>IF(OR(#REF!="not",#REF!="resign",#REF!="resign",#REF!="end",#REF!="terminated",#REF!="permanent"),"TRUE","FALSE")</formula>
    </cfRule>
    <cfRule type="expression" dxfId="1815" priority="349" stopIfTrue="1">
      <formula>IF(OR($BF190="not",$BF190="resign",$BF190="resign",$BF190="end",$BF190="terminated",$BF190="permanent"),"TRUE","FALSE")</formula>
    </cfRule>
  </conditionalFormatting>
  <conditionalFormatting sqref="A119">
    <cfRule type="expression" dxfId="1816" priority="350" stopIfTrue="1">
      <formula>IF(OR($BF146="not",$BF146="resign",$BF146="resign",$BF146="end",$BF146="terminated",$BF146="permanent"),"TRUE","FALSE")</formula>
    </cfRule>
    <cfRule type="expression" dxfId="1817" priority="351" stopIfTrue="1">
      <formula>IF(OR($BF145="not",$BF145="resign",$BF145="resign",$BF145="end",$BF145="terminated",$BF145="permanent"),"TRUE","FALSE")</formula>
    </cfRule>
  </conditionalFormatting>
  <conditionalFormatting sqref="J122:J123">
    <cfRule type="expression" dxfId="1818" priority="352" stopIfTrue="1">
      <formula>IF(OR($BF147="not",$BF147="resign",$BF147="resign",$BF147="end",$BF147="terminated",$BF147="permanent"),"TRUE","FALSE")</formula>
    </cfRule>
  </conditionalFormatting>
  <conditionalFormatting sqref="AH119">
    <cfRule type="expression" dxfId="1819" priority="353" stopIfTrue="1">
      <formula>IF(OR($BF119="not",$BF119="resign",$BF119="resign",$BF119="end",$BF119="terminated",$BF119="permanent"),"TRUE","FALSE")</formula>
    </cfRule>
  </conditionalFormatting>
  <conditionalFormatting sqref="H119:H123">
    <cfRule type="expression" dxfId="1820" priority="354" stopIfTrue="1">
      <formula>NOT(ISERROR(SEARCH("it analyst",H119)))</formula>
    </cfRule>
  </conditionalFormatting>
  <conditionalFormatting sqref="Z119:Z123">
    <cfRule type="expression" dxfId="1821" priority="355" stopIfTrue="1">
      <formula>NOT(ISERROR(SEARCH("warning",Z119)))</formula>
    </cfRule>
  </conditionalFormatting>
  <conditionalFormatting sqref="AF120">
    <cfRule type="expression" dxfId="1822" priority="356" stopIfTrue="1">
      <formula>IF(OR($BD120="not",$BD120="resign",$BD120="resign",$BD120="end",$BD120="terminated",$BD120="permanent"),"TRUE","FALSE")</formula>
    </cfRule>
    <cfRule type="expression" dxfId="1823" priority="357" stopIfTrue="1">
      <formula>IF(OR(#REF!="not",#REF!="resign",#REF!="resign",#REF!="end",#REF!="terminated",#REF!="permanent"),"TRUE","FALSE")</formula>
    </cfRule>
  </conditionalFormatting>
  <conditionalFormatting sqref="A120:A123">
    <cfRule type="expression" dxfId="1824" priority="358" stopIfTrue="1">
      <formula>IF(OR($BF140="not",$BF140="resign",$BF140="resign",$BF140="end",$BF140="terminated",$BF140="permanent"),"TRUE","FALSE")</formula>
    </cfRule>
    <cfRule type="expression" dxfId="1825" priority="359" stopIfTrue="1">
      <formula>IF(OR($BF142="not",$BF142="resign",$BF142="resign",$BF142="end",$BF142="terminated",$BF142="permanent"),"TRUE","FALSE")</formula>
    </cfRule>
    <cfRule type="expression" dxfId="1826" priority="360" stopIfTrue="1">
      <formula>IF(OR($BF139="not",$BF139="resign",$BF139="resign",$BF139="end",$BF139="terminated",$BF139="permanent"),"TRUE","FALSE")</formula>
    </cfRule>
  </conditionalFormatting>
  <conditionalFormatting sqref="I120">
    <cfRule type="expression" dxfId="1827" priority="361" stopIfTrue="1">
      <formula>IF(OR($BF120="not",$BF120="resign",$BF120="resign",$BF120="end",$BF120="terminated",$BF120="permanent"),"TRUE","FALSE")</formula>
    </cfRule>
    <cfRule type="expression" dxfId="1828" priority="362" stopIfTrue="1">
      <formula>IF(OR($BF120="not",$BF120="resign",$BF120="resign",$BF120="end",$BF120="terminated",$BF120="permanent"),"TRUE","FALSE")</formula>
    </cfRule>
    <cfRule type="expression" dxfId="1829" priority="363" stopIfTrue="1">
      <formula>IF(OR($BF120="not",$BF120="resign",$BF120="resign",$BF120="end",$BF120="terminated",$BF120="permanent"),"TRUE","FALSE")</formula>
    </cfRule>
  </conditionalFormatting>
  <conditionalFormatting sqref="A120">
    <cfRule type="expression" dxfId="1830" priority="364" stopIfTrue="1">
      <formula>IF(OR(#REF!="not",#REF!="resign",#REF!="resign",#REF!="end",#REF!="terminated",#REF!="permanent"),"TRUE","FALSE")</formula>
    </cfRule>
    <cfRule type="expression" dxfId="1831" priority="365" stopIfTrue="1">
      <formula>IF(OR(#REF!="not",#REF!="resign",#REF!="resign",#REF!="end",#REF!="terminated",#REF!="permanent"),"TRUE","FALSE")</formula>
    </cfRule>
  </conditionalFormatting>
  <conditionalFormatting sqref="Y120:Z120;J120;F120:G120;C120;A120">
    <cfRule type="expression" dxfId="1832" priority="366" stopIfTrue="1">
      <formula>IF(OR(#REF!="not",#REF!="resign",#REF!="resign",#REF!="end",#REF!="terminated",#REF!="permanent"),"TRUE","FALSE")</formula>
    </cfRule>
  </conditionalFormatting>
  <conditionalFormatting sqref="AO120">
    <cfRule type="expression" dxfId="1833" priority="367" stopIfTrue="1">
      <formula>IF(OR($BF120="not",$BF120="resign",$BF120="resign",$BF120="end",$BF120="terminated",$BF120="permanent"),"TRUE","FALSE")</formula>
    </cfRule>
  </conditionalFormatting>
  <conditionalFormatting sqref="A122">
    <cfRule type="expression" dxfId="1834" priority="368" stopIfTrue="1">
      <formula>IF(OR($BF129="not",$BF129="resign",$BF129="resign",$BF129="end",$BF129="terminated",$BF129="permanent"),"TRUE","FALSE")</formula>
    </cfRule>
  </conditionalFormatting>
  <conditionalFormatting sqref="Y121:Z121">
    <cfRule type="expression" dxfId="1835" priority="369" stopIfTrue="1">
      <formula>IF(OR($BF153="not",$BF153="resign",$BF153="resign",$BF153="end",$BF153="terminated",$BF153="permanent"),"TRUE","FALSE")</formula>
    </cfRule>
    <cfRule type="expression" dxfId="1836" priority="370" stopIfTrue="1">
      <formula>IF(OR($BF151="not",$BF151="resign",$BF151="resign",$BF151="end",$BF151="terminated",$BF151="permanent"),"TRUE","FALSE")</formula>
    </cfRule>
    <cfRule type="expression" dxfId="1837" priority="371" stopIfTrue="1">
      <formula>IF(OR($BF152="not",$BF152="resign",$BF152="resign",$BF152="end",$BF152="terminated",$BF152="permanent"),"TRUE","FALSE")</formula>
    </cfRule>
  </conditionalFormatting>
  <conditionalFormatting sqref="J121">
    <cfRule type="expression" dxfId="1838" priority="372" stopIfTrue="1">
      <formula>IF(OR($BF142="not",$BF142="resign",$BF142="resign",$BF142="end",$BF142="terminated",$BF142="permanent"),"TRUE","FALSE")</formula>
    </cfRule>
    <cfRule type="expression" dxfId="1839" priority="373" stopIfTrue="1">
      <formula>IF(OR($BF145="not",$BF145="resign",$BF145="resign",$BF145="end",$BF145="terminated",$BF145="permanent"),"TRUE","FALSE")</formula>
    </cfRule>
  </conditionalFormatting>
  <conditionalFormatting sqref="C122">
    <cfRule type="expression" dxfId="1840" priority="374" stopIfTrue="1">
      <formula>IF(OR($BF147="not",$BF147="resign",$BF147="resign",$BF147="end",$BF147="terminated",$BF147="permanent"),"TRUE","FALSE")</formula>
    </cfRule>
  </conditionalFormatting>
  <conditionalFormatting sqref="J122">
    <cfRule type="expression" dxfId="1841" priority="375" stopIfTrue="1">
      <formula>IF(OR($BF144="not",$BF144="resign",$BF144="resign",$BF144="end",$BF144="terminated",$BF144="permanent"),"TRUE","FALSE")</formula>
    </cfRule>
  </conditionalFormatting>
  <conditionalFormatting sqref="Y122:Z122">
    <cfRule type="expression" dxfId="1842" priority="376" stopIfTrue="1">
      <formula>IF(OR($BF156="not",$BF156="resign",$BF156="resign",$BF156="end",$BF156="terminated",$BF156="permanent"),"TRUE","FALSE")</formula>
    </cfRule>
    <cfRule type="expression" dxfId="1843" priority="377" stopIfTrue="1">
      <formula>IF(OR($BF154="not",$BF154="resign",$BF154="resign",$BF154="end",$BF154="terminated",$BF154="permanent"),"TRUE","FALSE")</formula>
    </cfRule>
    <cfRule type="expression" dxfId="1844" priority="378" stopIfTrue="1">
      <formula>IF(OR($BF153="not",$BF153="resign",$BF153="resign",$BF153="end",$BF153="terminated",$BF153="permanent"),"TRUE","FALSE")</formula>
    </cfRule>
  </conditionalFormatting>
  <conditionalFormatting sqref="Y122">
    <cfRule type="expression" dxfId="1845" priority="379" stopIfTrue="1">
      <formula>IF(OR($BD122="not",$BD122="resign",$BD122="resign",$BD122="end",$BD122="terminated",$BD122="permanent"),"TRUE","FALSE")</formula>
    </cfRule>
    <cfRule type="expression" dxfId="1846" priority="380" stopIfTrue="1">
      <formula>IF(OR($BF122="not",$BF122="resign",$BF122="resign",$BF122="end",$BF122="terminated",$BF122="permanent"),"TRUE","FALSE")</formula>
    </cfRule>
  </conditionalFormatting>
  <conditionalFormatting sqref="Z122">
    <cfRule type="expression" dxfId="1847" priority="381" stopIfTrue="1">
      <formula>IF(OR($BD122="not",$BD122="resign",$BD122="resign",$BD122="end",$BD122="terminated",$BD122="permanent"),"TRUE","FALSE")</formula>
    </cfRule>
    <cfRule type="expression" dxfId="1848" priority="382" stopIfTrue="1">
      <formula>IF(OR($BF122="not",$BF122="resign",$BF122="resign",$BF122="end",$BF122="terminated",$BF122="permanent"),"TRUE","FALSE")</formula>
    </cfRule>
  </conditionalFormatting>
  <conditionalFormatting sqref="AH122:AN122">
    <cfRule type="expression" dxfId="1849" priority="383" stopIfTrue="1">
      <formula>IF(OR($BF122="not",$BF122="resign",$BF122="resign",$BF122="end",$BF122="terminated",$BF122="permanent"),"TRUE","FALSE")</formula>
    </cfRule>
  </conditionalFormatting>
  <conditionalFormatting sqref="F122:G122">
    <cfRule type="expression" dxfId="1850" priority="384" stopIfTrue="1">
      <formula>IF(OR($BF122="not",$BF122="resign",$BF122="resign",$BF122="end",$BF122="terminated",$BF122="permanent"),"TRUE","FALSE")</formula>
    </cfRule>
  </conditionalFormatting>
  <conditionalFormatting sqref="C123">
    <cfRule type="expression" dxfId="1851" priority="385" stopIfTrue="1">
      <formula>IF(OR($BF148="not",$BF148="resign",$BF148="resign",$BF148="end",$BF148="terminated",$BF148="permanent"),"TRUE","FALSE")</formula>
    </cfRule>
  </conditionalFormatting>
  <conditionalFormatting sqref="J123">
    <cfRule type="expression" dxfId="1852" priority="386" stopIfTrue="1">
      <formula>IF(OR($BF145="not",$BF145="resign",$BF145="resign",$BF145="end",$BF145="terminated",$BF145="permanent"),"TRUE","FALSE")</formula>
    </cfRule>
  </conditionalFormatting>
  <conditionalFormatting sqref="Y123:Z123">
    <cfRule type="expression" dxfId="1853" priority="387" stopIfTrue="1">
      <formula>IF(OR($BF157="not",$BF157="resign",$BF157="resign",$BF157="end",$BF157="terminated",$BF157="permanent"),"TRUE","FALSE")</formula>
    </cfRule>
    <cfRule type="expression" dxfId="1854" priority="388" stopIfTrue="1">
      <formula>IF(OR($BF155="not",$BF155="resign",$BF155="resign",$BF155="end",$BF155="terminated",$BF155="permanent"),"TRUE","FALSE")</formula>
    </cfRule>
    <cfRule type="expression" dxfId="1855" priority="389" stopIfTrue="1">
      <formula>IF(OR($BF154="not",$BF154="resign",$BF154="resign",$BF154="end",$BF154="terminated",$BF154="permanent"),"TRUE","FALSE")</formula>
    </cfRule>
  </conditionalFormatting>
  <conditionalFormatting sqref="Y123">
    <cfRule type="expression" dxfId="1856" priority="390" stopIfTrue="1">
      <formula>IF(OR($BD123="not",$BD123="resign",$BD123="resign",$BD123="end",$BD123="terminated",$BD123="permanent"),"TRUE","FALSE")</formula>
    </cfRule>
    <cfRule type="expression" dxfId="1857" priority="391" stopIfTrue="1">
      <formula>IF(OR($BF123="not",$BF123="resign",$BF123="resign",$BF123="end",$BF123="terminated",$BF123="permanent"),"TRUE","FALSE")</formula>
    </cfRule>
  </conditionalFormatting>
  <conditionalFormatting sqref="Z123">
    <cfRule type="expression" dxfId="1858" priority="392" stopIfTrue="1">
      <formula>IF(OR($BD123="not",$BD123="resign",$BD123="resign",$BD123="end",$BD123="terminated",$BD123="permanent"),"TRUE","FALSE")</formula>
    </cfRule>
    <cfRule type="expression" dxfId="1859" priority="393" stopIfTrue="1">
      <formula>IF(OR($BF123="not",$BF123="resign",$BF123="resign",$BF123="end",$BF123="terminated",$BF123="permanent"),"TRUE","FALSE")</formula>
    </cfRule>
  </conditionalFormatting>
  <conditionalFormatting sqref="AH123:AO123">
    <cfRule type="expression" dxfId="1860" priority="394" stopIfTrue="1">
      <formula>IF(OR($BF123="not",$BF123="resign",$BF123="resign",$BF123="end",$BF123="terminated",$BF123="permanent"),"TRUE","FALSE")</formula>
    </cfRule>
  </conditionalFormatting>
  <conditionalFormatting sqref="F123:G123">
    <cfRule type="expression" dxfId="1861" priority="395" stopIfTrue="1">
      <formula>IF(OR($BF123="not",$BF123="resign",$BF123="resign",$BF123="end",$BF123="terminated",$BF123="permanent"),"TRUE","FALSE")</formula>
    </cfRule>
  </conditionalFormatting>
  <conditionalFormatting sqref="A122:A123">
    <cfRule type="expression" dxfId="1862" priority="396" stopIfTrue="1">
      <formula>IF(OR($BF190="not",$BF190="resign",$BF190="resign",$BF190="end",$BF190="terminated",$BF190="permanent"),"TRUE","FALSE")</formula>
    </cfRule>
    <cfRule type="expression" dxfId="1863" priority="397" stopIfTrue="1">
      <formula>IF(OR($BF192="not",$BF192="resign",$BF192="resign",$BF192="end",$BF192="terminated",$BF192="permanent"),"TRUE","FALSE")</formula>
    </cfRule>
    <cfRule type="expression" dxfId="1864" priority="398" stopIfTrue="1">
      <formula>IF(OR($BF157="not",$BF157="resign",$BF157="resign",$BF157="end",$BF157="terminated",$BF157="permanent"),"TRUE","FALSE")</formula>
    </cfRule>
  </conditionalFormatting>
  <conditionalFormatting sqref="Y121">
    <cfRule type="expression" dxfId="1865" priority="399" stopIfTrue="1">
      <formula>IF(OR($BD121="not",$BD121="resign",$BD121="resign",$BD121="end",$BD121="terminated",$BD121="permanent"),"TRUE","FALSE")</formula>
    </cfRule>
    <cfRule type="expression" dxfId="1866" priority="400" stopIfTrue="1">
      <formula>IF(OR($BF121="not",$BF121="resign",$BF121="resign",$BF121="end",$BF121="terminated",$BF121="permanent"),"TRUE","FALSE")</formula>
    </cfRule>
    <cfRule type="expression" dxfId="1867" priority="401" stopIfTrue="1">
      <formula>IF(OR($BF153="not",$BF153="resign",$BF153="resign",$BF153="end",$BF153="terminated",$BF153="permanent"),"TRUE","FALSE")</formula>
    </cfRule>
  </conditionalFormatting>
  <conditionalFormatting sqref="AO122">
    <cfRule type="expression" dxfId="1868" priority="402" stopIfTrue="1">
      <formula>IF(OR($BF122="not",$BF122="resign",$BF122="resign",$BF122="end",$BF122="terminated",$BF122="permanent"),"TRUE","FALSE")</formula>
    </cfRule>
  </conditionalFormatting>
  <conditionalFormatting sqref="F29:G29">
    <cfRule type="expression" dxfId="1869" priority="403" stopIfTrue="1">
      <formula>IF(OR(#REF!="not",#REF!="resign",#REF!="resign",#REF!="end",#REF!="terminated",#REF!="permanent"),"TRUE","FALSE")</formula>
    </cfRule>
  </conditionalFormatting>
  <conditionalFormatting sqref="AN29;AH29:AL29">
    <cfRule type="expression" dxfId="1870" priority="404" stopIfTrue="1">
      <formula>IF(OR(#REF!="not",#REF!="resign",#REF!="resign",#REF!="end",#REF!="terminated",#REF!="permanent"),"TRUE","FALSE")</formula>
    </cfRule>
  </conditionalFormatting>
  <conditionalFormatting sqref="C15:C29">
    <cfRule type="expression" dxfId="1871" priority="405" stopIfTrue="1">
      <formula>IF(OR($BF15="not",$BF15="resign",$BF15="resign",$BF15="end",$BF15="terminated",$BF15="permanent"),"TRUE","FALSE")</formula>
    </cfRule>
  </conditionalFormatting>
  <conditionalFormatting sqref="A124:B124">
    <cfRule type="expression" dxfId="1872" priority="406" stopIfTrue="1">
      <formula>IF(OR($BF124="not",$BF124="resign",$BF124="resign",$BF124="end",$BF124="terminated",$BF124="permanent"),"TRUE","FALSE")</formula>
    </cfRule>
  </conditionalFormatting>
  <conditionalFormatting sqref="F124:G124;Y124:Z124">
    <cfRule type="expression" dxfId="1873" priority="407" stopIfTrue="1">
      <formula>IF(OR(#REF!="not",#REF!="resign",#REF!="resign",#REF!="end",#REF!="terminated",#REF!="permanent"),"TRUE","FALSE")</formula>
    </cfRule>
  </conditionalFormatting>
  <conditionalFormatting sqref="J124">
    <cfRule type="expression" dxfId="1874" priority="408" stopIfTrue="1">
      <formula>IF(OR(#REF!="not",#REF!="resign",#REF!="resign",#REF!="end",#REF!="terminated",#REF!="permanent"),"TRUE","FALSE")</formula>
    </cfRule>
  </conditionalFormatting>
  <conditionalFormatting sqref="Y124">
    <cfRule type="expression" dxfId="1875" priority="409" stopIfTrue="1">
      <formula>IF(OR($BD124="not",$BD124="resign",$BD124="resign",$BD124="end",$BD124="terminated",$BD124="permanent"),"TRUE","FALSE")</formula>
    </cfRule>
    <cfRule type="expression" dxfId="1876" priority="410" stopIfTrue="1">
      <formula>IF(OR($BF124="not",$BF124="resign",$BF124="resign",$BF124="end",$BF124="terminated",$BF124="permanent"),"TRUE","FALSE")</formula>
    </cfRule>
    <cfRule type="expression" dxfId="1877" priority="411" stopIfTrue="1">
      <formula>IF(OR($BD124="not",$BD124="resign",$BD124="resign",$BD124="end",$BD124="terminated",$BD124="permanent"),"TRUE","FALSE")</formula>
    </cfRule>
  </conditionalFormatting>
  <conditionalFormatting sqref="Y124:Z124">
    <cfRule type="expression" dxfId="1878" priority="412" stopIfTrue="1">
      <formula>IF(OR($BF162="not",$BF162="resign",$BF162="resign",$BF162="end",$BF162="terminated",$BF162="permanent"),"TRUE","FALSE")</formula>
    </cfRule>
    <cfRule type="expression" dxfId="1879" priority="413" stopIfTrue="1">
      <formula>IF(OR($BF160="not",$BF160="resign",$BF160="resign",$BF160="end",$BF160="terminated",$BF160="permanent"),"TRUE","FALSE")</formula>
    </cfRule>
    <cfRule type="expression" dxfId="1880" priority="414" stopIfTrue="1">
      <formula>IF(OR($BF159="not",$BF159="resign",$BF159="resign",$BF159="end",$BF159="terminated",$BF159="permanent"),"TRUE","FALSE")</formula>
    </cfRule>
  </conditionalFormatting>
  <conditionalFormatting sqref="AH124:AO124">
    <cfRule type="expression" dxfId="1881" priority="415" stopIfTrue="1">
      <formula>IF(OR($BF124="not",$BF124="resign",$BF124="resign",$BF124="end",$BF124="terminated",$BF124="permanent"),"TRUE","FALSE")</formula>
    </cfRule>
  </conditionalFormatting>
  <conditionalFormatting sqref="Z124">
    <cfRule type="expression" dxfId="1882" priority="416" stopIfTrue="1">
      <formula>IF(OR($BD124="not",$BD124="resign",$BD124="resign",$BD124="end",$BD124="terminated",$BD124="permanent"),"TRUE","FALSE")</formula>
    </cfRule>
    <cfRule type="expression" dxfId="1883" priority="417" stopIfTrue="1">
      <formula>IF(OR($BF124="not",$BF124="resign",$BF124="resign",$BF124="end",$BF124="terminated",$BF124="permanent"),"TRUE","FALSE")</formula>
    </cfRule>
    <cfRule type="expression" dxfId="1884" priority="418" stopIfTrue="1">
      <formula>IF(OR($BD124="not",$BD124="resign",$BD124="resign",$BD124="end",$BD124="terminated",$BD124="permanent"),"TRUE","FALSE")</formula>
    </cfRule>
  </conditionalFormatting>
  <conditionalFormatting sqref="A124;Y124:Z124">
    <cfRule type="expression" dxfId="1885" priority="419" stopIfTrue="1">
      <formula>IF(OR(#REF!="not",#REF!="resign",#REF!="resign",#REF!="end",#REF!="terminated",#REF!="permanent"),"TRUE","FALSE")</formula>
    </cfRule>
  </conditionalFormatting>
  <conditionalFormatting sqref="Y118:Z118;A118">
    <cfRule type="expression" dxfId="1886" priority="420" stopIfTrue="1">
      <formula>IF(OR(#REF!="not",#REF!="resign",#REF!="resign",#REF!="end",#REF!="terminated",#REF!="permanent"),"TRUE","FALSE")</formula>
    </cfRule>
  </conditionalFormatting>
  <conditionalFormatting sqref="Y78:Z85">
    <cfRule type="expression" dxfId="1887" priority="421" stopIfTrue="1">
      <formula>IF(OR(#REF!="not",#REF!="resign",#REF!="resign",#REF!="end",#REF!="terminated",#REF!="permanent"),"TRUE","FALSE")</formula>
    </cfRule>
  </conditionalFormatting>
  <conditionalFormatting sqref="Y65:Z66">
    <cfRule type="expression" dxfId="1888" priority="422" stopIfTrue="1">
      <formula>IF(OR(#REF!="not",#REF!="resign",#REF!="resign",#REF!="end",#REF!="terminated",#REF!="permanent"),"TRUE","FALSE")</formula>
    </cfRule>
    <cfRule type="expression" dxfId="1889" priority="423" stopIfTrue="1">
      <formula>IF(OR(#REF!="not",#REF!="resign",#REF!="resign",#REF!="end",#REF!="terminated",#REF!="permanent"),"TRUE","FALSE")</formula>
    </cfRule>
  </conditionalFormatting>
  <conditionalFormatting sqref="Y66:Z66;Y67">
    <cfRule type="expression" dxfId="1890" priority="424" stopIfTrue="1">
      <formula>IF(OR(#REF!="not",#REF!="resign",#REF!="resign",#REF!="end",#REF!="terminated",#REF!="permanent"),"TRUE","FALSE")</formula>
    </cfRule>
    <cfRule type="expression" dxfId="1891" priority="425" stopIfTrue="1">
      <formula>IF(OR(#REF!="not",#REF!="resign",#REF!="resign",#REF!="end",#REF!="terminated",#REF!="permanent"),"TRUE","FALSE")</formula>
    </cfRule>
  </conditionalFormatting>
  <conditionalFormatting sqref="Y79:Z80">
    <cfRule type="expression" dxfId="1892" priority="426" stopIfTrue="1">
      <formula>IF(OR(#REF!="not",#REF!="resign",#REF!="resign",#REF!="end",#REF!="terminated",#REF!="permanent"),"TRUE","FALSE")</formula>
    </cfRule>
    <cfRule type="expression" dxfId="1893" priority="427" stopIfTrue="1">
      <formula>IF(OR(#REF!="not",#REF!="resign",#REF!="resign",#REF!="end",#REF!="terminated",#REF!="permanent"),"TRUE","FALSE")</formula>
    </cfRule>
  </conditionalFormatting>
  <conditionalFormatting sqref="Y77:Z78">
    <cfRule type="expression" dxfId="1894" priority="428" stopIfTrue="1">
      <formula>IF(OR(#REF!="not",#REF!="resign",#REF!="resign",#REF!="end",#REF!="terminated",#REF!="permanent"),"TRUE","FALSE")</formula>
    </cfRule>
  </conditionalFormatting>
  <conditionalFormatting sqref="AD82">
    <cfRule type="expression" dxfId="1895" priority="429" stopIfTrue="1">
      <formula>IF(OR($BF82="not",$BF82="resign",$BF82="resign",$BF82="end",$BF82="terminated",$BF82="permanent"),"TRUE","FALSE")</formula>
    </cfRule>
  </conditionalFormatting>
  <conditionalFormatting sqref="AF82">
    <cfRule type="expression" dxfId="1896" priority="430" stopIfTrue="1">
      <formula>IF(OR($BF82="not",$BF82="resign",$BF82="resign",$BF82="end",$BF82="terminated",$BF82="permanent"),"TRUE","FALSE")</formula>
    </cfRule>
  </conditionalFormatting>
  <conditionalFormatting sqref="AE82">
    <cfRule type="expression" dxfId="1897" priority="431" stopIfTrue="1">
      <formula>IF(OR($BF82="not",$BF82="resign",$BF82="resign",$BF82="end",$BF82="terminated",$BF82="permanent"),"TRUE","FALSE")</formula>
    </cfRule>
  </conditionalFormatting>
  <conditionalFormatting sqref="I82">
    <cfRule type="expression" dxfId="1898" priority="432" stopIfTrue="1">
      <formula>IF(OR($BF82="not",$BF82="resign",$BF82="resign",$BF82="end",$BF82="terminated",$BF82="permanent"),"TRUE","FALSE")</formula>
    </cfRule>
  </conditionalFormatting>
  <conditionalFormatting sqref="AG82;E82;J82">
    <cfRule type="expression" dxfId="1899" priority="433" stopIfTrue="1">
      <formula>IF(OR(#REF!="not",#REF!="resign",#REF!="resign",#REF!="end",#REF!="terminated",#REF!="permanent"),"TRUE","FALSE")</formula>
    </cfRule>
  </conditionalFormatting>
  <conditionalFormatting sqref="AO82">
    <cfRule type="expression" dxfId="1900" priority="434" stopIfTrue="1">
      <formula>IF(OR($BF82="not",$BF82="resign",$BF82="resign",$BF82="end",$BF82="terminated",$BF82="permanent"),"TRUE","FALSE")</formula>
    </cfRule>
  </conditionalFormatting>
  <conditionalFormatting sqref="AL82:AN82">
    <cfRule type="expression" dxfId="1901" priority="435" stopIfTrue="1">
      <formula>IF(OR(#REF!="not",#REF!="resign",#REF!="resign",#REF!="end",#REF!="terminated",#REF!="permanent"),"TRUE","FALSE")</formula>
    </cfRule>
  </conditionalFormatting>
  <conditionalFormatting sqref="F82:G82">
    <cfRule type="expression" dxfId="1902" priority="436" stopIfTrue="1">
      <formula>IF(OR(#REF!="not",#REF!="resign",#REF!="resign",#REF!="end",#REF!="terminated",#REF!="permanent"),"TRUE","FALSE")</formula>
    </cfRule>
  </conditionalFormatting>
  <conditionalFormatting sqref="AH82:AK82">
    <cfRule type="expression" dxfId="1903" priority="437" stopIfTrue="1">
      <formula>IF(OR(#REF!="not",#REF!="resign",#REF!="resign",#REF!="end",#REF!="terminated",#REF!="permanent"),"TRUE","FALSE")</formula>
    </cfRule>
  </conditionalFormatting>
  <conditionalFormatting sqref="H82">
    <cfRule type="expression" dxfId="1904" priority="438" stopIfTrue="1">
      <formula>NOT(ISERROR(SEARCH("it analyst",H82)))</formula>
    </cfRule>
  </conditionalFormatting>
  <conditionalFormatting sqref="C83">
    <cfRule type="expression" dxfId="1905" priority="439" stopIfTrue="1">
      <formula>IF(OR($BF83="not",$BF83="resign",$BF83="resign",$BF83="end",$BF83="terminated",$BF83="permanent"),"TRUE","FALSE")</formula>
    </cfRule>
  </conditionalFormatting>
  <conditionalFormatting sqref="AF83">
    <cfRule type="expression" dxfId="1906" priority="440" stopIfTrue="1">
      <formula>IF(OR($BF83="not",$BF83="resign",$BF83="resign",$BF83="end",$BF83="terminated",$BF83="permanent"),"TRUE","FALSE")</formula>
    </cfRule>
  </conditionalFormatting>
  <conditionalFormatting sqref="AE83">
    <cfRule type="expression" dxfId="1907" priority="441" stopIfTrue="1">
      <formula>IF(OR($BF83="not",$BF83="resign",$BF83="resign",$BF83="end",$BF83="terminated",$BF83="permanent"),"TRUE","FALSE")</formula>
    </cfRule>
  </conditionalFormatting>
  <conditionalFormatting sqref="I83">
    <cfRule type="expression" dxfId="1908" priority="442" stopIfTrue="1">
      <formula>IF(OR($BF83="not",$BF83="resign",$BF83="resign",$BF83="end",$BF83="terminated",$BF83="permanent"),"TRUE","FALSE")</formula>
    </cfRule>
  </conditionalFormatting>
  <conditionalFormatting sqref="AG83;E83;J83">
    <cfRule type="expression" dxfId="1909" priority="443" stopIfTrue="1">
      <formula>IF(OR(#REF!="not",#REF!="resign",#REF!="resign",#REF!="end",#REF!="terminated",#REF!="permanent"),"TRUE","FALSE")</formula>
    </cfRule>
  </conditionalFormatting>
  <conditionalFormatting sqref="AO83">
    <cfRule type="expression" dxfId="1910" priority="444" stopIfTrue="1">
      <formula>IF(OR($BF83="not",$BF83="resign",$BF83="resign",$BF83="end",$BF83="terminated",$BF83="permanent"),"TRUE","FALSE")</formula>
    </cfRule>
  </conditionalFormatting>
  <conditionalFormatting sqref="AL83:AN83">
    <cfRule type="expression" dxfId="1911" priority="445" stopIfTrue="1">
      <formula>IF(OR(#REF!="not",#REF!="resign",#REF!="resign",#REF!="end",#REF!="terminated",#REF!="permanent"),"TRUE","FALSE")</formula>
    </cfRule>
  </conditionalFormatting>
  <conditionalFormatting sqref="F83:G83">
    <cfRule type="expression" dxfId="1912" priority="446" stopIfTrue="1">
      <formula>IF(OR(#REF!="not",#REF!="resign",#REF!="resign",#REF!="end",#REF!="terminated",#REF!="permanent"),"TRUE","FALSE")</formula>
    </cfRule>
  </conditionalFormatting>
  <conditionalFormatting sqref="AH83:AK83">
    <cfRule type="expression" dxfId="1913" priority="447" stopIfTrue="1">
      <formula>IF(OR(#REF!="not",#REF!="resign",#REF!="resign",#REF!="end",#REF!="terminated",#REF!="permanent"),"TRUE","FALSE")</formula>
    </cfRule>
  </conditionalFormatting>
  <conditionalFormatting sqref="H83">
    <cfRule type="expression" dxfId="1914" priority="448" stopIfTrue="1">
      <formula>NOT(ISERROR(SEARCH("it analyst",H83)))</formula>
    </cfRule>
  </conditionalFormatting>
  <conditionalFormatting sqref="B82:B83">
    <cfRule type="expression" dxfId="1915" priority="449" stopIfTrue="1">
      <formula>IF(OR(#REF!="not",#REF!="resign",#REF!="resign",#REF!="end",#REF!="terminated",#REF!="permanent"),"TRUE","FALSE")</formula>
    </cfRule>
  </conditionalFormatting>
  <conditionalFormatting sqref="Y77:Z77;Y80:Z85">
    <cfRule type="expression" dxfId="1916" priority="450" stopIfTrue="1">
      <formula>IF(OR(#REF!="not",#REF!="resign",#REF!="resign",#REF!="end",#REF!="terminated",#REF!="permanent"),"TRUE","FALSE")</formula>
    </cfRule>
  </conditionalFormatting>
  <conditionalFormatting sqref="J69">
    <cfRule type="expression" dxfId="1917" priority="451" stopIfTrue="1">
      <formula>IF(OR(#REF!="not",#REF!="resign",#REF!="resign",#REF!="end",#REF!="terminated",#REF!="permanent"),"TRUE","FALSE")</formula>
    </cfRule>
  </conditionalFormatting>
  <conditionalFormatting sqref="F69:G69;J69">
    <cfRule type="expression" dxfId="1918" priority="452" stopIfTrue="1">
      <formula>IF(OR(#REF!="not",#REF!="resign",#REF!="resign",#REF!="end",#REF!="terminated",#REF!="permanent"),"TRUE","FALSE")</formula>
    </cfRule>
  </conditionalFormatting>
  <conditionalFormatting sqref="Y78:Z79">
    <cfRule type="expression" dxfId="1919" priority="453" stopIfTrue="1">
      <formula>IF(OR(#REF!="not",#REF!="resign",#REF!="resign",#REF!="end",#REF!="terminated",#REF!="permanent"),"TRUE","FALSE")</formula>
    </cfRule>
  </conditionalFormatting>
  <conditionalFormatting sqref="AD84">
    <cfRule type="expression" dxfId="1920" priority="454" stopIfTrue="1">
      <formula>IF(OR($BF84="not",$BF84="resign",$BF84="resign",$BF84="end",$BF84="terminated",$BF84="permanent"),"TRUE","FALSE")</formula>
    </cfRule>
  </conditionalFormatting>
  <conditionalFormatting sqref="AF84">
    <cfRule type="expression" dxfId="1921" priority="455" stopIfTrue="1">
      <formula>IF(OR($BF84="not",$BF84="resign",$BF84="resign",$BF84="end",$BF84="terminated",$BF84="permanent"),"TRUE","FALSE")</formula>
    </cfRule>
  </conditionalFormatting>
  <conditionalFormatting sqref="AE84">
    <cfRule type="expression" dxfId="1922" priority="456" stopIfTrue="1">
      <formula>IF(OR($BF84="not",$BF84="resign",$BF84="resign",$BF84="end",$BF84="terminated",$BF84="permanent"),"TRUE","FALSE")</formula>
    </cfRule>
  </conditionalFormatting>
  <conditionalFormatting sqref="I84">
    <cfRule type="expression" dxfId="1923" priority="457" stopIfTrue="1">
      <formula>IF(OR($BF84="not",$BF84="resign",$BF84="resign",$BF84="end",$BF84="terminated",$BF84="permanent"),"TRUE","FALSE")</formula>
    </cfRule>
  </conditionalFormatting>
  <conditionalFormatting sqref="AG84;E84;J84">
    <cfRule type="expression" dxfId="1924" priority="458" stopIfTrue="1">
      <formula>IF(OR(#REF!="not",#REF!="resign",#REF!="resign",#REF!="end",#REF!="terminated",#REF!="permanent"),"TRUE","FALSE")</formula>
    </cfRule>
  </conditionalFormatting>
  <conditionalFormatting sqref="AO84">
    <cfRule type="expression" dxfId="1925" priority="459" stopIfTrue="1">
      <formula>IF(OR($BF84="not",$BF84="resign",$BF84="resign",$BF84="end",$BF84="terminated",$BF84="permanent"),"TRUE","FALSE")</formula>
    </cfRule>
  </conditionalFormatting>
  <conditionalFormatting sqref="AL84:AN84">
    <cfRule type="expression" dxfId="1926" priority="460" stopIfTrue="1">
      <formula>IF(OR(#REF!="not",#REF!="resign",#REF!="resign",#REF!="end",#REF!="terminated",#REF!="permanent"),"TRUE","FALSE")</formula>
    </cfRule>
  </conditionalFormatting>
  <conditionalFormatting sqref="F84:G84">
    <cfRule type="expression" dxfId="1927" priority="461" stopIfTrue="1">
      <formula>IF(OR(#REF!="not",#REF!="resign",#REF!="resign",#REF!="end",#REF!="terminated",#REF!="permanent"),"TRUE","FALSE")</formula>
    </cfRule>
  </conditionalFormatting>
  <conditionalFormatting sqref="AH84:AK84">
    <cfRule type="expression" dxfId="1928" priority="462" stopIfTrue="1">
      <formula>IF(OR(#REF!="not",#REF!="resign",#REF!="resign",#REF!="end",#REF!="terminated",#REF!="permanent"),"TRUE","FALSE")</formula>
    </cfRule>
  </conditionalFormatting>
  <conditionalFormatting sqref="H84">
    <cfRule type="expression" dxfId="1929" priority="463" stopIfTrue="1">
      <formula>NOT(ISERROR(SEARCH("it analyst",H84)))</formula>
    </cfRule>
  </conditionalFormatting>
  <conditionalFormatting sqref="B84">
    <cfRule type="expression" dxfId="1930" priority="464" stopIfTrue="1">
      <formula>IF(OR(#REF!="not",#REF!="resign",#REF!="resign",#REF!="end",#REF!="terminated",#REF!="permanent"),"TRUE","FALSE")</formula>
    </cfRule>
  </conditionalFormatting>
  <conditionalFormatting sqref="Y67:Z73;Y81:Z85">
    <cfRule type="expression" dxfId="1931" priority="465" stopIfTrue="1">
      <formula>IF(OR(#REF!="not",#REF!="resign",#REF!="resign",#REF!="end",#REF!="terminated",#REF!="permanent"),"TRUE","FALSE")</formula>
    </cfRule>
  </conditionalFormatting>
  <conditionalFormatting sqref="J73;F73:G73">
    <cfRule type="expression" dxfId="1932" priority="466" stopIfTrue="1">
      <formula>IF(OR(#REF!="not",#REF!="resign",#REF!="resign",#REF!="end",#REF!="terminated",#REF!="permanent"),"TRUE","FALSE")</formula>
    </cfRule>
  </conditionalFormatting>
  <conditionalFormatting sqref="Y68:Z68">
    <cfRule type="expression" dxfId="1933" priority="467" stopIfTrue="1">
      <formula>IF(OR(#REF!="not",#REF!="resign",#REF!="resign",#REF!="end",#REF!="terminated",#REF!="permanent"),"TRUE","FALSE")</formula>
    </cfRule>
  </conditionalFormatting>
  <conditionalFormatting sqref="Y69:Z71">
    <cfRule type="expression" dxfId="1934" priority="468" stopIfTrue="1">
      <formula>IF(OR(#REF!="not",#REF!="resign",#REF!="resign",#REF!="end",#REF!="terminated",#REF!="permanent"),"TRUE","FALSE")</formula>
    </cfRule>
  </conditionalFormatting>
  <conditionalFormatting sqref="Y69:Z72">
    <cfRule type="expression" dxfId="1935" priority="469" stopIfTrue="1">
      <formula>IF(OR(#REF!="not",#REF!="resign",#REF!="resign",#REF!="end",#REF!="terminated",#REF!="permanent"),"TRUE","FALSE")</formula>
    </cfRule>
    <cfRule type="expression" dxfId="1936" priority="470" stopIfTrue="1">
      <formula>IF(OR(#REF!="not",#REF!="resign",#REF!="resign",#REF!="end",#REF!="terminated",#REF!="permanent"),"TRUE","FALSE")</formula>
    </cfRule>
  </conditionalFormatting>
  <conditionalFormatting sqref="F74:G75;Y67:Z68;J74:J75">
    <cfRule type="expression" dxfId="1937" priority="471" stopIfTrue="1">
      <formula>IF(OR(#REF!="not",#REF!="resign",#REF!="resign",#REF!="end",#REF!="terminated",#REF!="permanent"),"TRUE","FALSE")</formula>
    </cfRule>
  </conditionalFormatting>
  <conditionalFormatting sqref="Y67:Z72">
    <cfRule type="expression" dxfId="1938" priority="472" stopIfTrue="1">
      <formula>IF(OR(#REF!="not",#REF!="resign",#REF!="resign",#REF!="end",#REF!="terminated",#REF!="permanent"),"TRUE","FALSE")</formula>
    </cfRule>
  </conditionalFormatting>
  <conditionalFormatting sqref="Y67:Z68">
    <cfRule type="expression" dxfId="1939" priority="473" stopIfTrue="1">
      <formula>IF(OR(#REF!="not",#REF!="resign",#REF!="resign",#REF!="end",#REF!="terminated",#REF!="permanent"),"TRUE","FALSE")</formula>
    </cfRule>
  </conditionalFormatting>
  <conditionalFormatting sqref="F71:G72;J71:J72">
    <cfRule type="expression" dxfId="1940" priority="474" stopIfTrue="1">
      <formula>IF(OR(#REF!="not",#REF!="resign",#REF!="resign",#REF!="end",#REF!="terminated",#REF!="permanent"),"TRUE","FALSE")</formula>
    </cfRule>
  </conditionalFormatting>
  <conditionalFormatting sqref="J73">
    <cfRule type="expression" dxfId="1941" priority="475" stopIfTrue="1">
      <formula>IF(OR(#REF!="not",#REF!="resign",#REF!="resign",#REF!="end",#REF!="terminated",#REF!="permanent"),"TRUE","FALSE")</formula>
    </cfRule>
  </conditionalFormatting>
  <conditionalFormatting sqref="Y73:Z73">
    <cfRule type="expression" dxfId="1942" priority="476" stopIfTrue="1">
      <formula>IF(OR(#REF!="not",#REF!="resign",#REF!="resign",#REF!="end",#REF!="terminated",#REF!="permanent"),"TRUE","FALSE")</formula>
    </cfRule>
    <cfRule type="expression" dxfId="1943" priority="477" stopIfTrue="1">
      <formula>IF(OR(#REF!="not",#REF!="resign",#REF!="resign",#REF!="end",#REF!="terminated",#REF!="permanent"),"TRUE","FALSE")</formula>
    </cfRule>
  </conditionalFormatting>
  <conditionalFormatting sqref="AD85">
    <cfRule type="expression" dxfId="1944" priority="478" stopIfTrue="1">
      <formula>IF(OR($BF85="not",$BF85="resign",$BF85="resign",$BF85="end",$BF85="terminated",$BF85="permanent"),"TRUE","FALSE")</formula>
    </cfRule>
  </conditionalFormatting>
  <conditionalFormatting sqref="I85">
    <cfRule type="expression" dxfId="1945" priority="479" stopIfTrue="1">
      <formula>IF(OR($BF85="not",$BF85="resign",$BF85="resign",$BF85="end",$BF85="terminated",$BF85="permanent"),"TRUE","FALSE")</formula>
    </cfRule>
  </conditionalFormatting>
  <conditionalFormatting sqref="AG85;E85;J85">
    <cfRule type="expression" dxfId="1946" priority="480" stopIfTrue="1">
      <formula>IF(OR(#REF!="not",#REF!="resign",#REF!="resign",#REF!="end",#REF!="terminated",#REF!="permanent"),"TRUE","FALSE")</formula>
    </cfRule>
  </conditionalFormatting>
  <conditionalFormatting sqref="AO85">
    <cfRule type="expression" dxfId="1947" priority="481" stopIfTrue="1">
      <formula>IF(OR($BF85="not",$BF85="resign",$BF85="resign",$BF85="end",$BF85="terminated",$BF85="permanent"),"TRUE","FALSE")</formula>
    </cfRule>
  </conditionalFormatting>
  <conditionalFormatting sqref="AL85:AN85">
    <cfRule type="expression" dxfId="1948" priority="482" stopIfTrue="1">
      <formula>IF(OR(#REF!="not",#REF!="resign",#REF!="resign",#REF!="end",#REF!="terminated",#REF!="permanent"),"TRUE","FALSE")</formula>
    </cfRule>
  </conditionalFormatting>
  <conditionalFormatting sqref="F85:G85">
    <cfRule type="expression" dxfId="1949" priority="483" stopIfTrue="1">
      <formula>IF(OR(#REF!="not",#REF!="resign",#REF!="resign",#REF!="end",#REF!="terminated",#REF!="permanent"),"TRUE","FALSE")</formula>
    </cfRule>
  </conditionalFormatting>
  <conditionalFormatting sqref="AH85:AK85">
    <cfRule type="expression" dxfId="1950" priority="484" stopIfTrue="1">
      <formula>IF(OR(#REF!="not",#REF!="resign",#REF!="resign",#REF!="end",#REF!="terminated",#REF!="permanent"),"TRUE","FALSE")</formula>
    </cfRule>
  </conditionalFormatting>
  <conditionalFormatting sqref="H85">
    <cfRule type="expression" dxfId="1951" priority="485" stopIfTrue="1">
      <formula>NOT(ISERROR(SEARCH("it analyst",H85)))</formula>
    </cfRule>
  </conditionalFormatting>
  <conditionalFormatting sqref="B85">
    <cfRule type="expression" dxfId="1952" priority="486" stopIfTrue="1">
      <formula>IF(OR(#REF!="not",#REF!="resign",#REF!="resign",#REF!="end",#REF!="terminated",#REF!="permanent"),"TRUE","FALSE")</formula>
    </cfRule>
  </conditionalFormatting>
  <conditionalFormatting sqref="AE85">
    <cfRule type="expression" dxfId="1953" priority="487" stopIfTrue="1">
      <formula>IF(OR($BF85="not",$BF85="resign",$BF85="resign",$BF85="end",$BF85="terminated",$BF85="permanent"),"TRUE","FALSE")</formula>
    </cfRule>
  </conditionalFormatting>
  <conditionalFormatting sqref="AF85">
    <cfRule type="expression" dxfId="1954" priority="488" stopIfTrue="1">
      <formula>IF(OR($BF85="not",$BF85="resign",$BF85="resign",$BF85="end",$BF85="terminated",$BF85="permanent"),"TRUE","FALSE")</formula>
    </cfRule>
  </conditionalFormatting>
  <conditionalFormatting sqref="Y74:Z74">
    <cfRule type="expression" dxfId="1955" priority="489" stopIfTrue="1">
      <formula>IF(OR(#REF!="not",#REF!="resign",#REF!="resign",#REF!="end",#REF!="terminated",#REF!="permanent"),"TRUE","FALSE")</formula>
    </cfRule>
    <cfRule type="expression" dxfId="1956" priority="490" stopIfTrue="1">
      <formula>IF(OR(#REF!="not",#REF!="resign",#REF!="resign",#REF!="end",#REF!="terminated",#REF!="permanent"),"TRUE","FALSE")</formula>
    </cfRule>
  </conditionalFormatting>
  <conditionalFormatting sqref="Y74:Z75">
    <cfRule type="expression" dxfId="1957" priority="491" stopIfTrue="1">
      <formula>IF(OR(#REF!="not",#REF!="resign",#REF!="resign",#REF!="end",#REF!="terminated",#REF!="permanent"),"TRUE","FALSE")</formula>
    </cfRule>
    <cfRule type="expression" dxfId="1958" priority="492" stopIfTrue="1">
      <formula>IF(OR(#REF!="not",#REF!="resign",#REF!="resign",#REF!="end",#REF!="terminated",#REF!="permanent"),"TRUE","FALSE")</formula>
    </cfRule>
  </conditionalFormatting>
  <conditionalFormatting sqref="Y75:Z76">
    <cfRule type="expression" dxfId="1959" priority="493" stopIfTrue="1">
      <formula>IF(OR(#REF!="not",#REF!="resign",#REF!="resign",#REF!="end",#REF!="terminated",#REF!="permanent"),"TRUE","FALSE")</formula>
    </cfRule>
    <cfRule type="expression" dxfId="1960" priority="494" stopIfTrue="1">
      <formula>IF(OR(#REF!="not",#REF!="resign",#REF!="resign",#REF!="end",#REF!="terminated",#REF!="permanent"),"TRUE","FALSE")</formula>
    </cfRule>
  </conditionalFormatting>
  <conditionalFormatting sqref="Y76:Z76">
    <cfRule type="expression" dxfId="1961" priority="495" stopIfTrue="1">
      <formula>IF(OR(#REF!="not",#REF!="resign",#REF!="resign",#REF!="end",#REF!="terminated",#REF!="permanent"),"TRUE","FALSE")</formula>
    </cfRule>
    <cfRule type="expression" dxfId="1962" priority="496" stopIfTrue="1">
      <formula>IF(OR(#REF!="not",#REF!="resign",#REF!="resign",#REF!="end",#REF!="terminated",#REF!="permanent"),"TRUE","FALSE")</formula>
    </cfRule>
  </conditionalFormatting>
  <conditionalFormatting sqref="J78:J79">
    <cfRule type="expression" dxfId="1963" priority="497" stopIfTrue="1">
      <formula>IF(OR(#REF!="not",#REF!="resign",#REF!="resign",#REF!="end",#REF!="terminated",#REF!="permanent"),"TRUE","FALSE")</formula>
    </cfRule>
  </conditionalFormatting>
  <conditionalFormatting sqref="J83:J84">
    <cfRule type="expression" dxfId="1964" priority="498" stopIfTrue="1">
      <formula>IF(OR(#REF!="not",#REF!="resign",#REF!="resign",#REF!="end",#REF!="terminated",#REF!="permanent"),"TRUE","FALSE")</formula>
    </cfRule>
  </conditionalFormatting>
  <conditionalFormatting sqref="J79:J80">
    <cfRule type="expression" dxfId="1965" priority="499" stopIfTrue="1">
      <formula>IF(OR(#REF!="not",#REF!="resign",#REF!="resign",#REF!="end",#REF!="terminated",#REF!="permanent"),"TRUE","FALSE")</formula>
    </cfRule>
  </conditionalFormatting>
  <conditionalFormatting sqref="F132:G132">
    <cfRule type="expression" dxfId="1966" priority="500" stopIfTrue="1">
      <formula>IF(OR($BF86="not",$BF86="resign",$BF86="resign",$BF86="end",$BF86="terminated",$BF86="permanent"),"TRUE","FALSE")</formula>
    </cfRule>
  </conditionalFormatting>
  <conditionalFormatting sqref="Y86:Z86">
    <cfRule type="expression" dxfId="1967" priority="501" stopIfTrue="1">
      <formula>IF(OR(#REF!="not",#REF!="resign",#REF!="resign",#REF!="end",#REF!="terminated",#REF!="permanent"),"TRUE","FALSE")</formula>
    </cfRule>
    <cfRule type="expression" dxfId="1968" priority="502" stopIfTrue="1">
      <formula>IF(OR(#REF!="not",#REF!="resign",#REF!="resign",#REF!="end",#REF!="terminated",#REF!="permanent"),"TRUE","FALSE")</formula>
    </cfRule>
    <cfRule type="expression" dxfId="1969" priority="503" stopIfTrue="1">
      <formula>IF(OR(#REF!="not",#REF!="resign",#REF!="resign",#REF!="end",#REF!="terminated",#REF!="permanent"),"TRUE","FALSE")</formula>
    </cfRule>
  </conditionalFormatting>
  <conditionalFormatting sqref="J80:J81">
    <cfRule type="expression" dxfId="1970" priority="504" stopIfTrue="1">
      <formula>IF(OR(#REF!="not",#REF!="resign",#REF!="resign",#REF!="end",#REF!="terminated",#REF!="permanent"),"TRUE","FALSE")</formula>
    </cfRule>
  </conditionalFormatting>
  <conditionalFormatting sqref="J82:J83">
    <cfRule type="expression" dxfId="1971" priority="505" stopIfTrue="1">
      <formula>IF(OR(#REF!="not",#REF!="resign",#REF!="resign",#REF!="end",#REF!="terminated",#REF!="permanent"),"TRUE","FALSE")</formula>
    </cfRule>
  </conditionalFormatting>
  <conditionalFormatting sqref="AD126:AE126">
    <cfRule type="expression" dxfId="1972" priority="506" stopIfTrue="1">
      <formula>IF(OR($BF126="not",$BF126="resign",$BF126="resign",$BF126="end",$BF126="terminated",$BF126="permanent"),"TRUE","FALSE")</formula>
    </cfRule>
  </conditionalFormatting>
  <conditionalFormatting sqref="AF126">
    <cfRule type="expression" dxfId="1973" priority="507" stopIfTrue="1">
      <formula>IF(OR($BF126="not",$BF126="resign",$BF126="resign",$BF126="end",$BF126="terminated",$BF126="permanent"),"TRUE","FALSE")</formula>
    </cfRule>
  </conditionalFormatting>
  <conditionalFormatting sqref="AH126:AO126">
    <cfRule type="expression" dxfId="1974" priority="508" stopIfTrue="1">
      <formula>IF(OR($BF126="not",$BF126="resign",$BF126="resign",$BF126="end",$BF126="terminated",$BF126="permanent"),"TRUE","FALSE")</formula>
    </cfRule>
  </conditionalFormatting>
  <conditionalFormatting sqref="J126">
    <cfRule type="expression" dxfId="1975" priority="509" stopIfTrue="1">
      <formula>IF(OR($BF138="not",$BF138="resign",$BF138="resign",$BF138="end",$BF138="terminated",$BF138="permanent"),"TRUE","FALSE")</formula>
    </cfRule>
  </conditionalFormatting>
  <conditionalFormatting sqref="F126:G126">
    <cfRule type="expression" dxfId="1976" priority="510" stopIfTrue="1">
      <formula>IF(OR($BF126="not",$BF126="resign",$BF126="resign",$BF126="end",$BF126="terminated",$BF126="permanent"),"TRUE","FALSE")</formula>
    </cfRule>
  </conditionalFormatting>
  <conditionalFormatting sqref="Y126:Z126">
    <cfRule type="expression" dxfId="1977" priority="511" stopIfTrue="1">
      <formula>IF(OR($BF139="not",$BF139="resign",$BF139="resign",$BF139="end",$BF139="terminated",$BF139="permanent"),"TRUE","FALSE")</formula>
    </cfRule>
  </conditionalFormatting>
  <conditionalFormatting sqref="H126">
    <cfRule type="expression" dxfId="1978" priority="512" stopIfTrue="1">
      <formula>NOT(ISERROR(SEARCH("it analyst",H126)))</formula>
    </cfRule>
  </conditionalFormatting>
  <conditionalFormatting sqref="A126;Y126:Z126">
    <cfRule type="expression" dxfId="1979" priority="513" stopIfTrue="1">
      <formula>IF(OR(#REF!="not",#REF!="resign",#REF!="resign",#REF!="end",#REF!="terminated",#REF!="permanent"),"TRUE","FALSE")</formula>
    </cfRule>
    <cfRule type="expression" dxfId="1980" priority="514" stopIfTrue="1">
      <formula>IF(OR(#REF!="not",#REF!="resign",#REF!="resign",#REF!="end",#REF!="terminated",#REF!="permanent"),"TRUE","FALSE")</formula>
    </cfRule>
    <cfRule type="expression" dxfId="1981" priority="515" stopIfTrue="1">
      <formula>IF(OR(#REF!="not",#REF!="resign",#REF!="resign",#REF!="end",#REF!="terminated",#REF!="permanent"),"TRUE","FALSE")</formula>
    </cfRule>
  </conditionalFormatting>
  <conditionalFormatting sqref="A126">
    <cfRule type="expression" dxfId="1982" priority="516" stopIfTrue="1">
      <formula>IF(OR(#REF!="not",#REF!="resign",#REF!="resign",#REF!="end",#REF!="terminated",#REF!="permanent"),"TRUE","FALSE")</formula>
    </cfRule>
    <cfRule type="expression" dxfId="1983" priority="517" stopIfTrue="1">
      <formula>IF(OR(#REF!="not",#REF!="resign",#REF!="resign",#REF!="end",#REF!="terminated",#REF!="permanent"),"TRUE","FALSE")</formula>
    </cfRule>
    <cfRule type="expression" dxfId="1984" priority="518" stopIfTrue="1">
      <formula>IF(OR(#REF!="not",#REF!="resign",#REF!="resign",#REF!="end",#REF!="terminated",#REF!="permanent"),"TRUE","FALSE")</formula>
    </cfRule>
  </conditionalFormatting>
  <conditionalFormatting sqref="F126:G126;J126">
    <cfRule type="expression" dxfId="1985" priority="519" stopIfTrue="1">
      <formula>IF(OR(#REF!="not",#REF!="resign",#REF!="resign",#REF!="end",#REF!="terminated",#REF!="permanent"),"TRUE","FALSE")</formula>
    </cfRule>
  </conditionalFormatting>
  <conditionalFormatting sqref="I125">
    <cfRule type="expression" dxfId="1986" priority="520" stopIfTrue="1">
      <formula>IF(OR($BF125="not",$BF125="resign",$BF125="resign",$BF125="end",$BF125="terminated",$BF125="permanent"),"TRUE","FALSE")</formula>
    </cfRule>
  </conditionalFormatting>
  <conditionalFormatting sqref="AF125:AG125;E125:G125;Y125:Z125;I125:J125;A125">
    <cfRule type="expression" dxfId="1987" priority="521" stopIfTrue="1">
      <formula>IF(OR(#REF!="not",#REF!="resign",#REF!="resign",#REF!="end",#REF!="terminated",#REF!="permanent"),"TRUE","FALSE")</formula>
    </cfRule>
  </conditionalFormatting>
  <conditionalFormatting sqref="A125">
    <cfRule type="expression" dxfId="1988" priority="522" stopIfTrue="1">
      <formula>IF(OR(#REF!="not",#REF!="resign",#REF!="resign",#REF!="end",#REF!="terminated",#REF!="permanent"),"TRUE","FALSE")</formula>
    </cfRule>
    <cfRule type="expression" dxfId="1989" priority="523" stopIfTrue="1">
      <formula>IF(OR(#REF!="not",#REF!="resign",#REF!="resign",#REF!="end",#REF!="terminated",#REF!="permanent"),"TRUE","FALSE")</formula>
    </cfRule>
    <cfRule type="expression" dxfId="1990" priority="524" stopIfTrue="1">
      <formula>IF(OR(#REF!="not",#REF!="resign",#REF!="resign",#REF!="end",#REF!="terminated",#REF!="permanent"),"TRUE","FALSE")</formula>
    </cfRule>
  </conditionalFormatting>
  <conditionalFormatting sqref="F125:G125;J125;Y125:Z125;A125">
    <cfRule type="expression" dxfId="1991" priority="525" stopIfTrue="1">
      <formula>IF(OR(#REF!="not",#REF!="resign",#REF!="resign",#REF!="end",#REF!="terminated",#REF!="permanent"),"TRUE","FALSE")</formula>
    </cfRule>
  </conditionalFormatting>
  <conditionalFormatting sqref="H125">
    <cfRule type="expression" dxfId="1992" priority="526" stopIfTrue="1">
      <formula>NOT(ISERROR(SEARCH("it analyst",H125)))</formula>
    </cfRule>
  </conditionalFormatting>
  <conditionalFormatting sqref="Z125">
    <cfRule type="expression" dxfId="1993" priority="527" stopIfTrue="1">
      <formula>NOT(ISERROR(SEARCH("warning",Z125)))</formula>
    </cfRule>
  </conditionalFormatting>
  <conditionalFormatting sqref="Y30:Z31">
    <cfRule type="expression" dxfId="1994" priority="528" stopIfTrue="1">
      <formula>IF(OR(#REF!="not",#REF!="resign",#REF!="resign",#REF!="end",#REF!="terminated",#REF!="permanent"),"TRUE","FALSE")</formula>
    </cfRule>
    <cfRule type="expression" dxfId="1995" priority="529" stopIfTrue="1">
      <formula>IF(OR(#REF!="not",#REF!="resign",#REF!="resign",#REF!="end",#REF!="terminated",#REF!="permanent"),"TRUE","FALSE")</formula>
    </cfRule>
    <cfRule type="expression" dxfId="1996" priority="530" stopIfTrue="1">
      <formula>IF(OR($BF42="not",$BF42="resign",$BF42="resign",$BF42="end",$BF42="terminated",$BF42="permanent"),"TRUE","FALSE")</formula>
    </cfRule>
  </conditionalFormatting>
  <conditionalFormatting sqref="A30">
    <cfRule type="expression" dxfId="1997" priority="531" stopIfTrue="1">
      <formula>IF(OR(#REF!="not",#REF!="resign",#REF!="resign",#REF!="end",#REF!="terminated",#REF!="permanent"),"TRUE","FALSE")</formula>
    </cfRule>
  </conditionalFormatting>
  <conditionalFormatting sqref="A30;Y30:Z31">
    <cfRule type="expression" dxfId="1998" priority="532" stopIfTrue="1">
      <formula>IF(OR(#REF!="not",#REF!="resign",#REF!="resign",#REF!="end",#REF!="terminated",#REF!="permanent"),"TRUE","FALSE")</formula>
    </cfRule>
  </conditionalFormatting>
  <conditionalFormatting sqref="A30;A32;A34;Y30:Z37">
    <cfRule type="expression" dxfId="1999" priority="533" stopIfTrue="1">
      <formula>IF(OR(#REF!="not",#REF!="resign",#REF!="resign",#REF!="end",#REF!="terminated",#REF!="permanent"),"TRUE","FALSE")</formula>
    </cfRule>
  </conditionalFormatting>
  <conditionalFormatting sqref="Z30:Z31">
    <cfRule type="expression" dxfId="2000" priority="534" stopIfTrue="1">
      <formula>NOT(ISERROR(SEARCH("warning",Z30)))</formula>
    </cfRule>
  </conditionalFormatting>
  <conditionalFormatting sqref="Y30:Z37">
    <cfRule type="expression" dxfId="2001" priority="535" stopIfTrue="1">
      <formula>IF(OR(#REF!="not",#REF!="resign",#REF!="resign",#REF!="end",#REF!="terminated",#REF!="permanent"),"TRUE","FALSE")</formula>
    </cfRule>
    <cfRule type="expression" dxfId="2002" priority="536" stopIfTrue="1">
      <formula>IF(OR(#REF!="not",#REF!="resign",#REF!="resign",#REF!="end",#REF!="terminated",#REF!="permanent"),"TRUE","FALSE")</formula>
    </cfRule>
    <cfRule type="expression" dxfId="2003" priority="537" stopIfTrue="1">
      <formula>IF(OR(#REF!="not",#REF!="resign",#REF!="resign",#REF!="end",#REF!="terminated",#REF!="permanent"),"TRUE","FALSE")</formula>
    </cfRule>
  </conditionalFormatting>
  <conditionalFormatting sqref="AD30">
    <cfRule type="expression" dxfId="2004" priority="538" stopIfTrue="1">
      <formula>IF(OR($BF30="not",$BF30="resign",$BF30="resign",$BF30="end",$BF30="terminated",$BF30="permanent"),"TRUE","FALSE")</formula>
    </cfRule>
  </conditionalFormatting>
  <conditionalFormatting sqref="AG30;E30;J30">
    <cfRule type="expression" dxfId="2005" priority="539" stopIfTrue="1">
      <formula>IF(OR(#REF!="not",#REF!="resign",#REF!="resign",#REF!="end",#REF!="terminated",#REF!="permanent"),"TRUE","FALSE")</formula>
    </cfRule>
  </conditionalFormatting>
  <conditionalFormatting sqref="AO30">
    <cfRule type="expression" dxfId="2006" priority="540" stopIfTrue="1">
      <formula>IF(OR($BF30="not",$BF30="resign",$BF30="resign",$BF30="end",$BF30="terminated",$BF30="permanent"),"TRUE","FALSE")</formula>
    </cfRule>
  </conditionalFormatting>
  <conditionalFormatting sqref="AL30:AN30">
    <cfRule type="expression" dxfId="2007" priority="541" stopIfTrue="1">
      <formula>IF(OR(#REF!="not",#REF!="resign",#REF!="resign",#REF!="end",#REF!="terminated",#REF!="permanent"),"TRUE","FALSE")</formula>
    </cfRule>
  </conditionalFormatting>
  <conditionalFormatting sqref="F30:G30">
    <cfRule type="expression" dxfId="2008" priority="542" stopIfTrue="1">
      <formula>IF(OR(#REF!="not",#REF!="resign",#REF!="resign",#REF!="end",#REF!="terminated",#REF!="permanent"),"TRUE","FALSE")</formula>
    </cfRule>
  </conditionalFormatting>
  <conditionalFormatting sqref="AH30:AK30">
    <cfRule type="expression" dxfId="2009" priority="543" stopIfTrue="1">
      <formula>IF(OR(#REF!="not",#REF!="resign",#REF!="resign",#REF!="end",#REF!="terminated",#REF!="permanent"),"TRUE","FALSE")</formula>
    </cfRule>
  </conditionalFormatting>
  <conditionalFormatting sqref="H30">
    <cfRule type="expression" dxfId="2010" priority="544" stopIfTrue="1">
      <formula>NOT(ISERROR(SEARCH("it analyst",H30)))</formula>
    </cfRule>
  </conditionalFormatting>
  <conditionalFormatting sqref="B30">
    <cfRule type="expression" dxfId="2011" priority="545" stopIfTrue="1">
      <formula>IF(OR(#REF!="not",#REF!="resign",#REF!="resign",#REF!="end",#REF!="terminated",#REF!="permanent"),"TRUE","FALSE")</formula>
    </cfRule>
  </conditionalFormatting>
  <conditionalFormatting sqref="AE30">
    <cfRule type="expression" dxfId="2012" priority="546" stopIfTrue="1">
      <formula>IF(OR($BF30="not",$BF30="resign",$BF30="resign",$BF30="end",$BF30="terminated",$BF30="permanent"),"TRUE","FALSE")</formula>
    </cfRule>
  </conditionalFormatting>
  <conditionalFormatting sqref="AF30">
    <cfRule type="expression" dxfId="2013" priority="547" stopIfTrue="1">
      <formula>IF(OR($BF30="not",$BF30="resign",$BF30="resign",$BF30="end",$BF30="terminated",$BF30="permanent"),"TRUE","FALSE")</formula>
    </cfRule>
  </conditionalFormatting>
  <conditionalFormatting sqref="J78">
    <cfRule type="expression" dxfId="2014" priority="548" stopIfTrue="1">
      <formula>IF(OR(#REF!="not",#REF!="resign",#REF!="resign",#REF!="end",#REF!="terminated",#REF!="permanent"),"TRUE","FALSE")</formula>
    </cfRule>
  </conditionalFormatting>
  <conditionalFormatting sqref="C30">
    <cfRule type="expression" dxfId="2015" priority="549" stopIfTrue="1">
      <formula>IF(OR($BF30="not",$BF30="resign",$BF30="resign",$BF30="end",$BF30="terminated",$BF30="permanent"),"TRUE","FALSE")</formula>
    </cfRule>
  </conditionalFormatting>
  <conditionalFormatting sqref="I30">
    <cfRule type="expression" dxfId="2016" priority="550" stopIfTrue="1">
      <formula>IF(OR(#REF!="not",#REF!="resign",#REF!="resign",#REF!="end",#REF!="terminated",#REF!="permanent"),"TRUE","FALSE")</formula>
    </cfRule>
  </conditionalFormatting>
  <conditionalFormatting sqref="Y77">
    <cfRule type="expression" dxfId="2017" priority="551" stopIfTrue="1">
      <formula>IF(OR(#REF!="not",#REF!="resign",#REF!="resign",#REF!="end",#REF!="terminated",#REF!="permanent"),"TRUE","FALSE")</formula>
    </cfRule>
  </conditionalFormatting>
  <conditionalFormatting sqref="J84">
    <cfRule type="expression" dxfId="2018" priority="552" stopIfTrue="1">
      <formula>IF(OR(#REF!="not",#REF!="resign",#REF!="resign",#REF!="end",#REF!="terminated",#REF!="permanent"),"TRUE","FALSE")</formula>
    </cfRule>
  </conditionalFormatting>
  <conditionalFormatting sqref="AD86">
    <cfRule type="expression" dxfId="2019" priority="553" stopIfTrue="1">
      <formula>IF(OR($BF86="not",$BF86="resign",$BF86="resign",$BF86="end",$BF86="terminated",$BF86="permanent"),"TRUE","FALSE")</formula>
    </cfRule>
  </conditionalFormatting>
  <conditionalFormatting sqref="AG86;E86;J86">
    <cfRule type="expression" dxfId="2020" priority="554" stopIfTrue="1">
      <formula>IF(OR(#REF!="not",#REF!="resign",#REF!="resign",#REF!="end",#REF!="terminated",#REF!="permanent"),"TRUE","FALSE")</formula>
    </cfRule>
  </conditionalFormatting>
  <conditionalFormatting sqref="AO86">
    <cfRule type="expression" dxfId="2021" priority="555" stopIfTrue="1">
      <formula>IF(OR($BF86="not",$BF86="resign",$BF86="resign",$BF86="end",$BF86="terminated",$BF86="permanent"),"TRUE","FALSE")</formula>
    </cfRule>
  </conditionalFormatting>
  <conditionalFormatting sqref="AL86:AN86">
    <cfRule type="expression" dxfId="2022" priority="556" stopIfTrue="1">
      <formula>IF(OR(#REF!="not",#REF!="resign",#REF!="resign",#REF!="end",#REF!="terminated",#REF!="permanent"),"TRUE","FALSE")</formula>
    </cfRule>
  </conditionalFormatting>
  <conditionalFormatting sqref="F86:G86">
    <cfRule type="expression" dxfId="2023" priority="557" stopIfTrue="1">
      <formula>IF(OR(#REF!="not",#REF!="resign",#REF!="resign",#REF!="end",#REF!="terminated",#REF!="permanent"),"TRUE","FALSE")</formula>
    </cfRule>
  </conditionalFormatting>
  <conditionalFormatting sqref="AH86:AK86">
    <cfRule type="expression" dxfId="2024" priority="558" stopIfTrue="1">
      <formula>IF(OR(#REF!="not",#REF!="resign",#REF!="resign",#REF!="end",#REF!="terminated",#REF!="permanent"),"TRUE","FALSE")</formula>
    </cfRule>
  </conditionalFormatting>
  <conditionalFormatting sqref="H86">
    <cfRule type="expression" dxfId="2025" priority="559" stopIfTrue="1">
      <formula>NOT(ISERROR(SEARCH("it analyst",H86)))</formula>
    </cfRule>
  </conditionalFormatting>
  <conditionalFormatting sqref="B86">
    <cfRule type="expression" dxfId="2026" priority="560" stopIfTrue="1">
      <formula>IF(OR(#REF!="not",#REF!="resign",#REF!="resign",#REF!="end",#REF!="terminated",#REF!="permanent"),"TRUE","FALSE")</formula>
    </cfRule>
  </conditionalFormatting>
  <conditionalFormatting sqref="AE86">
    <cfRule type="expression" dxfId="2027" priority="561" stopIfTrue="1">
      <formula>IF(OR($BF86="not",$BF86="resign",$BF86="resign",$BF86="end",$BF86="terminated",$BF86="permanent"),"TRUE","FALSE")</formula>
    </cfRule>
  </conditionalFormatting>
  <conditionalFormatting sqref="AF86">
    <cfRule type="expression" dxfId="2028" priority="562" stopIfTrue="1">
      <formula>IF(OR($BF86="not",$BF86="resign",$BF86="resign",$BF86="end",$BF86="terminated",$BF86="permanent"),"TRUE","FALSE")</formula>
    </cfRule>
  </conditionalFormatting>
  <conditionalFormatting sqref="I86">
    <cfRule type="expression" dxfId="2029" priority="563" stopIfTrue="1">
      <formula>IF(OR($BF86="not",$BF86="resign",$BF86="resign",$BF86="end",$BF86="terminated",$BF86="permanent"),"TRUE","FALSE")</formula>
    </cfRule>
  </conditionalFormatting>
  <conditionalFormatting sqref="I129">
    <cfRule type="expression" dxfId="2030" priority="564" stopIfTrue="1">
      <formula>IF(OR($BF129="not",$BF129="resign",$BF129="resign",$BF129="end",$BF129="terminated",$BF129="permanent"),"TRUE","FALSE")</formula>
    </cfRule>
  </conditionalFormatting>
  <conditionalFormatting sqref="AF127:AG129;E127:G129;I127:J129;Y127:Z129;A127:A129">
    <cfRule type="expression" dxfId="2031" priority="565" stopIfTrue="1">
      <formula>IF(OR(#REF!="not",#REF!="resign",#REF!="resign",#REF!="end",#REF!="terminated",#REF!="permanent"),"TRUE","FALSE")</formula>
    </cfRule>
  </conditionalFormatting>
  <conditionalFormatting sqref="AF127">
    <cfRule type="expression" dxfId="2032" priority="566" stopIfTrue="1">
      <formula>IF(OR($BF127="not",$BF127="resign",$BF127="resign",$BF127="end",$BF127="terminated",$BF127="permanent"),"TRUE","FALSE")</formula>
    </cfRule>
  </conditionalFormatting>
  <conditionalFormatting sqref="H127:H129">
    <cfRule type="expression" dxfId="2033" priority="567" stopIfTrue="1">
      <formula>NOT(ISERROR(SEARCH("it analyst",H127)))</formula>
    </cfRule>
  </conditionalFormatting>
  <conditionalFormatting sqref="Z127:Z129">
    <cfRule type="expression" dxfId="2034" priority="568" stopIfTrue="1">
      <formula>NOT(ISERROR(SEARCH("warning",Z127)))</formula>
    </cfRule>
  </conditionalFormatting>
  <conditionalFormatting sqref="C127">
    <cfRule type="expression" dxfId="2035" priority="569" stopIfTrue="1">
      <formula>IF(OR($BF127="not",$BF127="resign",$BF127="resign",$BF127="end",$BF127="terminated",$BF127="permanent"),"TRUE","FALSE")</formula>
    </cfRule>
  </conditionalFormatting>
  <conditionalFormatting sqref="A128:A129">
    <cfRule type="expression" dxfId="2036" priority="570" stopIfTrue="1">
      <formula>IF(OR(#REF!="not",#REF!="resign",#REF!="resign",#REF!="end",#REF!="terminated",#REF!="permanent"),"TRUE","FALSE")</formula>
    </cfRule>
  </conditionalFormatting>
  <conditionalFormatting sqref="F128:G129;J128:J129;Y128:Z129;A128:A129">
    <cfRule type="expression" dxfId="2037" priority="571" stopIfTrue="1">
      <formula>IF(OR(#REF!="not",#REF!="resign",#REF!="resign",#REF!="end",#REF!="terminated",#REF!="permanent"),"TRUE","FALSE")</formula>
    </cfRule>
  </conditionalFormatting>
  <conditionalFormatting sqref="A33;AF33;Y33:Z33">
    <cfRule type="expression" dxfId="2038" priority="572" stopIfTrue="1">
      <formula>IF(OR(#REF!="not",#REF!="resign",#REF!="resign",#REF!="end",#REF!="terminated",#REF!="permanent"),"TRUE","FALSE")</formula>
    </cfRule>
  </conditionalFormatting>
  <conditionalFormatting sqref="AD83">
    <cfRule type="expression" dxfId="2039" priority="573" stopIfTrue="1">
      <formula>IF(OR($BF83="not",$BF83="resign",$BF83="resign",$BF83="end",$BF83="terminated",$BF83="permanent"),"TRUE","FALSE")</formula>
    </cfRule>
  </conditionalFormatting>
  <conditionalFormatting sqref="Y131:Z132">
    <cfRule type="expression" dxfId="2040" priority="574" stopIfTrue="1">
      <formula>IF(OR(#REF!="not",#REF!="resign",#REF!="resign",#REF!="end",#REF!="terminated",#REF!="permanent"),"TRUE","FALSE")</formula>
    </cfRule>
    <cfRule type="expression" dxfId="2041" priority="575" stopIfTrue="1">
      <formula>IF(OR(#REF!="not",#REF!="resign",#REF!="resign",#REF!="end",#REF!="terminated",#REF!="permanent"),"TRUE","FALSE")</formula>
    </cfRule>
    <cfRule type="expression" dxfId="2042" priority="576" stopIfTrue="1">
      <formula>IF(OR(#REF!="not",#REF!="resign",#REF!="resign",#REF!="end",#REF!="terminated",#REF!="permanent"),"TRUE","FALSE")</formula>
    </cfRule>
  </conditionalFormatting>
  <conditionalFormatting sqref="Y131:Z132;A130:A133">
    <cfRule type="expression" dxfId="2043" priority="577" stopIfTrue="1">
      <formula>IF(OR(#REF!="not",#REF!="resign",#REF!="resign",#REF!="end",#REF!="terminated",#REF!="permanent"),"TRUE","FALSE")</formula>
    </cfRule>
    <cfRule type="expression" dxfId="2044" priority="578" stopIfTrue="1">
      <formula>IF(OR(#REF!="not",#REF!="resign",#REF!="resign",#REF!="end",#REF!="terminated",#REF!="permanent"),"TRUE","FALSE")</formula>
    </cfRule>
  </conditionalFormatting>
  <conditionalFormatting sqref="H130">
    <cfRule type="expression" dxfId="2045" priority="579" stopIfTrue="1">
      <formula>NOT(ISERROR(SEARCH("it analyst",H130)))</formula>
    </cfRule>
  </conditionalFormatting>
  <conditionalFormatting sqref="Z130:Z132">
    <cfRule type="expression" dxfId="2046" priority="580" stopIfTrue="1">
      <formula>NOT(ISERROR(SEARCH("warning",Z130)))</formula>
    </cfRule>
  </conditionalFormatting>
  <conditionalFormatting sqref="Y131:Y132">
    <cfRule type="expression" dxfId="2047" priority="581" stopIfTrue="1">
      <formula>IF(OR($BF143="not",$BF143="resign",$BF143="resign",$BF143="end",$BF143="terminated",$BF143="permanent"),"TRUE","FALSE")</formula>
    </cfRule>
  </conditionalFormatting>
  <conditionalFormatting sqref="J132">
    <cfRule type="expression" dxfId="2048" priority="582" stopIfTrue="1">
      <formula>IF(OR($BF134="not",$BF134="resign",$BF134="resign",$BF134="end",$BF134="terminated",$BF134="permanent"),"TRUE","FALSE")</formula>
    </cfRule>
  </conditionalFormatting>
  <conditionalFormatting sqref="AD131:AD132">
    <cfRule type="expression" dxfId="2049" priority="583" stopIfTrue="1">
      <formula>IF(OR($BF131="not",$BF131="resign",$BF131="resign",$BF131="end",$BF131="terminated",$BF131="permanent"),"TRUE","FALSE")</formula>
    </cfRule>
  </conditionalFormatting>
  <conditionalFormatting sqref="I131:I132">
    <cfRule type="expression" dxfId="2050" priority="584" stopIfTrue="1">
      <formula>IF(OR($BF131="not",$BF131="resign",$BF131="resign",$BF131="end",$BF131="terminated",$BF131="permanent"),"TRUE","FALSE")</formula>
    </cfRule>
  </conditionalFormatting>
  <conditionalFormatting sqref="AO131:AO132">
    <cfRule type="expression" dxfId="2051" priority="585" stopIfTrue="1">
      <formula>IF(OR($BF131="not",$BF131="resign",$BF131="resign",$BF131="end",$BF131="terminated",$BF131="permanent"),"TRUE","FALSE")</formula>
    </cfRule>
  </conditionalFormatting>
  <conditionalFormatting sqref="AL131:AN132">
    <cfRule type="expression" dxfId="2052" priority="586" stopIfTrue="1">
      <formula>IF(OR(#REF!="not",#REF!="resign",#REF!="resign",#REF!="end",#REF!="terminated",#REF!="permanent"),"TRUE","FALSE")</formula>
    </cfRule>
  </conditionalFormatting>
  <conditionalFormatting sqref="AH131:AK132">
    <cfRule type="expression" dxfId="2053" priority="587" stopIfTrue="1">
      <formula>IF(OR(#REF!="not",#REF!="resign",#REF!="resign",#REF!="end",#REF!="terminated",#REF!="permanent"),"TRUE","FALSE")</formula>
    </cfRule>
  </conditionalFormatting>
  <conditionalFormatting sqref="H131:H132">
    <cfRule type="expression" dxfId="2054" priority="588" stopIfTrue="1">
      <formula>NOT(ISERROR(SEARCH("it analyst",H131)))</formula>
    </cfRule>
  </conditionalFormatting>
  <conditionalFormatting sqref="B131:B132">
    <cfRule type="expression" dxfId="2055" priority="589" stopIfTrue="1">
      <formula>IF(OR(#REF!="not",#REF!="resign",#REF!="resign",#REF!="end",#REF!="terminated",#REF!="permanent"),"TRUE","FALSE")</formula>
    </cfRule>
  </conditionalFormatting>
  <conditionalFormatting sqref="AE131">
    <cfRule type="expression" dxfId="2056" priority="590" stopIfTrue="1">
      <formula>IF(OR($BF131="not",$BF131="resign",$BF131="resign",$BF131="end",$BF131="terminated",$BF131="permanent"),"TRUE","FALSE")</formula>
    </cfRule>
  </conditionalFormatting>
  <conditionalFormatting sqref="AF131">
    <cfRule type="expression" dxfId="2057" priority="591" stopIfTrue="1">
      <formula>IF(OR($BF131="not",$BF131="resign",$BF131="resign",$BF131="end",$BF131="terminated",$BF131="permanent"),"TRUE","FALSE")</formula>
    </cfRule>
  </conditionalFormatting>
  <conditionalFormatting sqref="AE132">
    <cfRule type="expression" dxfId="2058" priority="592" stopIfTrue="1">
      <formula>IF(OR($BF132="not",$BF132="resign",$BF132="resign",$BF132="end",$BF132="terminated",$BF132="permanent"),"TRUE","FALSE")</formula>
    </cfRule>
  </conditionalFormatting>
  <conditionalFormatting sqref="AF132">
    <cfRule type="expression" dxfId="2059" priority="593" stopIfTrue="1">
      <formula>IF(OR($BF132="not",$BF132="resign",$BF132="resign",$BF132="end",$BF132="terminated",$BF132="permanent"),"TRUE","FALSE")</formula>
    </cfRule>
  </conditionalFormatting>
  <conditionalFormatting sqref="Y133:Z133">
    <cfRule type="expression" dxfId="2060" priority="594" stopIfTrue="1">
      <formula>IF(OR($BF133="not",$BF133="resign",$BF133="resign",$BF133="end",$BF133="terminated",$BF133="permanent"),"TRUE","FALSE")</formula>
    </cfRule>
  </conditionalFormatting>
  <conditionalFormatting sqref="I133">
    <cfRule type="expression" dxfId="2061" priority="595" stopIfTrue="1">
      <formula>IF(OR($BF133="not",$BF133="resign",$BF133="resign",$BF133="end",$BF133="terminated",$BF133="permanent"),"TRUE","FALSE")</formula>
    </cfRule>
  </conditionalFormatting>
  <conditionalFormatting sqref="AD133">
    <cfRule type="expression" dxfId="2062" priority="596" stopIfTrue="1">
      <formula>IF(OR($BF133="not",$BF133="resign",$BF133="resign",$BF133="end",$BF133="terminated",$BF133="permanent"),"TRUE","FALSE")</formula>
    </cfRule>
  </conditionalFormatting>
  <conditionalFormatting sqref="AG133;E133;J133">
    <cfRule type="expression" dxfId="2063" priority="597" stopIfTrue="1">
      <formula>IF(OR(#REF!="not",#REF!="resign",#REF!="resign",#REF!="end",#REF!="terminated",#REF!="permanent"),"TRUE","FALSE")</formula>
    </cfRule>
  </conditionalFormatting>
  <conditionalFormatting sqref="AO133">
    <cfRule type="expression" dxfId="2064" priority="598" stopIfTrue="1">
      <formula>IF(OR($BF133="not",$BF133="resign",$BF133="resign",$BF133="end",$BF133="terminated",$BF133="permanent"),"TRUE","FALSE")</formula>
    </cfRule>
  </conditionalFormatting>
  <conditionalFormatting sqref="AL133:AN133">
    <cfRule type="expression" dxfId="2065" priority="599" stopIfTrue="1">
      <formula>IF(OR(#REF!="not",#REF!="resign",#REF!="resign",#REF!="end",#REF!="terminated",#REF!="permanent"),"TRUE","FALSE")</formula>
    </cfRule>
  </conditionalFormatting>
  <conditionalFormatting sqref="F133:G133">
    <cfRule type="expression" dxfId="2066" priority="600" stopIfTrue="1">
      <formula>IF(OR(#REF!="not",#REF!="resign",#REF!="resign",#REF!="end",#REF!="terminated",#REF!="permanent"),"TRUE","FALSE")</formula>
    </cfRule>
  </conditionalFormatting>
  <conditionalFormatting sqref="AH133:AK133">
    <cfRule type="expression" dxfId="2067" priority="601" stopIfTrue="1">
      <formula>IF(OR(#REF!="not",#REF!="resign",#REF!="resign",#REF!="end",#REF!="terminated",#REF!="permanent"),"TRUE","FALSE")</formula>
    </cfRule>
  </conditionalFormatting>
  <conditionalFormatting sqref="H133">
    <cfRule type="expression" dxfId="2068" priority="602" stopIfTrue="1">
      <formula>NOT(ISERROR(SEARCH("it analyst",H133)))</formula>
    </cfRule>
  </conditionalFormatting>
  <conditionalFormatting sqref="B133">
    <cfRule type="expression" dxfId="2069" priority="603" stopIfTrue="1">
      <formula>IF(OR(#REF!="not",#REF!="resign",#REF!="resign",#REF!="end",#REF!="terminated",#REF!="permanent"),"TRUE","FALSE")</formula>
    </cfRule>
  </conditionalFormatting>
  <conditionalFormatting sqref="AE133">
    <cfRule type="expression" dxfId="2070" priority="604" stopIfTrue="1">
      <formula>IF(OR($BF133="not",$BF133="resign",$BF133="resign",$BF133="end",$BF133="terminated",$BF133="permanent"),"TRUE","FALSE")</formula>
    </cfRule>
  </conditionalFormatting>
  <conditionalFormatting sqref="AF133">
    <cfRule type="expression" dxfId="2071" priority="605" stopIfTrue="1">
      <formula>IF(OR($BF133="not",$BF133="resign",$BF133="resign",$BF133="end",$BF133="terminated",$BF133="permanent"),"TRUE","FALSE")</formula>
    </cfRule>
  </conditionalFormatting>
  <conditionalFormatting sqref="J131">
    <cfRule type="expression" dxfId="2072" priority="606" stopIfTrue="1">
      <formula>IF(OR(#REF!="not",#REF!="resign",#REF!="resign",#REF!="end",#REF!="terminated",#REF!="permanent"),"TRUE","FALSE")</formula>
    </cfRule>
  </conditionalFormatting>
  <conditionalFormatting sqref="F131:G131">
    <cfRule type="expression" dxfId="2073" priority="607" stopIfTrue="1">
      <formula>IF(OR(#REF!="not",#REF!="resign",#REF!="resign",#REF!="end",#REF!="terminated",#REF!="permanent"),"TRUE","FALSE")</formula>
    </cfRule>
  </conditionalFormatting>
  <conditionalFormatting sqref="Y30:Y31">
    <cfRule type="expression" dxfId="2074" priority="608" stopIfTrue="1">
      <formula>IF(OR(#REF!="not",#REF!="resign",#REF!="resign",#REF!="end",#REF!="terminated",#REF!="permanent"),"TRUE","FALSE")</formula>
    </cfRule>
  </conditionalFormatting>
  <conditionalFormatting sqref="Y31:Z31">
    <cfRule type="expression" dxfId="2075" priority="609" stopIfTrue="1">
      <formula>IF(OR(#REF!="not",#REF!="resign",#REF!="resign",#REF!="end",#REF!="terminated",#REF!="permanent"),"TRUE","FALSE")</formula>
    </cfRule>
    <cfRule type="expression" dxfId="2076" priority="610" stopIfTrue="1">
      <formula>IF(OR(#REF!="not",#REF!="resign",#REF!="resign",#REF!="end",#REF!="terminated",#REF!="permanent"),"TRUE","FALSE")</formula>
    </cfRule>
    <cfRule type="expression" dxfId="2077" priority="611" stopIfTrue="1">
      <formula>IF(OR(#REF!="not",#REF!="resign",#REF!="resign",#REF!="end",#REF!="terminated",#REF!="permanent"),"TRUE","FALSE")</formula>
    </cfRule>
  </conditionalFormatting>
  <conditionalFormatting sqref="Z31">
    <cfRule type="expression" dxfId="2078" priority="612" stopIfTrue="1">
      <formula>NOT(ISERROR(SEARCH("warning",Z31)))</formula>
    </cfRule>
  </conditionalFormatting>
  <conditionalFormatting sqref="AD31">
    <cfRule type="expression" dxfId="2079" priority="613" stopIfTrue="1">
      <formula>IF(OR($BF31="not",$BF31="resign",$BF31="resign",$BF31="end",$BF31="terminated",$BF31="permanent"),"TRUE","FALSE")</formula>
    </cfRule>
  </conditionalFormatting>
  <conditionalFormatting sqref="AG31;E31;J31">
    <cfRule type="expression" dxfId="2080" priority="614" stopIfTrue="1">
      <formula>IF(OR(#REF!="not",#REF!="resign",#REF!="resign",#REF!="end",#REF!="terminated",#REF!="permanent"),"TRUE","FALSE")</formula>
    </cfRule>
  </conditionalFormatting>
  <conditionalFormatting sqref="AO31">
    <cfRule type="expression" dxfId="2081" priority="615" stopIfTrue="1">
      <formula>IF(OR($BF31="not",$BF31="resign",$BF31="resign",$BF31="end",$BF31="terminated",$BF31="permanent"),"TRUE","FALSE")</formula>
    </cfRule>
  </conditionalFormatting>
  <conditionalFormatting sqref="AL31:AN31">
    <cfRule type="expression" dxfId="2082" priority="616" stopIfTrue="1">
      <formula>IF(OR(#REF!="not",#REF!="resign",#REF!="resign",#REF!="end",#REF!="terminated",#REF!="permanent"),"TRUE","FALSE")</formula>
    </cfRule>
  </conditionalFormatting>
  <conditionalFormatting sqref="F31:G31">
    <cfRule type="expression" dxfId="2083" priority="617" stopIfTrue="1">
      <formula>IF(OR(#REF!="not",#REF!="resign",#REF!="resign",#REF!="end",#REF!="terminated",#REF!="permanent"),"TRUE","FALSE")</formula>
    </cfRule>
  </conditionalFormatting>
  <conditionalFormatting sqref="AH31:AK31">
    <cfRule type="expression" dxfId="2084" priority="618" stopIfTrue="1">
      <formula>IF(OR(#REF!="not",#REF!="resign",#REF!="resign",#REF!="end",#REF!="terminated",#REF!="permanent"),"TRUE","FALSE")</formula>
    </cfRule>
  </conditionalFormatting>
  <conditionalFormatting sqref="H31">
    <cfRule type="expression" dxfId="2085" priority="619" stopIfTrue="1">
      <formula>NOT(ISERROR(SEARCH("it analyst",H31)))</formula>
    </cfRule>
  </conditionalFormatting>
  <conditionalFormatting sqref="B31">
    <cfRule type="expression" dxfId="2086" priority="620" stopIfTrue="1">
      <formula>IF(OR(#REF!="not",#REF!="resign",#REF!="resign",#REF!="end",#REF!="terminated",#REF!="permanent"),"TRUE","FALSE")</formula>
    </cfRule>
  </conditionalFormatting>
  <conditionalFormatting sqref="C31">
    <cfRule type="expression" dxfId="2087" priority="621" stopIfTrue="1">
      <formula>IF(OR($BF31="not",$BF31="resign",$BF31="resign",$BF31="end",$BF31="terminated",$BF31="permanent"),"TRUE","FALSE")</formula>
    </cfRule>
  </conditionalFormatting>
  <conditionalFormatting sqref="AE31">
    <cfRule type="expression" dxfId="2088" priority="622" stopIfTrue="1">
      <formula>IF(OR(#REF!="not",#REF!="resign",#REF!="resign",#REF!="end",#REF!="terminated",#REF!="permanent"),"TRUE","FALSE")</formula>
    </cfRule>
  </conditionalFormatting>
  <conditionalFormatting sqref="Y31">
    <cfRule type="expression" dxfId="2089" priority="623" stopIfTrue="1">
      <formula>IF(OR(#REF!="not",#REF!="resign",#REF!="resign",#REF!="end",#REF!="terminated",#REF!="permanent"),"TRUE","FALSE")</formula>
    </cfRule>
  </conditionalFormatting>
  <conditionalFormatting sqref="I31">
    <cfRule type="expression" dxfId="2090" priority="624" stopIfTrue="1">
      <formula>IF(OR(#REF!="not",#REF!="resign",#REF!="resign",#REF!="end",#REF!="terminated",#REF!="permanent"),"TRUE","FALSE")</formula>
    </cfRule>
  </conditionalFormatting>
  <conditionalFormatting sqref="AF31">
    <cfRule type="expression" dxfId="2091" priority="625" stopIfTrue="1">
      <formula>IF(OR($BF31="not",$BF31="resign",$BF31="resign",$BF31="end",$BF31="terminated",$BF31="permanent"),"TRUE","FALSE")</formula>
    </cfRule>
  </conditionalFormatting>
  <hyperlinks>
    <hyperlink ref="AN14" location="" display="Citraayucahyaningtyas@rocketmail.com, ccahyani@its.jnj.com "/>
    <hyperlink ref="I151" location="" display="tsari@its.jnj.com"/>
    <hyperlink ref="AN16" location="" display="r.sucinugrahani@gmail.com, rnugraha@its.jnj.com"/>
    <hyperlink ref="AN17" location="" display="iralaen@gmail.com, isilaen@its.jnj.com"/>
    <hyperlink ref="AN18" location="" display="yahyamuhammad1993@gmail.com, myahya@its.jnj.com"/>
    <hyperlink ref="AN19" location="" display="juwitanurhasanah@ymail.com, jnurhasa@its.jnj.com"/>
    <hyperlink ref="AN44" location="" display="fsaid@its.jnj.com"/>
    <hyperlink ref="AN45" location="" display="elisabethnovitasari92@gmail.com, esari@its.jnj.com"/>
    <hyperlink ref="AN46" location="" display="abudiart@its.jnj.com"/>
    <hyperlink ref="AN47" location="" display="osarimay@its.jnj.com"/>
    <hyperlink ref="AN48" location="" display="sumarno@its.jnj.com"/>
    <hyperlink ref="AN55" location="" display="wwirdaya@its.jnj.com"/>
    <hyperlink ref="AN54" location="" display="shutagal@its.jnj.com"/>
    <hyperlink ref="AN49" location="" display="rnoviati@its.jnj.com"/>
    <hyperlink ref="AN50" location="" display="kdewi@its.jnj.com"/>
    <hyperlink ref="AN51" location="" display="glestari@its.jnj.com, glestari@its.jnj.com"/>
    <hyperlink ref="AN52" location="" display="sudaryan@its.jnj.com"/>
    <hyperlink ref="AN53" location="" display="spatmawa@its.jnj.com"/>
    <hyperlink ref="AN56" location="" display="hpurwani@its.jnj.com, h_sani@yahoo.com"/>
    <hyperlink ref="AN57" location="" display="fhidayat@its.jnj.com"/>
    <hyperlink ref="AN24" location="" display="sahara.candi@gmail.com, csahara@its.jnj.com"/>
    <hyperlink ref="AN23" location="" display="maryna.aulia@yahoo.co.id, maulia@its.jnj.com"/>
    <hyperlink ref="AN21" location="" display="aasharia@its.jnj.com"/>
    <hyperlink ref="AN20" location="" display="mwibowo2@its.jnj.com"/>
    <hyperlink ref="AN40" location="" display="wsetiadh@its.jnj.com"/>
    <hyperlink ref="AN58" location="" display="rronazy@its.jnj.com"/>
    <hyperlink ref="AN25" r:id="rId4" display="lsimbolo@its.jnj.com"/>
    <hyperlink ref="AN26" location="" display="awidiast@its.jnj.com, andwidiazti@gmail.com"/>
    <hyperlink ref="AN27" r:id="rId5" display="detisalsiah@gmail.com"/>
    <hyperlink ref="AN63" location="" display="husnirudini8@gmail.com"/>
    <hyperlink ref="AN62" location="" display="husnirudini8@gmail.com"/>
    <hyperlink ref="AN67" location="" display="iceboy.nada@gmail.com"/>
    <hyperlink ref="AN68" location="" display="p.dewi8@gmail.com"/>
    <hyperlink ref="AN28" location="" display="fnoviyan@its.jnj.com, fannynovv@gmail.com"/>
    <hyperlink ref="AN72" location="" display="ainam42@gmail.com, amardia@its.jnj.com"/>
    <hyperlink ref="AN74" location="" display="ainulmardiah319@gmail.com"/>
    <hyperlink ref="AN102" location="" display="rrosanaw@its.jnj.com, rere.rosana@gmail.com       "/>
    <hyperlink ref="AN78" location="" display="RADOSETIAWAN05101989@GMAIL.COM"/>
    <hyperlink ref="AN103" location="" display="arizkil1@its.jnj.com"/>
    <hyperlink ref="AN104" location="" display="dnariswa@its.jnj.com"/>
    <hyperlink ref="AN105" location="" display="reyzadylandy@ymail.com"/>
    <hyperlink ref="AN108" location="" display="msukiant@its.jnj.com"/>
    <hyperlink ref="AN112" location="" display="FMutmain@its.jnj.com"/>
    <hyperlink ref="AN80" location="" display="fauzan7n@gmail.com"/>
    <hyperlink ref="AN109" location="" display="didahut13@gmail.com"/>
    <hyperlink ref="AN111" location="" display="ayuzavania.av@gmail.com ; avania@its.jnj.com"/>
    <hyperlink ref="AN113" location="" display="vaiqnp@gmail.com, fpriambo@its.jnj.com"/>
    <hyperlink ref="AN114" location="" display="putriaryuni22@gmail.com"/>
    <hyperlink ref="AN115" location="" display="syafriliza.herianda@yahoo.com"/>
    <hyperlink ref="AN117" location="" display="mnugroho@its.jnj.com"/>
    <hyperlink ref="AN118" location="" display="nailarosada@gmail.com       "/>
    <hyperlink ref="AN119" location="" display="msukiant@its.jnj.com"/>
    <hyperlink ref="AN120" location="" display="rrestari@its.jnj.com, rieska.rieskaa@gmail.com"/>
    <hyperlink ref="AN121" location="" display="arsarismaandini@gmail.com, arizkiar@its.jnj.com"/>
    <hyperlink ref="AN122" location="" display="nsafitri@its.jnj.com"/>
    <hyperlink ref="AN123" location="" display="tyanafriliani@gmail.com"/>
    <hyperlink ref="AN29" location="" display="FMutmain@its.jnj.com"/>
    <hyperlink ref="AN81" r:id="rId6" display="SRUDYANT@its.jnj.com"/>
    <hyperlink ref="AN79" r:id="rId7" display="miswanismail@yahoo.com"/>
    <hyperlink ref="AN84" r:id="rId8" display="ihutape1@its.jnj.com"/>
    <hyperlink ref="AN126" location="" display="sulistiyaningsih94@gmail.com, ssulist2@its.jnj.com"/>
    <hyperlink ref="AN125" location="" display="yuel.09.yr@gmail.com"/>
    <hyperlink ref="AN86" r:id="rId9" display="lwinny@its.jnj.com"/>
    <hyperlink ref="AN129" location="" display="rangelia@its.jnj.com, rr01.angelia@gmail.com"/>
    <hyperlink ref="AN131" r:id="rId10" display="jsaputr@its.jnj.com"/>
    <hyperlink ref="AN132" r:id="rId11" display="ajaeni@its.jnj.com"/>
    <hyperlink ref="AN133" r:id="rId12" display="ferdyfirdaus85@gmail.com"/>
    <hyperlink ref="AN31" r:id="rId13" display="frederikania@gmail.com"/>
  </hyperlinks>
  <pageMargins left="0.699305555555556" right="0.699305555555556" top="0.75" bottom="0.75" header="0.3" footer="0.3"/>
  <pageSetup paperSize="1" orientation="portrait"/>
  <headerFooter/>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31"/>
  <sheetViews>
    <sheetView showGridLines="0" workbookViewId="0">
      <pane xSplit="3" ySplit="13" topLeftCell="D14" activePane="bottomRight" state="frozen"/>
      <selection/>
      <selection pane="topRight"/>
      <selection pane="bottomLeft"/>
      <selection pane="bottomRight" activeCell="N17" sqref="N17"/>
    </sheetView>
  </sheetViews>
  <sheetFormatPr defaultColWidth="9" defaultRowHeight="12.95" customHeight="1"/>
  <cols>
    <col min="1" max="1" width="3.425" style="2" customWidth="1"/>
    <col min="2" max="2" width="9.425" style="2" customWidth="1"/>
    <col min="3" max="3" width="14.1416666666667" style="2" customWidth="1"/>
    <col min="4" max="4" width="11.1416666666667" style="2" customWidth="1"/>
    <col min="5" max="5" width="3.56666666666667" style="2" customWidth="1"/>
    <col min="6" max="6" width="8.14166666666667" style="2" customWidth="1"/>
    <col min="7" max="7" width="12" style="2" customWidth="1"/>
    <col min="8" max="9" width="8.85833333333333" style="2" customWidth="1"/>
    <col min="10" max="10" width="8.70833333333333" style="2" customWidth="1"/>
    <col min="11" max="13" width="8.56666666666667" style="2" customWidth="1"/>
    <col min="14" max="14" width="8.85833333333333" style="2" customWidth="1"/>
    <col min="15" max="15" width="9.85833333333333" style="2" customWidth="1"/>
    <col min="16" max="17" width="10.1416666666667" style="2" customWidth="1"/>
    <col min="18" max="18" width="22.1416666666667" style="2" customWidth="1"/>
    <col min="19" max="19" width="19.8583333333333" style="2" customWidth="1"/>
    <col min="20" max="20" width="35" style="2" customWidth="1"/>
    <col min="21" max="21" width="13.1416666666667" style="2" customWidth="1"/>
    <col min="22" max="22" width="20.7083333333333" style="2" customWidth="1"/>
    <col min="23" max="23" width="17.2833333333333" style="2" customWidth="1"/>
    <col min="24" max="24" width="15" style="2" customWidth="1"/>
    <col min="25" max="25" width="10.425" style="2" customWidth="1"/>
    <col min="26" max="26" width="13" style="2" customWidth="1"/>
    <col min="27" max="27" width="28.5666666666667" style="2" customWidth="1"/>
    <col min="28" max="28" width="19.2833333333333" style="2" customWidth="1"/>
    <col min="29" max="16384" width="9.14166666666667" style="2"/>
  </cols>
  <sheetData>
    <row r="1" s="1" customFormat="1" hidden="1" customHeight="1" spans="1:27">
      <c r="A1" s="9"/>
      <c r="B1" s="9"/>
      <c r="C1" s="9"/>
      <c r="D1" s="9"/>
      <c r="E1" s="9"/>
      <c r="F1" s="9"/>
      <c r="W1" s="145" t="s">
        <v>11108</v>
      </c>
      <c r="X1" s="145"/>
      <c r="Y1" s="145"/>
      <c r="Z1" s="145"/>
      <c r="AA1" s="145"/>
    </row>
    <row r="2" s="1" customFormat="1" hidden="1" customHeight="1" spans="1:27">
      <c r="A2" s="9"/>
      <c r="B2" s="9"/>
      <c r="C2" s="9"/>
      <c r="D2" s="9"/>
      <c r="E2" s="9"/>
      <c r="F2" s="9"/>
      <c r="W2" s="146" t="s">
        <v>11109</v>
      </c>
      <c r="X2" s="146"/>
      <c r="Y2" s="146"/>
      <c r="Z2" s="146"/>
      <c r="AA2" s="146"/>
    </row>
    <row r="3" s="1" customFormat="1" hidden="1" customHeight="1" spans="1:27">
      <c r="A3" s="9"/>
      <c r="B3" s="9"/>
      <c r="C3" s="9"/>
      <c r="D3" s="9"/>
      <c r="E3" s="9"/>
      <c r="F3" s="9"/>
      <c r="N3" s="241"/>
      <c r="W3" s="146" t="s">
        <v>11110</v>
      </c>
      <c r="X3" s="146"/>
      <c r="Y3" s="146"/>
      <c r="Z3" s="146"/>
      <c r="AA3" s="146"/>
    </row>
    <row r="4" s="1" customFormat="1" hidden="1" customHeight="1" spans="1:27">
      <c r="A4" s="9"/>
      <c r="B4" s="9"/>
      <c r="C4" s="9"/>
      <c r="D4" s="9"/>
      <c r="E4" s="9"/>
      <c r="F4" s="9"/>
      <c r="W4" s="146" t="s">
        <v>11111</v>
      </c>
      <c r="X4" s="146"/>
      <c r="Y4" s="146"/>
      <c r="Z4" s="146"/>
      <c r="AA4" s="146"/>
    </row>
    <row r="5" s="1" customFormat="1" hidden="1" customHeight="1" spans="1:6">
      <c r="A5" s="9"/>
      <c r="B5" s="9"/>
      <c r="C5" s="9"/>
      <c r="D5" s="9"/>
      <c r="E5" s="9"/>
      <c r="F5" s="9"/>
    </row>
    <row r="6" s="1" customFormat="1" hidden="1" customHeight="1" spans="1:6">
      <c r="A6" s="9"/>
      <c r="B6" s="9"/>
      <c r="C6" s="9"/>
      <c r="D6" s="9"/>
      <c r="E6" s="9"/>
      <c r="F6" s="9"/>
    </row>
    <row r="7" s="1" customFormat="1" hidden="1" customHeight="1" spans="3:6">
      <c r="C7" s="9"/>
      <c r="D7" s="9"/>
      <c r="E7" s="9"/>
      <c r="F7" s="9"/>
    </row>
    <row r="8" s="1" customFormat="1" hidden="1" customHeight="1" spans="1:21">
      <c r="A8" s="10" t="s">
        <v>7926</v>
      </c>
      <c r="B8" s="10"/>
      <c r="C8" s="10"/>
      <c r="D8" s="10"/>
      <c r="E8" s="10"/>
      <c r="F8" s="10"/>
      <c r="G8" s="10"/>
      <c r="H8" s="10"/>
      <c r="I8" s="10"/>
      <c r="J8" s="10"/>
      <c r="K8" s="10"/>
      <c r="L8" s="10"/>
      <c r="M8" s="10"/>
      <c r="N8" s="10"/>
      <c r="O8" s="10"/>
      <c r="P8" s="10"/>
      <c r="Q8" s="10"/>
      <c r="R8" s="10"/>
      <c r="S8" s="10"/>
      <c r="T8" s="10"/>
      <c r="U8" s="10"/>
    </row>
    <row r="9" s="1" customFormat="1" customHeight="1" spans="1:21">
      <c r="A9" s="10" t="s">
        <v>13379</v>
      </c>
      <c r="B9" s="10"/>
      <c r="C9" s="10"/>
      <c r="D9" s="10"/>
      <c r="E9" s="10"/>
      <c r="F9" s="10"/>
      <c r="G9" s="10"/>
      <c r="H9" s="10"/>
      <c r="I9" s="10"/>
      <c r="J9" s="10"/>
      <c r="K9" s="10"/>
      <c r="L9" s="10"/>
      <c r="M9" s="10"/>
      <c r="N9" s="10"/>
      <c r="O9" s="10"/>
      <c r="P9" s="10"/>
      <c r="Q9" s="10"/>
      <c r="R9" s="10"/>
      <c r="S9" s="10"/>
      <c r="T9" s="10"/>
      <c r="U9" s="10"/>
    </row>
    <row r="10" s="1" customFormat="1" customHeight="1" spans="1:19">
      <c r="A10" s="10"/>
      <c r="B10" s="10"/>
      <c r="C10" s="10"/>
      <c r="D10" s="10"/>
      <c r="E10" s="10"/>
      <c r="F10" s="10"/>
      <c r="G10" s="10"/>
      <c r="H10" s="10"/>
      <c r="I10" s="10"/>
      <c r="J10" s="10"/>
      <c r="K10" s="10"/>
      <c r="L10" s="10"/>
      <c r="M10" s="10"/>
      <c r="N10" s="10"/>
      <c r="O10" s="10"/>
      <c r="P10" s="10"/>
      <c r="Q10" s="10"/>
      <c r="R10" s="10"/>
      <c r="S10" s="10"/>
    </row>
    <row r="11" s="1" customFormat="1" customHeight="1" spans="3:6">
      <c r="C11" s="9"/>
      <c r="D11" s="9"/>
      <c r="E11" s="9"/>
      <c r="F11" s="9"/>
    </row>
    <row r="12" s="1" customFormat="1" customHeight="1" spans="1:28">
      <c r="A12" s="11" t="s">
        <v>0</v>
      </c>
      <c r="B12" s="11" t="s">
        <v>1</v>
      </c>
      <c r="C12" s="11" t="s">
        <v>2</v>
      </c>
      <c r="D12" s="11" t="s">
        <v>3</v>
      </c>
      <c r="E12" s="11" t="s">
        <v>4</v>
      </c>
      <c r="F12" s="11" t="s">
        <v>7929</v>
      </c>
      <c r="G12" s="11" t="s">
        <v>8</v>
      </c>
      <c r="H12" s="43" t="s">
        <v>9</v>
      </c>
      <c r="I12" s="44"/>
      <c r="J12" s="44"/>
      <c r="K12" s="511"/>
      <c r="L12" s="43" t="s">
        <v>11</v>
      </c>
      <c r="M12" s="44"/>
      <c r="N12" s="11" t="s">
        <v>14</v>
      </c>
      <c r="O12" s="33" t="s">
        <v>15</v>
      </c>
      <c r="P12" s="11" t="s">
        <v>16</v>
      </c>
      <c r="Q12" s="442" t="s">
        <v>13380</v>
      </c>
      <c r="R12" s="11" t="s">
        <v>3509</v>
      </c>
      <c r="S12" s="11" t="s">
        <v>15</v>
      </c>
      <c r="T12" s="60" t="s">
        <v>28</v>
      </c>
      <c r="U12" s="61" t="s">
        <v>29</v>
      </c>
      <c r="V12" s="71" t="s">
        <v>30</v>
      </c>
      <c r="W12" s="251" t="s">
        <v>32</v>
      </c>
      <c r="X12" s="251" t="s">
        <v>31</v>
      </c>
      <c r="Y12" s="251" t="s">
        <v>33</v>
      </c>
      <c r="Z12" s="251" t="s">
        <v>34</v>
      </c>
      <c r="AA12" s="251" t="s">
        <v>12150</v>
      </c>
      <c r="AB12" s="72" t="s">
        <v>36</v>
      </c>
    </row>
    <row r="13" s="1" customFormat="1" customHeight="1" spans="1:28">
      <c r="A13" s="236"/>
      <c r="B13" s="236"/>
      <c r="C13" s="236"/>
      <c r="D13" s="236"/>
      <c r="E13" s="236"/>
      <c r="F13" s="236"/>
      <c r="G13" s="236"/>
      <c r="H13" s="33" t="s">
        <v>37</v>
      </c>
      <c r="I13" s="33" t="s">
        <v>38</v>
      </c>
      <c r="J13" s="33">
        <v>1</v>
      </c>
      <c r="K13" s="33">
        <v>2</v>
      </c>
      <c r="L13" s="33" t="s">
        <v>37</v>
      </c>
      <c r="M13" s="33" t="s">
        <v>38</v>
      </c>
      <c r="N13" s="236"/>
      <c r="O13" s="243"/>
      <c r="P13" s="236"/>
      <c r="Q13" s="443"/>
      <c r="R13" s="244"/>
      <c r="S13" s="244"/>
      <c r="T13" s="247"/>
      <c r="U13" s="248"/>
      <c r="V13" s="249"/>
      <c r="W13" s="252"/>
      <c r="X13" s="252"/>
      <c r="Y13" s="252"/>
      <c r="Z13" s="252"/>
      <c r="AA13" s="252"/>
      <c r="AB13" s="256"/>
    </row>
    <row r="14" ht="34.5" spans="1:28">
      <c r="A14" s="1607" t="s">
        <v>39</v>
      </c>
      <c r="B14" s="1607" t="s">
        <v>13381</v>
      </c>
      <c r="C14" s="497" t="s">
        <v>13382</v>
      </c>
      <c r="D14" s="508" t="s">
        <v>13383</v>
      </c>
      <c r="E14" s="508" t="s">
        <v>125</v>
      </c>
      <c r="F14" s="16" t="s">
        <v>44</v>
      </c>
      <c r="G14" s="65" t="s">
        <v>13384</v>
      </c>
      <c r="H14" s="436">
        <v>42646</v>
      </c>
      <c r="I14" s="436">
        <v>43010</v>
      </c>
      <c r="J14" s="436">
        <v>43375</v>
      </c>
      <c r="K14" s="436"/>
      <c r="L14" s="436"/>
      <c r="M14" s="436"/>
      <c r="N14" s="48">
        <f ca="1">SUM(J14-NOW())</f>
        <v>102.61546296296</v>
      </c>
      <c r="O14" s="65" t="str">
        <f ca="1" t="shared" ref="O14:O16" si="0">IF(N14&lt;=46,"WARNING","ACTIVE")</f>
        <v>ACTIVE</v>
      </c>
      <c r="P14" s="444">
        <f>400000+3355750</f>
        <v>3755750</v>
      </c>
      <c r="Q14" s="444">
        <v>0</v>
      </c>
      <c r="R14" s="444" t="s">
        <v>13385</v>
      </c>
      <c r="S14" s="444" t="s">
        <v>13386</v>
      </c>
      <c r="T14" s="65" t="s">
        <v>13387</v>
      </c>
      <c r="U14" s="65" t="s">
        <v>13388</v>
      </c>
      <c r="V14" s="65" t="s">
        <v>13389</v>
      </c>
      <c r="W14" s="65" t="s">
        <v>13390</v>
      </c>
      <c r="X14" s="1612" t="s">
        <v>13391</v>
      </c>
      <c r="Y14" s="65"/>
      <c r="Z14" s="65"/>
      <c r="AA14" s="308" t="s">
        <v>13392</v>
      </c>
      <c r="AB14" s="45"/>
    </row>
    <row r="15" ht="33.75" spans="1:28">
      <c r="A15" s="1607" t="s">
        <v>56</v>
      </c>
      <c r="B15" s="1607" t="s">
        <v>13393</v>
      </c>
      <c r="C15" s="497" t="s">
        <v>13394</v>
      </c>
      <c r="D15" s="508" t="s">
        <v>13395</v>
      </c>
      <c r="E15" s="508" t="s">
        <v>43</v>
      </c>
      <c r="F15" s="16" t="s">
        <v>44</v>
      </c>
      <c r="G15" s="65" t="s">
        <v>13396</v>
      </c>
      <c r="H15" s="436">
        <v>42786</v>
      </c>
      <c r="I15" s="436">
        <v>43150</v>
      </c>
      <c r="J15" s="499">
        <v>43515</v>
      </c>
      <c r="K15" s="436" t="s">
        <v>583</v>
      </c>
      <c r="L15" s="436" t="s">
        <v>583</v>
      </c>
      <c r="M15" s="436" t="s">
        <v>583</v>
      </c>
      <c r="N15" s="48">
        <f ca="1">SUM(J15-NOW())</f>
        <v>242.61546296296</v>
      </c>
      <c r="O15" s="65" t="str">
        <f ca="1" t="shared" si="0"/>
        <v>ACTIVE</v>
      </c>
      <c r="P15" s="512">
        <v>3648036</v>
      </c>
      <c r="Q15" s="444">
        <v>0</v>
      </c>
      <c r="R15" s="513" t="s">
        <v>13385</v>
      </c>
      <c r="S15" s="444" t="s">
        <v>13397</v>
      </c>
      <c r="T15" s="65" t="s">
        <v>13398</v>
      </c>
      <c r="U15" s="65" t="s">
        <v>13399</v>
      </c>
      <c r="V15" s="65" t="s">
        <v>13400</v>
      </c>
      <c r="W15" s="65" t="s">
        <v>13401</v>
      </c>
      <c r="X15" s="1612" t="s">
        <v>13402</v>
      </c>
      <c r="Y15" s="65">
        <v>14033954752</v>
      </c>
      <c r="Z15" s="65" t="s">
        <v>13403</v>
      </c>
      <c r="AA15" s="308" t="s">
        <v>13404</v>
      </c>
      <c r="AB15" s="45"/>
    </row>
    <row r="16" customHeight="1" spans="1:28">
      <c r="A16" s="1607" t="s">
        <v>68</v>
      </c>
      <c r="B16" s="14" t="s">
        <v>13405</v>
      </c>
      <c r="C16" s="497" t="s">
        <v>13406</v>
      </c>
      <c r="D16" s="508" t="s">
        <v>13407</v>
      </c>
      <c r="E16" s="508" t="s">
        <v>43</v>
      </c>
      <c r="F16" s="16" t="s">
        <v>254</v>
      </c>
      <c r="G16" s="65" t="s">
        <v>1533</v>
      </c>
      <c r="H16" s="436">
        <v>42979</v>
      </c>
      <c r="I16" s="436">
        <v>43343</v>
      </c>
      <c r="J16" s="436"/>
      <c r="K16" s="436"/>
      <c r="L16" s="436"/>
      <c r="M16" s="436"/>
      <c r="N16" s="48">
        <f ca="1">SUM(I16-NOW())</f>
        <v>70.61546296296</v>
      </c>
      <c r="O16" s="65" t="str">
        <f ca="1" t="shared" si="0"/>
        <v>ACTIVE</v>
      </c>
      <c r="P16" s="444">
        <v>4500000</v>
      </c>
      <c r="Q16" s="444"/>
      <c r="R16" s="444" t="s">
        <v>13385</v>
      </c>
      <c r="S16" s="444"/>
      <c r="T16" s="65" t="s">
        <v>13408</v>
      </c>
      <c r="U16" s="1612" t="s">
        <v>13409</v>
      </c>
      <c r="V16" s="514" t="s">
        <v>13410</v>
      </c>
      <c r="W16" s="1612" t="s">
        <v>13411</v>
      </c>
      <c r="X16" s="1612" t="s">
        <v>13412</v>
      </c>
      <c r="Y16" s="65">
        <v>17023040672</v>
      </c>
      <c r="Z16" s="1612" t="s">
        <v>13413</v>
      </c>
      <c r="AA16" s="149" t="s">
        <v>13414</v>
      </c>
      <c r="AB16" s="45"/>
    </row>
    <row r="17" customHeight="1" spans="2:15">
      <c r="B17" s="509"/>
      <c r="C17" s="509"/>
      <c r="D17" s="509"/>
      <c r="E17" s="509"/>
      <c r="F17" s="509"/>
      <c r="G17" s="509"/>
      <c r="H17" s="509"/>
      <c r="I17" s="509"/>
      <c r="J17" s="509"/>
      <c r="K17" s="509"/>
      <c r="L17" s="509"/>
      <c r="M17" s="509"/>
      <c r="N17" s="509"/>
      <c r="O17" s="509"/>
    </row>
    <row r="19" ht="15.95" customHeight="1"/>
    <row r="20" ht="15.95" customHeight="1"/>
    <row r="21" ht="15.95" customHeight="1"/>
    <row r="22" ht="15.95" customHeight="1"/>
    <row r="25" customHeight="1" spans="1:2">
      <c r="A25" s="17" t="s">
        <v>2552</v>
      </c>
      <c r="B25" s="165"/>
    </row>
    <row r="26" customHeight="1" spans="1:28">
      <c r="A26" s="1609" t="s">
        <v>78</v>
      </c>
      <c r="B26" s="1609" t="s">
        <v>13415</v>
      </c>
      <c r="C26" s="498" t="s">
        <v>13416</v>
      </c>
      <c r="D26" s="510" t="s">
        <v>13417</v>
      </c>
      <c r="E26" s="510" t="s">
        <v>43</v>
      </c>
      <c r="F26" s="22" t="s">
        <v>44</v>
      </c>
      <c r="G26" s="27" t="s">
        <v>13418</v>
      </c>
      <c r="H26" s="439">
        <v>42181</v>
      </c>
      <c r="I26" s="439">
        <v>42241</v>
      </c>
      <c r="J26" s="439"/>
      <c r="K26" s="439" t="s">
        <v>583</v>
      </c>
      <c r="L26" s="439" t="s">
        <v>583</v>
      </c>
      <c r="M26" s="439"/>
      <c r="N26" s="53">
        <f ca="1" t="shared" ref="N26:N31" si="1">SUM(I26-NOW())</f>
        <v>-1031.38453703704</v>
      </c>
      <c r="O26" s="27" t="str">
        <f ca="1">IF(N26&lt;=35,"WARNING","ACTIVE")</f>
        <v>WARNING</v>
      </c>
      <c r="P26" s="445">
        <v>5500000</v>
      </c>
      <c r="Q26" s="445">
        <v>400000</v>
      </c>
      <c r="R26" s="445" t="s">
        <v>13419</v>
      </c>
      <c r="S26" s="445"/>
      <c r="T26" s="27" t="s">
        <v>13420</v>
      </c>
      <c r="U26" s="27" t="s">
        <v>13421</v>
      </c>
      <c r="V26" s="27" t="s">
        <v>13422</v>
      </c>
      <c r="W26" s="27" t="s">
        <v>13423</v>
      </c>
      <c r="X26" s="1610" t="s">
        <v>13424</v>
      </c>
      <c r="Y26" s="27">
        <v>0</v>
      </c>
      <c r="Z26" s="27"/>
      <c r="AA26" s="86" t="s">
        <v>13425</v>
      </c>
      <c r="AB26" s="29"/>
    </row>
    <row r="27" customHeight="1" spans="1:29">
      <c r="A27" s="1609" t="s">
        <v>39</v>
      </c>
      <c r="B27" s="1609" t="s">
        <v>13084</v>
      </c>
      <c r="C27" s="498" t="s">
        <v>13085</v>
      </c>
      <c r="D27" s="510" t="s">
        <v>13086</v>
      </c>
      <c r="E27" s="510" t="s">
        <v>125</v>
      </c>
      <c r="F27" s="22" t="s">
        <v>60</v>
      </c>
      <c r="G27" s="27" t="s">
        <v>13087</v>
      </c>
      <c r="H27" s="439">
        <v>41858</v>
      </c>
      <c r="I27" s="439">
        <v>42222</v>
      </c>
      <c r="J27" s="439">
        <v>42588</v>
      </c>
      <c r="K27" s="439"/>
      <c r="L27" s="439" t="s">
        <v>583</v>
      </c>
      <c r="M27" s="439"/>
      <c r="N27" s="53">
        <f ca="1">SUM(J27-NOW())</f>
        <v>-684.38453703704</v>
      </c>
      <c r="O27" s="27" t="str">
        <f ca="1" t="shared" ref="O27:O31" si="2">IF(N27&lt;=46,"WARNING","ACTIVE")</f>
        <v>WARNING</v>
      </c>
      <c r="P27" s="445">
        <f>5000000*110%</f>
        <v>5500000</v>
      </c>
      <c r="Q27" s="445">
        <v>400000</v>
      </c>
      <c r="R27" s="445" t="s">
        <v>13419</v>
      </c>
      <c r="S27" s="445" t="s">
        <v>13426</v>
      </c>
      <c r="T27" s="27" t="s">
        <v>13089</v>
      </c>
      <c r="U27" s="27" t="s">
        <v>13090</v>
      </c>
      <c r="V27" s="27" t="s">
        <v>13091</v>
      </c>
      <c r="W27" s="27" t="s">
        <v>13093</v>
      </c>
      <c r="X27" s="1610" t="s">
        <v>13092</v>
      </c>
      <c r="Y27" s="27">
        <v>12033967196</v>
      </c>
      <c r="Z27" s="27" t="s">
        <v>13094</v>
      </c>
      <c r="AA27" s="86" t="s">
        <v>13095</v>
      </c>
      <c r="AB27" s="28" t="s">
        <v>13427</v>
      </c>
      <c r="AC27" s="3" t="s">
        <v>11949</v>
      </c>
    </row>
    <row r="28" customHeight="1" spans="1:29">
      <c r="A28" s="1609" t="s">
        <v>39</v>
      </c>
      <c r="B28" s="1609" t="s">
        <v>13428</v>
      </c>
      <c r="C28" s="498" t="s">
        <v>13429</v>
      </c>
      <c r="D28" s="510" t="s">
        <v>13430</v>
      </c>
      <c r="E28" s="510" t="s">
        <v>125</v>
      </c>
      <c r="F28" s="22" t="s">
        <v>60</v>
      </c>
      <c r="G28" s="27" t="s">
        <v>13384</v>
      </c>
      <c r="H28" s="439">
        <v>41876</v>
      </c>
      <c r="I28" s="439">
        <v>42059</v>
      </c>
      <c r="J28" s="439">
        <v>42424</v>
      </c>
      <c r="K28" s="439">
        <v>42606</v>
      </c>
      <c r="L28" s="439">
        <v>42607</v>
      </c>
      <c r="M28" s="439">
        <v>42790</v>
      </c>
      <c r="N28" s="53">
        <f ca="1">SUM(M28-NOW())</f>
        <v>-482.38453703704</v>
      </c>
      <c r="O28" s="27" t="str">
        <f ca="1" t="shared" si="2"/>
        <v>WARNING</v>
      </c>
      <c r="P28" s="445">
        <v>3100000</v>
      </c>
      <c r="Q28" s="445">
        <v>400000</v>
      </c>
      <c r="R28" s="445" t="s">
        <v>13431</v>
      </c>
      <c r="S28" s="445" t="s">
        <v>13432</v>
      </c>
      <c r="T28" s="27" t="s">
        <v>13433</v>
      </c>
      <c r="U28" s="27" t="s">
        <v>13434</v>
      </c>
      <c r="V28" s="27" t="s">
        <v>13435</v>
      </c>
      <c r="W28" s="27" t="s">
        <v>13436</v>
      </c>
      <c r="X28" s="1610" t="s">
        <v>13437</v>
      </c>
      <c r="Y28" s="27">
        <v>0</v>
      </c>
      <c r="Z28" s="27" t="s">
        <v>13438</v>
      </c>
      <c r="AA28" s="86" t="s">
        <v>13439</v>
      </c>
      <c r="AB28" s="29" t="s">
        <v>13440</v>
      </c>
      <c r="AC28" s="2" t="s">
        <v>11949</v>
      </c>
    </row>
    <row r="29" customHeight="1" spans="1:29">
      <c r="A29" s="1609" t="s">
        <v>56</v>
      </c>
      <c r="B29" s="1609" t="s">
        <v>13441</v>
      </c>
      <c r="C29" s="498" t="s">
        <v>13442</v>
      </c>
      <c r="D29" s="510" t="s">
        <v>13443</v>
      </c>
      <c r="E29" s="510" t="s">
        <v>125</v>
      </c>
      <c r="F29" s="22" t="s">
        <v>44</v>
      </c>
      <c r="G29" s="27" t="s">
        <v>13444</v>
      </c>
      <c r="H29" s="439">
        <v>42030</v>
      </c>
      <c r="I29" s="439">
        <v>42394</v>
      </c>
      <c r="J29" s="439">
        <v>42760</v>
      </c>
      <c r="K29" s="439" t="s">
        <v>583</v>
      </c>
      <c r="L29" s="439" t="s">
        <v>583</v>
      </c>
      <c r="M29" s="439"/>
      <c r="N29" s="53">
        <f ca="1">SUM(J29-NOW())</f>
        <v>-512.38453703704</v>
      </c>
      <c r="O29" s="27" t="str">
        <f ca="1" t="shared" si="2"/>
        <v>WARNING</v>
      </c>
      <c r="P29" s="445">
        <v>3100000</v>
      </c>
      <c r="Q29" s="445">
        <v>400000</v>
      </c>
      <c r="R29" s="445" t="s">
        <v>13431</v>
      </c>
      <c r="S29" s="445"/>
      <c r="T29" s="27" t="s">
        <v>13445</v>
      </c>
      <c r="U29" s="27" t="s">
        <v>13446</v>
      </c>
      <c r="V29" s="27" t="s">
        <v>13447</v>
      </c>
      <c r="W29" s="27" t="s">
        <v>13448</v>
      </c>
      <c r="X29" s="1610" t="s">
        <v>13449</v>
      </c>
      <c r="Y29" s="27">
        <v>0</v>
      </c>
      <c r="Z29" s="27" t="s">
        <v>13450</v>
      </c>
      <c r="AA29" s="86" t="s">
        <v>13451</v>
      </c>
      <c r="AB29" s="29" t="s">
        <v>13440</v>
      </c>
      <c r="AC29" s="2" t="s">
        <v>11949</v>
      </c>
    </row>
    <row r="30" customHeight="1" spans="1:28">
      <c r="A30" s="1609" t="s">
        <v>68</v>
      </c>
      <c r="B30" s="1609" t="s">
        <v>13452</v>
      </c>
      <c r="C30" s="498" t="s">
        <v>13453</v>
      </c>
      <c r="D30" s="510" t="s">
        <v>13454</v>
      </c>
      <c r="E30" s="510" t="s">
        <v>125</v>
      </c>
      <c r="F30" s="22" t="s">
        <v>44</v>
      </c>
      <c r="G30" s="27" t="s">
        <v>13418</v>
      </c>
      <c r="H30" s="439">
        <v>42695</v>
      </c>
      <c r="I30" s="439">
        <v>43059</v>
      </c>
      <c r="J30" s="439"/>
      <c r="K30" s="439"/>
      <c r="L30" s="439"/>
      <c r="M30" s="439"/>
      <c r="N30" s="53">
        <f ca="1" t="shared" si="1"/>
        <v>-213.38453703704</v>
      </c>
      <c r="O30" s="27" t="str">
        <f ca="1" t="shared" si="2"/>
        <v>WARNING</v>
      </c>
      <c r="P30" s="445">
        <v>7770000</v>
      </c>
      <c r="Q30" s="445"/>
      <c r="R30" s="445" t="s">
        <v>13455</v>
      </c>
      <c r="S30" s="445"/>
      <c r="T30" s="27" t="s">
        <v>13456</v>
      </c>
      <c r="U30" s="27" t="s">
        <v>13457</v>
      </c>
      <c r="V30" s="27" t="s">
        <v>13458</v>
      </c>
      <c r="W30" s="27" t="s">
        <v>13459</v>
      </c>
      <c r="X30" s="1610" t="s">
        <v>13460</v>
      </c>
      <c r="Y30" s="27"/>
      <c r="Z30" s="27"/>
      <c r="AA30" s="86" t="s">
        <v>13461</v>
      </c>
      <c r="AB30" s="55" t="s">
        <v>13462</v>
      </c>
    </row>
    <row r="31" customHeight="1" spans="1:28">
      <c r="A31" s="1609" t="s">
        <v>39</v>
      </c>
      <c r="B31" s="1609" t="s">
        <v>13463</v>
      </c>
      <c r="C31" s="498" t="s">
        <v>13464</v>
      </c>
      <c r="D31" s="510" t="s">
        <v>13465</v>
      </c>
      <c r="E31" s="510" t="s">
        <v>125</v>
      </c>
      <c r="F31" s="22" t="s">
        <v>44</v>
      </c>
      <c r="G31" s="27" t="s">
        <v>13444</v>
      </c>
      <c r="H31" s="439">
        <v>42643</v>
      </c>
      <c r="I31" s="439">
        <v>43007</v>
      </c>
      <c r="J31" s="439"/>
      <c r="K31" s="439"/>
      <c r="L31" s="439"/>
      <c r="M31" s="439"/>
      <c r="N31" s="53">
        <f ca="1" t="shared" si="1"/>
        <v>-265.38453703704</v>
      </c>
      <c r="O31" s="27" t="str">
        <f ca="1" t="shared" si="2"/>
        <v>WARNING</v>
      </c>
      <c r="P31" s="445">
        <v>3355750</v>
      </c>
      <c r="Q31" s="445">
        <v>400000</v>
      </c>
      <c r="R31" s="445" t="s">
        <v>13385</v>
      </c>
      <c r="S31" s="445" t="s">
        <v>11797</v>
      </c>
      <c r="T31" s="27" t="s">
        <v>13466</v>
      </c>
      <c r="U31" s="27" t="s">
        <v>13467</v>
      </c>
      <c r="V31" s="27" t="s">
        <v>13468</v>
      </c>
      <c r="W31" s="27" t="s">
        <v>13469</v>
      </c>
      <c r="X31" s="1610" t="s">
        <v>13470</v>
      </c>
      <c r="Y31" s="27"/>
      <c r="Z31" s="27"/>
      <c r="AA31" s="86" t="s">
        <v>13471</v>
      </c>
      <c r="AB31" s="20" t="s">
        <v>13472</v>
      </c>
    </row>
  </sheetData>
  <mergeCells count="31">
    <mergeCell ref="A1:C1"/>
    <mergeCell ref="A2:C2"/>
    <mergeCell ref="A3:C3"/>
    <mergeCell ref="A6:C6"/>
    <mergeCell ref="P6:R6"/>
    <mergeCell ref="A8:U8"/>
    <mergeCell ref="A9:U9"/>
    <mergeCell ref="H12:I12"/>
    <mergeCell ref="L12:M12"/>
    <mergeCell ref="A12:A13"/>
    <mergeCell ref="B12:B13"/>
    <mergeCell ref="C12:C13"/>
    <mergeCell ref="D12:D13"/>
    <mergeCell ref="E12:E13"/>
    <mergeCell ref="F12:F13"/>
    <mergeCell ref="G12:G13"/>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 ref="AB12:AB13"/>
  </mergeCells>
  <conditionalFormatting sqref="N26:O27">
    <cfRule type="expression" dxfId="2092" priority="1" stopIfTrue="1">
      <formula>IF($O26="warning",TRUE,FALSE)</formula>
    </cfRule>
  </conditionalFormatting>
  <conditionalFormatting sqref="R26">
    <cfRule type="expression" dxfId="2093" priority="2" stopIfTrue="1">
      <formula>IF(OR(#REF!="not",#REF!="resign",#REF!="resign",#REF!="end",#REF!="terminated",#REF!="permanent"),"TRUE","FALSE")</formula>
    </cfRule>
  </conditionalFormatting>
  <conditionalFormatting sqref="R27">
    <cfRule type="expression" dxfId="2094" priority="3" stopIfTrue="1">
      <formula>IF(OR(#REF!="not",#REF!="resign",#REF!="resign",#REF!="end",#REF!="terminated",#REF!="permanent"),"TRUE","FALSE")</formula>
    </cfRule>
  </conditionalFormatting>
  <conditionalFormatting sqref="R31">
    <cfRule type="expression" dxfId="2095" priority="4" stopIfTrue="1">
      <formula>IF(OR(#REF!="not",#REF!="resign",#REF!="resign",#REF!="end",#REF!="terminated",#REF!="permanent"),"TRUE","FALSE")</formula>
    </cfRule>
  </conditionalFormatting>
  <conditionalFormatting sqref="R14:R15">
    <cfRule type="expression" dxfId="2096" priority="5" stopIfTrue="1">
      <formula>IF(OR($BF14="not",$BF14="resign",$BF14="resign",$BF14="end",$BF14="terminated",$BF14="permanent"),"TRUE","FALSE")</formula>
    </cfRule>
  </conditionalFormatting>
  <conditionalFormatting sqref="R28:R29">
    <cfRule type="expression" dxfId="2097" priority="6" stopIfTrue="1">
      <formula>IF(OR($BF21="not",$BF21="resign",$BF21="resign",$BF21="end",$BF21="terminated",$BF21="permanent"),"TRUE","FALSE")</formula>
    </cfRule>
  </conditionalFormatting>
  <conditionalFormatting sqref="R30">
    <cfRule type="expression" dxfId="2098" priority="7" stopIfTrue="1">
      <formula>IF(OR(#REF!="not",#REF!="resign",#REF!="resign",#REF!="end",#REF!="terminated",#REF!="permanent"),"TRUE","FALSE")</formula>
    </cfRule>
  </conditionalFormatting>
  <conditionalFormatting sqref="R16">
    <cfRule type="expression" dxfId="2099" priority="8" stopIfTrue="1">
      <formula>IF(OR($BF16="not",$BF16="resign",$BF16="resign",$BF16="end",$BF16="terminated",$BF16="permanent"),"TRUE","FALSE")</formula>
    </cfRule>
  </conditionalFormatting>
  <conditionalFormatting sqref="B16">
    <cfRule type="expression" dxfId="2100" priority="9" stopIfTrue="1">
      <formula>IF(OR(#REF!="not",#REF!="resign",#REF!="resign",#REF!="end",#REF!="terminated",#REF!="permanent"),"TRUE","FALSE")</formula>
    </cfRule>
  </conditionalFormatting>
  <hyperlinks>
    <hyperlink ref="AA27" location="" display="yurista_darwin11@yahoo.com, ryurista@its.jnj.com"/>
    <hyperlink ref="AA26" location="" display="inyolanin@gmail.com"/>
    <hyperlink ref="AA31" location="" display="wiwietrp@gmail.com"/>
    <hyperlink ref="AA14" location="" display="riiezkharamelda@gmail.com"/>
    <hyperlink ref="AA28" location="" display="dellalivia12@gmail.com, ddwikari@its.jnj.com"/>
    <hyperlink ref="AA29" location="" display="r.wardhany@yahoo.com, rputri1@its.jnj.com"/>
    <hyperlink ref="AA30" location="" display="ahutaju@its.jnj.com"/>
    <hyperlink ref="AA15" location="" display="pandhu.argha@gmail.com"/>
    <hyperlink ref="AA16" location="" display="anwar.yunus.78@gmail.com"/>
  </hyperlinks>
  <printOptions horizontalCentered="1"/>
  <pageMargins left="0.25" right="0.25" top="1" bottom="1" header="0.5" footer="0.5"/>
  <pageSetup paperSize="9" scale="75" orientation="landscape"/>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AP21"/>
  <sheetViews>
    <sheetView topLeftCell="B3" workbookViewId="0">
      <pane xSplit="3" ySplit="2" topLeftCell="O5" activePane="bottomRight" state="frozen"/>
      <selection/>
      <selection pane="topRight"/>
      <selection pane="bottomLeft"/>
      <selection pane="bottomRight" activeCell="O13" sqref="O13"/>
    </sheetView>
  </sheetViews>
  <sheetFormatPr defaultColWidth="9" defaultRowHeight="10.5"/>
  <cols>
    <col min="1" max="1" width="9.14166666666667" style="1154"/>
    <col min="2" max="2" width="5.425" style="1154" customWidth="1"/>
    <col min="3" max="3" width="11.7083333333333" style="1154" customWidth="1"/>
    <col min="4" max="4" width="29.1416666666667" style="1154" customWidth="1"/>
    <col min="5" max="5" width="32.425" style="1154" customWidth="1"/>
    <col min="6" max="6" width="3.56666666666667" style="1154" customWidth="1"/>
    <col min="7" max="7" width="6.14166666666667" style="1154" customWidth="1"/>
    <col min="8" max="8" width="7.70833333333333" style="1154" customWidth="1"/>
    <col min="9" max="9" width="16" style="1154" customWidth="1"/>
    <col min="10" max="10" width="12.7083333333333" style="1154" customWidth="1"/>
    <col min="11" max="11" width="21.2833333333333" style="1154" customWidth="1"/>
    <col min="12" max="12" width="10.2833333333333" style="1154" customWidth="1"/>
    <col min="13" max="13" width="10.1416666666667" style="1154" customWidth="1"/>
    <col min="14" max="15" width="9.14166666666667" style="1154" customWidth="1"/>
    <col min="16" max="16" width="7.85833333333333" style="1154" customWidth="1"/>
    <col min="17" max="17" width="10" style="1154" customWidth="1"/>
    <col min="18" max="18" width="12.7083333333333" style="1154" customWidth="1"/>
    <col min="19" max="19" width="13" style="1154" customWidth="1"/>
    <col min="20" max="20" width="12" style="1154" customWidth="1"/>
    <col min="21" max="21" width="10.7083333333333" style="1155" customWidth="1"/>
    <col min="22" max="22" width="11.7083333333333" style="1154" customWidth="1"/>
    <col min="23" max="23" width="8.70833333333333" style="1154" customWidth="1"/>
    <col min="24" max="24" width="10.2833333333333" style="1154" customWidth="1"/>
    <col min="25" max="25" width="13.425" style="1154" customWidth="1"/>
    <col min="26" max="26" width="11.2833333333333" style="1154" customWidth="1"/>
    <col min="27" max="27" width="12.7083333333333" style="1154" customWidth="1"/>
    <col min="28" max="28" width="8.56666666666667" style="1154" customWidth="1"/>
    <col min="29" max="29" width="5.28333333333333" style="1154" customWidth="1"/>
    <col min="30" max="30" width="10.5666666666667" style="1154" customWidth="1"/>
    <col min="31" max="31" width="41.2833333333333" style="1154" customWidth="1"/>
    <col min="32" max="32" width="45.5666666666667" style="1154" customWidth="1"/>
    <col min="33" max="33" width="20.7083333333333" style="1156" customWidth="1"/>
    <col min="34" max="34" width="28.5666666666667" style="1156" customWidth="1"/>
    <col min="35" max="35" width="16.2833333333333" style="1156" customWidth="1"/>
    <col min="36" max="36" width="19.2833333333333" style="1156" customWidth="1"/>
    <col min="37" max="37" width="14.1416666666667" style="1156" customWidth="1"/>
    <col min="38" max="38" width="18.7083333333333" style="1156" customWidth="1"/>
    <col min="39" max="39" width="36" style="1156" customWidth="1"/>
    <col min="40" max="40" width="24.8583333333333" style="1157" customWidth="1"/>
    <col min="41" max="41" width="18.7083333333333" style="1326" customWidth="1"/>
    <col min="42" max="42" width="9.14166666666667" style="1158"/>
    <col min="43" max="43" width="9.14166666666667" style="1154"/>
    <col min="44" max="44" width="18.1416666666667" style="1154" customWidth="1"/>
    <col min="45" max="45" width="36.2833333333333" style="1154" customWidth="1"/>
    <col min="46" max="16384" width="9.14166666666667" style="1154"/>
  </cols>
  <sheetData>
    <row r="2" ht="11.25"/>
    <row r="3" ht="15" customHeight="1" spans="2:41">
      <c r="B3" s="1159" t="s">
        <v>0</v>
      </c>
      <c r="C3" s="1159" t="s">
        <v>1</v>
      </c>
      <c r="D3" s="1159" t="s">
        <v>2</v>
      </c>
      <c r="E3" s="1159" t="s">
        <v>3</v>
      </c>
      <c r="F3" s="1159" t="s">
        <v>4</v>
      </c>
      <c r="G3" s="1159" t="s">
        <v>5</v>
      </c>
      <c r="H3" s="1159" t="s">
        <v>27</v>
      </c>
      <c r="I3" s="1165" t="s">
        <v>6</v>
      </c>
      <c r="J3" s="1165" t="s">
        <v>7</v>
      </c>
      <c r="K3" s="1159" t="s">
        <v>8</v>
      </c>
      <c r="L3" s="1166" t="s">
        <v>9</v>
      </c>
      <c r="M3" s="1170"/>
      <c r="N3" s="1166" t="s">
        <v>10</v>
      </c>
      <c r="O3" s="1171"/>
      <c r="P3" s="1159" t="s">
        <v>14</v>
      </c>
      <c r="Q3" s="1159" t="s">
        <v>15</v>
      </c>
      <c r="R3" s="1172" t="s">
        <v>16</v>
      </c>
      <c r="S3" s="1172" t="s">
        <v>17</v>
      </c>
      <c r="T3" s="1172" t="s">
        <v>4555</v>
      </c>
      <c r="U3" s="1174" t="s">
        <v>3505</v>
      </c>
      <c r="V3" s="1172" t="s">
        <v>4556</v>
      </c>
      <c r="W3" s="1172" t="s">
        <v>4557</v>
      </c>
      <c r="X3" s="1172" t="s">
        <v>4558</v>
      </c>
      <c r="Y3" s="1172" t="s">
        <v>4559</v>
      </c>
      <c r="Z3" s="1172" t="s">
        <v>3507</v>
      </c>
      <c r="AA3" s="1172" t="s">
        <v>22</v>
      </c>
      <c r="AB3" s="1177" t="s">
        <v>25</v>
      </c>
      <c r="AC3" s="1165" t="s">
        <v>26</v>
      </c>
      <c r="AD3" s="1159" t="s">
        <v>27</v>
      </c>
      <c r="AE3" s="1165" t="s">
        <v>15</v>
      </c>
      <c r="AF3" s="1159" t="s">
        <v>28</v>
      </c>
      <c r="AG3" s="1180" t="s">
        <v>29</v>
      </c>
      <c r="AH3" s="1181" t="s">
        <v>30</v>
      </c>
      <c r="AI3" s="1181" t="s">
        <v>31</v>
      </c>
      <c r="AJ3" s="1180" t="s">
        <v>32</v>
      </c>
      <c r="AK3" s="1181" t="s">
        <v>33</v>
      </c>
      <c r="AL3" s="1181" t="s">
        <v>34</v>
      </c>
      <c r="AM3" s="1180" t="s">
        <v>35</v>
      </c>
      <c r="AN3" s="1184" t="s">
        <v>36</v>
      </c>
      <c r="AO3" s="1231" t="s">
        <v>4560</v>
      </c>
    </row>
    <row r="4" ht="12" spans="2:41">
      <c r="B4" s="1160"/>
      <c r="C4" s="1161"/>
      <c r="D4" s="1161"/>
      <c r="E4" s="1161"/>
      <c r="F4" s="1161"/>
      <c r="G4" s="1161"/>
      <c r="H4" s="1161"/>
      <c r="I4" s="1167"/>
      <c r="J4" s="1167"/>
      <c r="K4" s="1167"/>
      <c r="L4" s="1168" t="s">
        <v>37</v>
      </c>
      <c r="M4" s="1168" t="s">
        <v>38</v>
      </c>
      <c r="N4" s="1168">
        <v>1</v>
      </c>
      <c r="O4" s="1168">
        <v>2</v>
      </c>
      <c r="P4" s="1161"/>
      <c r="Q4" s="1161"/>
      <c r="R4" s="1173"/>
      <c r="S4" s="1173"/>
      <c r="T4" s="1173"/>
      <c r="U4" s="1175"/>
      <c r="V4" s="1173"/>
      <c r="W4" s="1173"/>
      <c r="X4" s="1173"/>
      <c r="Y4" s="1173"/>
      <c r="Z4" s="1173"/>
      <c r="AA4" s="1173"/>
      <c r="AB4" s="1178"/>
      <c r="AC4" s="1167"/>
      <c r="AD4" s="1167"/>
      <c r="AE4" s="1167"/>
      <c r="AF4" s="1179"/>
      <c r="AG4" s="1182"/>
      <c r="AH4" s="1183"/>
      <c r="AI4" s="1183"/>
      <c r="AJ4" s="1182"/>
      <c r="AK4" s="1183"/>
      <c r="AL4" s="1183"/>
      <c r="AM4" s="1185"/>
      <c r="AN4" s="1186"/>
      <c r="AO4" s="1231"/>
    </row>
    <row r="5" s="1153" customFormat="1" ht="21.75" spans="2:42">
      <c r="B5" s="1049">
        <v>1</v>
      </c>
      <c r="C5" s="837" t="s">
        <v>4561</v>
      </c>
      <c r="D5" s="1162" t="s">
        <v>4562</v>
      </c>
      <c r="E5" s="1043" t="s">
        <v>4563</v>
      </c>
      <c r="F5" s="1043" t="s">
        <v>43</v>
      </c>
      <c r="G5" s="1043" t="s">
        <v>254</v>
      </c>
      <c r="H5" s="1043" t="s">
        <v>254</v>
      </c>
      <c r="I5" s="1049" t="s">
        <v>3089</v>
      </c>
      <c r="J5" s="837" t="s">
        <v>4564</v>
      </c>
      <c r="K5" s="1049" t="s">
        <v>4565</v>
      </c>
      <c r="L5" s="1169">
        <v>43031</v>
      </c>
      <c r="M5" s="1169">
        <v>43212</v>
      </c>
      <c r="N5" s="1204">
        <v>43303</v>
      </c>
      <c r="O5" s="1169"/>
      <c r="P5" s="640">
        <f ca="1">SUM(N5-NOW())</f>
        <v>30.61546296296</v>
      </c>
      <c r="Q5" s="121" t="str">
        <f ca="1">IF(P5&lt;=40,"WARNING","ACTIVE")</f>
        <v>WARNING</v>
      </c>
      <c r="R5" s="1077">
        <v>4500000</v>
      </c>
      <c r="S5" s="1077">
        <v>500000</v>
      </c>
      <c r="T5" s="1078"/>
      <c r="U5" s="1085"/>
      <c r="V5" s="1078">
        <v>2250000</v>
      </c>
      <c r="W5" s="1079"/>
      <c r="X5" s="1079"/>
      <c r="Y5" s="1078"/>
      <c r="Z5" s="1078">
        <v>500000</v>
      </c>
      <c r="AA5" s="1078">
        <v>250000</v>
      </c>
      <c r="AB5" s="1049" t="s">
        <v>112</v>
      </c>
      <c r="AC5" s="1049" t="s">
        <v>113</v>
      </c>
      <c r="AD5" s="1078" t="s">
        <v>113</v>
      </c>
      <c r="AE5" s="1049" t="s">
        <v>4566</v>
      </c>
      <c r="AF5" s="1102" t="s">
        <v>4567</v>
      </c>
      <c r="AG5" s="127"/>
      <c r="AH5" s="1103" t="s">
        <v>4568</v>
      </c>
      <c r="AI5" s="1536" t="s">
        <v>4569</v>
      </c>
      <c r="AJ5" s="1103" t="s">
        <v>4570</v>
      </c>
      <c r="AK5" s="1103" t="s">
        <v>4571</v>
      </c>
      <c r="AL5" s="1103"/>
      <c r="AM5" s="127" t="s">
        <v>4572</v>
      </c>
      <c r="AN5" s="1187"/>
      <c r="AO5" s="1351"/>
      <c r="AP5" s="1188"/>
    </row>
    <row r="6" s="1153" customFormat="1" ht="12" spans="2:42">
      <c r="B6" s="1309"/>
      <c r="C6" s="1327"/>
      <c r="D6" s="1327"/>
      <c r="E6" s="1331"/>
      <c r="F6" s="1331"/>
      <c r="G6" s="1331"/>
      <c r="H6" s="1331"/>
      <c r="I6" s="1309"/>
      <c r="J6" s="1327"/>
      <c r="K6" s="1309"/>
      <c r="L6" s="1333"/>
      <c r="M6" s="1333"/>
      <c r="N6" s="1333"/>
      <c r="O6" s="1333"/>
      <c r="P6" s="543"/>
      <c r="Q6" s="530"/>
      <c r="R6" s="1337"/>
      <c r="S6" s="1337"/>
      <c r="T6" s="1310"/>
      <c r="U6" s="1342"/>
      <c r="V6" s="1310"/>
      <c r="W6" s="1343"/>
      <c r="X6" s="1343"/>
      <c r="Y6" s="1310"/>
      <c r="Z6" s="1310"/>
      <c r="AA6" s="1310"/>
      <c r="AB6" s="1309"/>
      <c r="AC6" s="1309"/>
      <c r="AD6" s="1310"/>
      <c r="AE6" s="1309"/>
      <c r="AF6" s="1347"/>
      <c r="AG6" s="1349"/>
      <c r="AH6" s="1349"/>
      <c r="AI6" s="1349"/>
      <c r="AJ6" s="1349"/>
      <c r="AK6" s="1349"/>
      <c r="AL6" s="1349"/>
      <c r="AM6" s="692"/>
      <c r="AN6" s="1351"/>
      <c r="AO6" s="1351"/>
      <c r="AP6" s="1188"/>
    </row>
    <row r="7" s="1153" customFormat="1" ht="12" spans="2:42">
      <c r="B7" s="1309"/>
      <c r="C7" s="1327"/>
      <c r="D7" s="1327"/>
      <c r="E7" s="1331"/>
      <c r="F7" s="1331"/>
      <c r="G7" s="1331"/>
      <c r="H7" s="1331"/>
      <c r="I7" s="1309"/>
      <c r="J7" s="1327"/>
      <c r="K7" s="1309"/>
      <c r="L7" s="1333"/>
      <c r="M7" s="1333"/>
      <c r="N7" s="1333"/>
      <c r="O7" s="1333"/>
      <c r="P7" s="543"/>
      <c r="Q7" s="530"/>
      <c r="R7" s="1337"/>
      <c r="S7" s="1337"/>
      <c r="T7" s="1310"/>
      <c r="U7" s="1342"/>
      <c r="V7" s="1310"/>
      <c r="W7" s="1343"/>
      <c r="X7" s="1343"/>
      <c r="Y7" s="1310"/>
      <c r="Z7" s="1310"/>
      <c r="AA7" s="1310"/>
      <c r="AB7" s="1309"/>
      <c r="AC7" s="1309"/>
      <c r="AD7" s="1310"/>
      <c r="AE7" s="1309"/>
      <c r="AF7" s="1347"/>
      <c r="AG7" s="1349"/>
      <c r="AH7" s="1349"/>
      <c r="AI7" s="1349"/>
      <c r="AJ7" s="1349"/>
      <c r="AK7" s="1349"/>
      <c r="AL7" s="1349"/>
      <c r="AM7" s="692"/>
      <c r="AN7" s="1351"/>
      <c r="AO7" s="1351"/>
      <c r="AP7" s="1188"/>
    </row>
    <row r="8" s="1153" customFormat="1" spans="2:42">
      <c r="B8" s="1309"/>
      <c r="C8" s="1327"/>
      <c r="D8" s="1327"/>
      <c r="E8" s="1331"/>
      <c r="F8" s="1331"/>
      <c r="G8" s="1331"/>
      <c r="H8" s="1331"/>
      <c r="I8" s="1309"/>
      <c r="J8" s="1309"/>
      <c r="K8" s="1309"/>
      <c r="L8" s="1333"/>
      <c r="M8" s="1333"/>
      <c r="N8" s="1333"/>
      <c r="O8" s="1333"/>
      <c r="P8" s="1335"/>
      <c r="Q8" s="1338"/>
      <c r="R8" s="1337"/>
      <c r="S8" s="1337"/>
      <c r="T8" s="1310"/>
      <c r="U8" s="1344"/>
      <c r="V8" s="1310"/>
      <c r="W8" s="1343"/>
      <c r="X8" s="1343"/>
      <c r="Y8" s="1310"/>
      <c r="Z8" s="1310"/>
      <c r="AA8" s="1310"/>
      <c r="AB8" s="1309"/>
      <c r="AC8" s="1310"/>
      <c r="AD8" s="1310"/>
      <c r="AE8" s="1309"/>
      <c r="AF8" s="1347"/>
      <c r="AG8" s="1349"/>
      <c r="AH8" s="1349"/>
      <c r="AI8" s="1349"/>
      <c r="AJ8" s="1349"/>
      <c r="AK8" s="1349"/>
      <c r="AL8" s="1349"/>
      <c r="AM8" s="1352"/>
      <c r="AN8" s="1353"/>
      <c r="AO8" s="1351"/>
      <c r="AP8" s="1188"/>
    </row>
    <row r="9" s="1153" customFormat="1" spans="2:42">
      <c r="B9" s="1309"/>
      <c r="C9" s="1327"/>
      <c r="D9" s="1327"/>
      <c r="E9" s="1331"/>
      <c r="F9" s="1331"/>
      <c r="G9" s="1331"/>
      <c r="H9" s="1331"/>
      <c r="I9" s="1309"/>
      <c r="J9" s="1309"/>
      <c r="K9" s="1309"/>
      <c r="L9" s="1333"/>
      <c r="M9" s="1333"/>
      <c r="N9" s="1333"/>
      <c r="O9" s="1333"/>
      <c r="P9" s="1335"/>
      <c r="Q9" s="1338"/>
      <c r="R9" s="1337"/>
      <c r="S9" s="1337"/>
      <c r="T9" s="1310"/>
      <c r="U9" s="1344"/>
      <c r="V9" s="1310"/>
      <c r="W9" s="1343"/>
      <c r="X9" s="1343"/>
      <c r="Y9" s="1310"/>
      <c r="Z9" s="1310"/>
      <c r="AA9" s="1310"/>
      <c r="AB9" s="1309"/>
      <c r="AC9" s="1310"/>
      <c r="AD9" s="1310"/>
      <c r="AE9" s="1309"/>
      <c r="AF9" s="1347"/>
      <c r="AG9" s="1349"/>
      <c r="AH9" s="1349"/>
      <c r="AI9" s="1349"/>
      <c r="AJ9" s="1349"/>
      <c r="AK9" s="1349"/>
      <c r="AL9" s="1349"/>
      <c r="AM9" s="1352"/>
      <c r="AN9" s="1353"/>
      <c r="AO9" s="1351"/>
      <c r="AP9" s="1188"/>
    </row>
    <row r="10" s="1153" customFormat="1" spans="21:42">
      <c r="U10" s="1176"/>
      <c r="AG10" s="1157"/>
      <c r="AH10" s="1157"/>
      <c r="AI10" s="1157"/>
      <c r="AJ10" s="1157"/>
      <c r="AK10" s="1157"/>
      <c r="AL10" s="1157"/>
      <c r="AM10" s="1157"/>
      <c r="AN10" s="1157"/>
      <c r="AO10" s="1356"/>
      <c r="AP10" s="1188"/>
    </row>
    <row r="11" s="1153" customFormat="1" ht="11.25" spans="21:42">
      <c r="U11" s="1176"/>
      <c r="AG11" s="1157"/>
      <c r="AH11" s="1157"/>
      <c r="AI11" s="1157"/>
      <c r="AJ11" s="1157"/>
      <c r="AK11" s="1157"/>
      <c r="AL11" s="1157"/>
      <c r="AM11" s="1157"/>
      <c r="AN11" s="1157"/>
      <c r="AO11" s="1356"/>
      <c r="AP11" s="1188"/>
    </row>
    <row r="12" s="1153" customFormat="1" ht="11.25" spans="2:42">
      <c r="B12" s="1163" t="s">
        <v>2552</v>
      </c>
      <c r="C12" s="1164"/>
      <c r="U12" s="1176"/>
      <c r="AG12" s="1157"/>
      <c r="AH12" s="1157"/>
      <c r="AI12" s="1157"/>
      <c r="AJ12" s="1157"/>
      <c r="AK12" s="1157"/>
      <c r="AL12" s="1157"/>
      <c r="AM12" s="1157"/>
      <c r="AN12" s="1157"/>
      <c r="AO12" s="1356"/>
      <c r="AP12" s="1188"/>
    </row>
    <row r="13" s="1325" customFormat="1" ht="14.1" customHeight="1" spans="2:42">
      <c r="B13" s="1557" t="s">
        <v>39</v>
      </c>
      <c r="C13" s="1329" t="s">
        <v>4573</v>
      </c>
      <c r="D13" s="1330" t="s">
        <v>4574</v>
      </c>
      <c r="E13" s="1332" t="s">
        <v>4575</v>
      </c>
      <c r="F13" s="1332" t="s">
        <v>125</v>
      </c>
      <c r="G13" s="1332" t="s">
        <v>254</v>
      </c>
      <c r="H13" s="1332" t="s">
        <v>254</v>
      </c>
      <c r="I13" s="1328" t="s">
        <v>3089</v>
      </c>
      <c r="J13" s="1329" t="s">
        <v>4564</v>
      </c>
      <c r="K13" s="1328" t="s">
        <v>4565</v>
      </c>
      <c r="L13" s="1334">
        <v>43040</v>
      </c>
      <c r="M13" s="1334">
        <v>43220</v>
      </c>
      <c r="N13" s="1334"/>
      <c r="O13" s="1334"/>
      <c r="P13" s="1336">
        <f ca="1">SUM(M13-NOW())</f>
        <v>-52.38453703704</v>
      </c>
      <c r="Q13" s="1339" t="str">
        <f ca="1">IF(P13&lt;=40,"WARNING","ACTIVE")</f>
        <v>WARNING</v>
      </c>
      <c r="R13" s="1340">
        <v>8750000</v>
      </c>
      <c r="S13" s="1340">
        <v>500000</v>
      </c>
      <c r="T13" s="1341"/>
      <c r="U13" s="1345"/>
      <c r="V13" s="1341">
        <v>2000000</v>
      </c>
      <c r="W13" s="1346"/>
      <c r="X13" s="1346"/>
      <c r="Y13" s="1341"/>
      <c r="Z13" s="1341">
        <v>500000</v>
      </c>
      <c r="AA13" s="1341">
        <v>250000</v>
      </c>
      <c r="AB13" s="1328" t="s">
        <v>112</v>
      </c>
      <c r="AC13" s="1328" t="s">
        <v>113</v>
      </c>
      <c r="AD13" s="1341" t="s">
        <v>113</v>
      </c>
      <c r="AE13" s="1328" t="s">
        <v>4576</v>
      </c>
      <c r="AF13" s="1348" t="s">
        <v>4577</v>
      </c>
      <c r="AG13" s="1350" t="s">
        <v>4578</v>
      </c>
      <c r="AH13" s="1350" t="s">
        <v>4579</v>
      </c>
      <c r="AI13" s="1558" t="s">
        <v>4580</v>
      </c>
      <c r="AJ13" s="1350" t="s">
        <v>4581</v>
      </c>
      <c r="AK13" s="1350"/>
      <c r="AL13" s="1350"/>
      <c r="AM13" s="1354" t="s">
        <v>4582</v>
      </c>
      <c r="AN13" s="1355" t="s">
        <v>4583</v>
      </c>
      <c r="AO13" s="1357"/>
      <c r="AP13" s="1358"/>
    </row>
    <row r="14" s="1153" customFormat="1" spans="21:42">
      <c r="U14" s="1176"/>
      <c r="AG14" s="1157"/>
      <c r="AH14" s="1157"/>
      <c r="AI14" s="1157"/>
      <c r="AJ14" s="1157"/>
      <c r="AK14" s="1157"/>
      <c r="AL14" s="1157"/>
      <c r="AM14" s="1157"/>
      <c r="AN14" s="1157"/>
      <c r="AO14" s="1356"/>
      <c r="AP14" s="1188"/>
    </row>
    <row r="15" s="1153" customFormat="1" spans="21:42">
      <c r="U15" s="1176"/>
      <c r="AG15" s="1157"/>
      <c r="AH15" s="1157"/>
      <c r="AI15" s="1157"/>
      <c r="AJ15" s="1157"/>
      <c r="AK15" s="1157"/>
      <c r="AL15" s="1157"/>
      <c r="AM15" s="1157"/>
      <c r="AN15" s="1157"/>
      <c r="AO15" s="1356"/>
      <c r="AP15" s="1188"/>
    </row>
    <row r="16" s="1153" customFormat="1" spans="21:42">
      <c r="U16" s="1176"/>
      <c r="AG16" s="1157"/>
      <c r="AH16" s="1157"/>
      <c r="AI16" s="1157"/>
      <c r="AJ16" s="1157"/>
      <c r="AK16" s="1157"/>
      <c r="AL16" s="1157"/>
      <c r="AM16" s="1157"/>
      <c r="AN16" s="1157"/>
      <c r="AO16" s="1356"/>
      <c r="AP16" s="1188"/>
    </row>
    <row r="17" s="1153" customFormat="1" spans="21:42">
      <c r="U17" s="1176"/>
      <c r="AG17" s="1157"/>
      <c r="AH17" s="1157"/>
      <c r="AI17" s="1157"/>
      <c r="AJ17" s="1157"/>
      <c r="AK17" s="1157"/>
      <c r="AL17" s="1157"/>
      <c r="AM17" s="1157"/>
      <c r="AN17" s="1157"/>
      <c r="AO17" s="1356"/>
      <c r="AP17" s="1188"/>
    </row>
    <row r="18" s="1153" customFormat="1" spans="21:42">
      <c r="U18" s="1176"/>
      <c r="AG18" s="1157"/>
      <c r="AH18" s="1157"/>
      <c r="AI18" s="1157"/>
      <c r="AJ18" s="1157"/>
      <c r="AK18" s="1157"/>
      <c r="AL18" s="1157"/>
      <c r="AM18" s="1157"/>
      <c r="AN18" s="1157"/>
      <c r="AO18" s="1356"/>
      <c r="AP18" s="1188"/>
    </row>
    <row r="19" s="1153" customFormat="1" spans="21:42">
      <c r="U19" s="1176"/>
      <c r="AG19" s="1157"/>
      <c r="AH19" s="1157"/>
      <c r="AI19" s="1157"/>
      <c r="AJ19" s="1157"/>
      <c r="AK19" s="1157"/>
      <c r="AL19" s="1157"/>
      <c r="AM19" s="1157"/>
      <c r="AN19" s="1157"/>
      <c r="AO19" s="1356"/>
      <c r="AP19" s="1188"/>
    </row>
    <row r="20" s="1153" customFormat="1" spans="21:42">
      <c r="U20" s="1176"/>
      <c r="AG20" s="1157"/>
      <c r="AH20" s="1157"/>
      <c r="AI20" s="1157"/>
      <c r="AJ20" s="1157"/>
      <c r="AK20" s="1157"/>
      <c r="AL20" s="1157"/>
      <c r="AM20" s="1157"/>
      <c r="AN20" s="1157"/>
      <c r="AO20" s="1356"/>
      <c r="AP20" s="1188"/>
    </row>
    <row r="21" s="1153" customFormat="1" spans="21:42">
      <c r="U21" s="1176"/>
      <c r="AG21" s="1157"/>
      <c r="AH21" s="1157"/>
      <c r="AI21" s="1157"/>
      <c r="AJ21" s="1157"/>
      <c r="AK21" s="1157"/>
      <c r="AL21" s="1157"/>
      <c r="AM21" s="1157"/>
      <c r="AN21" s="1157"/>
      <c r="AO21" s="1356"/>
      <c r="AP21" s="1188"/>
    </row>
  </sheetData>
  <mergeCells count="38">
    <mergeCell ref="L3:M3"/>
    <mergeCell ref="N3:O3"/>
    <mergeCell ref="B3:B4"/>
    <mergeCell ref="C3:C4"/>
    <mergeCell ref="D3:D4"/>
    <mergeCell ref="E3:E4"/>
    <mergeCell ref="F3:F4"/>
    <mergeCell ref="G3:G4"/>
    <mergeCell ref="H3:H4"/>
    <mergeCell ref="I3:I4"/>
    <mergeCell ref="J3:J4"/>
    <mergeCell ref="K3:K4"/>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s>
  <conditionalFormatting sqref="Q3:Q4;Q8:Q9">
    <cfRule type="expression" dxfId="803" priority="1" stopIfTrue="1">
      <formula>NOT(ISERROR(SEARCH("warning",Q3)))</formula>
    </cfRule>
  </conditionalFormatting>
  <conditionalFormatting sqref="AI8:AI9">
    <cfRule type="expression" dxfId="804" priority="2" stopIfTrue="1">
      <formula>IF(OR(#REF!="not",#REF!="resign",#REF!="resign",#REF!="end",#REF!="terminated",#REF!="permanent"),"TRUE","FALSE")</formula>
    </cfRule>
  </conditionalFormatting>
  <conditionalFormatting sqref="E8:E9">
    <cfRule type="expression" dxfId="805" priority="3" stopIfTrue="1">
      <formula>IF(OR(#REF!="not",#REF!="resign",#REF!="resign",#REF!="end",#REF!="terminated",#REF!="permanent"),"TRUE","FALSE")</formula>
    </cfRule>
  </conditionalFormatting>
  <conditionalFormatting sqref="Z8:Z9">
    <cfRule type="expression" dxfId="806" priority="4" stopIfTrue="1">
      <formula>IF(OR(#REF!="not",#REF!="resign",#REF!="resign",#REF!="end",#REF!="terminated",#REF!="permanent"),"TRUE","FALSE")</formula>
    </cfRule>
  </conditionalFormatting>
  <conditionalFormatting sqref="Z5;Z13">
    <cfRule type="expression" dxfId="807" priority="5" stopIfTrue="1">
      <formula>IF(OR(#REF!="not",#REF!="resign",#REF!="resign",#REF!="end",#REF!="terminated",#REF!="permanent"),"TRUE","FALSE")</formula>
    </cfRule>
  </conditionalFormatting>
  <conditionalFormatting sqref="Z6:Z7">
    <cfRule type="expression" dxfId="808" priority="6" stopIfTrue="1">
      <formula>IF(OR(#REF!="not",#REF!="resign",#REF!="resign",#REF!="end",#REF!="terminated",#REF!="permanent"),"TRUE","FALSE")</formula>
    </cfRule>
  </conditionalFormatting>
  <hyperlinks>
    <hyperlink ref="AM13" location="" display="lilikrhy@yahoo.com"/>
    <hyperlink ref="AM5" location="" display="syahr_monake@yahoo.co.uk"/>
  </hyperlinks>
  <pageMargins left="0.699305555555556" right="0.699305555555556" top="0.75" bottom="0.75" header="0.3" footer="0.3"/>
  <pageSetup paperSize="1" orientation="landscape"/>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AQ37"/>
  <sheetViews>
    <sheetView showGridLines="0" topLeftCell="A7" workbookViewId="0">
      <pane xSplit="3" ySplit="7" topLeftCell="Z14" activePane="bottomRight" state="frozen"/>
      <selection/>
      <selection pane="topRight"/>
      <selection pane="bottomLeft"/>
      <selection pane="bottomRight" activeCell="AB16" sqref="AB16"/>
    </sheetView>
  </sheetViews>
  <sheetFormatPr defaultColWidth="9" defaultRowHeight="12.95" customHeight="1"/>
  <cols>
    <col min="1" max="1" width="6.425" style="2" customWidth="1"/>
    <col min="2" max="2" width="9.425" style="2" customWidth="1"/>
    <col min="3" max="3" width="12.7083333333333" style="2" customWidth="1"/>
    <col min="4" max="4" width="14" style="2" customWidth="1"/>
    <col min="5" max="5" width="3.56666666666667" style="2" customWidth="1"/>
    <col min="6" max="6" width="8.14166666666667" style="2" customWidth="1"/>
    <col min="7" max="7" width="12" style="2" customWidth="1"/>
    <col min="8" max="10" width="9" style="2" customWidth="1"/>
    <col min="11" max="23" width="8.56666666666667" style="2" customWidth="1"/>
    <col min="24" max="24" width="9" style="2" customWidth="1"/>
    <col min="25" max="25" width="9.85833333333333" style="2" customWidth="1"/>
    <col min="26" max="26" width="10.2833333333333" style="2" customWidth="1"/>
    <col min="27" max="27" width="10" style="2" customWidth="1"/>
    <col min="28" max="28" width="43.8583333333333" style="2" customWidth="1"/>
    <col min="29" max="29" width="14.425" style="2" customWidth="1"/>
    <col min="30" max="30" width="19.8583333333333" style="2" customWidth="1"/>
    <col min="31" max="31" width="35" style="2" customWidth="1"/>
    <col min="32" max="32" width="13.1416666666667" style="2" customWidth="1"/>
    <col min="33" max="33" width="31.7083333333333" style="2" customWidth="1"/>
    <col min="34" max="34" width="18" style="2" customWidth="1"/>
    <col min="35" max="35" width="17.1416666666667" style="2" customWidth="1"/>
    <col min="36" max="36" width="11.7083333333333" style="2" customWidth="1"/>
    <col min="37" max="37" width="11.8583333333333" style="2" customWidth="1"/>
    <col min="38" max="38" width="27" style="2" customWidth="1"/>
    <col min="39" max="39" width="19.2833333333333" style="2" customWidth="1"/>
    <col min="40" max="42" width="9.14166666666667" style="2"/>
    <col min="43" max="43" width="9.85833333333333" style="2" customWidth="1"/>
    <col min="44" max="16384" width="9.14166666666667" style="2"/>
  </cols>
  <sheetData>
    <row r="1" s="1" customFormat="1" customHeight="1" spans="1:37">
      <c r="A1" s="9"/>
      <c r="B1" s="9"/>
      <c r="C1" s="9"/>
      <c r="D1" s="9"/>
      <c r="E1" s="9"/>
      <c r="F1" s="9"/>
      <c r="AI1" s="145" t="s">
        <v>11108</v>
      </c>
      <c r="AJ1" s="145"/>
      <c r="AK1" s="145"/>
    </row>
    <row r="2" s="1" customFormat="1" customHeight="1" spans="1:37">
      <c r="A2" s="9"/>
      <c r="B2" s="9"/>
      <c r="C2" s="9"/>
      <c r="D2" s="9"/>
      <c r="E2" s="9"/>
      <c r="F2" s="9"/>
      <c r="AI2" s="146" t="s">
        <v>11109</v>
      </c>
      <c r="AJ2" s="146"/>
      <c r="AK2" s="146"/>
    </row>
    <row r="3" s="1" customFormat="1" customHeight="1" spans="1:37">
      <c r="A3" s="9"/>
      <c r="B3" s="9"/>
      <c r="C3" s="9"/>
      <c r="D3" s="9"/>
      <c r="E3" s="9"/>
      <c r="F3" s="9"/>
      <c r="AI3" s="146" t="s">
        <v>11110</v>
      </c>
      <c r="AJ3" s="146"/>
      <c r="AK3" s="146"/>
    </row>
    <row r="4" s="1" customFormat="1" customHeight="1" spans="1:37">
      <c r="A4" s="9"/>
      <c r="B4" s="9"/>
      <c r="C4" s="9"/>
      <c r="D4" s="9"/>
      <c r="E4" s="9"/>
      <c r="F4" s="9"/>
      <c r="AI4" s="146" t="s">
        <v>11111</v>
      </c>
      <c r="AJ4" s="146"/>
      <c r="AK4" s="146"/>
    </row>
    <row r="5" s="1" customFormat="1" customHeight="1" spans="1:6">
      <c r="A5" s="9"/>
      <c r="B5" s="9"/>
      <c r="C5" s="9"/>
      <c r="D5" s="9"/>
      <c r="E5" s="9"/>
      <c r="F5" s="9"/>
    </row>
    <row r="6" s="1" customFormat="1" customHeight="1" spans="1:6">
      <c r="A6" s="9"/>
      <c r="B6" s="9"/>
      <c r="C6" s="9"/>
      <c r="D6" s="9"/>
      <c r="E6" s="9"/>
      <c r="F6" s="9"/>
    </row>
    <row r="7" s="1" customFormat="1" hidden="1" customHeight="1" spans="3:6">
      <c r="C7" s="9"/>
      <c r="D7" s="9"/>
      <c r="E7" s="9"/>
      <c r="F7" s="9"/>
    </row>
    <row r="8" s="1" customFormat="1" customHeight="1" spans="1:32">
      <c r="A8" s="10" t="s">
        <v>7926</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row>
    <row r="9" s="1" customFormat="1" customHeight="1" spans="1:32">
      <c r="A9" s="10" t="s">
        <v>13473</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row>
    <row r="10" s="1" customFormat="1" hidden="1" customHeight="1" spans="1:3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row>
    <row r="11" s="1" customFormat="1" hidden="1" customHeight="1" spans="3:39">
      <c r="C11" s="9"/>
      <c r="D11" s="9"/>
      <c r="E11" s="9"/>
      <c r="F11" s="9"/>
      <c r="AM11" s="1" t="s">
        <v>13474</v>
      </c>
    </row>
    <row r="12" s="1" customFormat="1" ht="27.75" customHeight="1" spans="1:39">
      <c r="A12" s="11" t="s">
        <v>0</v>
      </c>
      <c r="B12" s="11" t="s">
        <v>1</v>
      </c>
      <c r="C12" s="11" t="s">
        <v>2</v>
      </c>
      <c r="D12" s="11" t="s">
        <v>3</v>
      </c>
      <c r="E12" s="11" t="s">
        <v>4</v>
      </c>
      <c r="F12" s="11" t="s">
        <v>7929</v>
      </c>
      <c r="G12" s="11" t="s">
        <v>8</v>
      </c>
      <c r="H12" s="43" t="s">
        <v>9</v>
      </c>
      <c r="I12" s="44"/>
      <c r="J12" s="44"/>
      <c r="K12" s="44"/>
      <c r="L12" s="240"/>
      <c r="M12" s="240"/>
      <c r="N12" s="43" t="s">
        <v>11</v>
      </c>
      <c r="O12" s="44"/>
      <c r="P12" s="44"/>
      <c r="Q12" s="500" t="s">
        <v>13475</v>
      </c>
      <c r="R12" s="501"/>
      <c r="S12" s="43" t="s">
        <v>9</v>
      </c>
      <c r="T12" s="44"/>
      <c r="U12" s="242"/>
      <c r="V12" s="242"/>
      <c r="W12" s="242"/>
      <c r="X12" s="11" t="s">
        <v>14</v>
      </c>
      <c r="Y12" s="33" t="s">
        <v>15</v>
      </c>
      <c r="Z12" s="11" t="s">
        <v>16</v>
      </c>
      <c r="AA12" s="442" t="s">
        <v>13476</v>
      </c>
      <c r="AB12" s="11" t="s">
        <v>15</v>
      </c>
      <c r="AC12" s="11" t="s">
        <v>3509</v>
      </c>
      <c r="AD12" s="11" t="s">
        <v>15</v>
      </c>
      <c r="AE12" s="60" t="s">
        <v>28</v>
      </c>
      <c r="AF12" s="61" t="s">
        <v>29</v>
      </c>
      <c r="AG12" s="71" t="s">
        <v>30</v>
      </c>
      <c r="AH12" s="251" t="s">
        <v>31</v>
      </c>
      <c r="AI12" s="251" t="s">
        <v>32</v>
      </c>
      <c r="AJ12" s="251" t="s">
        <v>7934</v>
      </c>
      <c r="AK12" s="251" t="s">
        <v>34</v>
      </c>
      <c r="AL12" s="72" t="s">
        <v>35</v>
      </c>
      <c r="AM12" s="72" t="s">
        <v>36</v>
      </c>
    </row>
    <row r="13" s="1" customFormat="1" ht="13.5" spans="1:39">
      <c r="A13" s="236"/>
      <c r="B13" s="236"/>
      <c r="C13" s="236"/>
      <c r="D13" s="236"/>
      <c r="E13" s="236"/>
      <c r="F13" s="236"/>
      <c r="G13" s="236"/>
      <c r="H13" s="33" t="s">
        <v>37</v>
      </c>
      <c r="I13" s="33" t="s">
        <v>38</v>
      </c>
      <c r="J13" s="33">
        <v>1</v>
      </c>
      <c r="K13" s="33">
        <v>2</v>
      </c>
      <c r="L13" s="33">
        <v>3</v>
      </c>
      <c r="M13" s="33"/>
      <c r="N13" s="33" t="s">
        <v>37</v>
      </c>
      <c r="O13" s="33" t="s">
        <v>38</v>
      </c>
      <c r="P13" s="33">
        <v>1</v>
      </c>
      <c r="Q13" s="502" t="s">
        <v>37</v>
      </c>
      <c r="R13" s="502" t="s">
        <v>38</v>
      </c>
      <c r="S13" s="33" t="s">
        <v>37</v>
      </c>
      <c r="T13" s="33" t="s">
        <v>38</v>
      </c>
      <c r="U13" s="236">
        <v>1</v>
      </c>
      <c r="V13" s="236">
        <v>2</v>
      </c>
      <c r="W13" s="236"/>
      <c r="X13" s="236"/>
      <c r="Y13" s="243"/>
      <c r="Z13" s="236"/>
      <c r="AA13" s="443"/>
      <c r="AB13" s="236"/>
      <c r="AC13" s="244"/>
      <c r="AD13" s="244"/>
      <c r="AE13" s="247"/>
      <c r="AF13" s="248"/>
      <c r="AG13" s="249"/>
      <c r="AH13" s="252"/>
      <c r="AI13" s="252"/>
      <c r="AJ13" s="252"/>
      <c r="AK13" s="252"/>
      <c r="AL13" s="507"/>
      <c r="AM13" s="256"/>
    </row>
    <row r="14" ht="36.75" spans="1:39">
      <c r="A14" s="1607" t="s">
        <v>39</v>
      </c>
      <c r="B14" s="1607" t="s">
        <v>13477</v>
      </c>
      <c r="C14" s="497" t="s">
        <v>13478</v>
      </c>
      <c r="D14" s="65" t="s">
        <v>13479</v>
      </c>
      <c r="E14" s="65" t="s">
        <v>43</v>
      </c>
      <c r="F14" s="16" t="s">
        <v>254</v>
      </c>
      <c r="G14" s="65" t="s">
        <v>13480</v>
      </c>
      <c r="H14" s="436">
        <v>41518</v>
      </c>
      <c r="I14" s="436">
        <v>41882</v>
      </c>
      <c r="J14" s="436">
        <v>42247</v>
      </c>
      <c r="K14" s="436"/>
      <c r="L14" s="436"/>
      <c r="M14" s="436"/>
      <c r="N14" s="436">
        <v>42248</v>
      </c>
      <c r="O14" s="436">
        <v>42613</v>
      </c>
      <c r="P14" s="436"/>
      <c r="Q14" s="436">
        <v>42614</v>
      </c>
      <c r="R14" s="436">
        <v>42674</v>
      </c>
      <c r="S14" s="436">
        <v>42675</v>
      </c>
      <c r="T14" s="436">
        <v>43039</v>
      </c>
      <c r="U14" s="436">
        <v>43343</v>
      </c>
      <c r="V14" s="499" t="s">
        <v>604</v>
      </c>
      <c r="W14" s="436"/>
      <c r="X14" s="503">
        <f ca="1" t="shared" ref="X14:X23" si="0">SUM(U14-NOW())</f>
        <v>70.61546296296</v>
      </c>
      <c r="Y14" s="504" t="str">
        <f ca="1">IF(X14&lt;=46,"WARNING","ACTIVE")</f>
        <v>ACTIVE</v>
      </c>
      <c r="Z14" s="505">
        <v>5609158</v>
      </c>
      <c r="AA14" s="245">
        <v>1150000</v>
      </c>
      <c r="AB14" s="505" t="s">
        <v>13481</v>
      </c>
      <c r="AC14" s="65" t="s">
        <v>13482</v>
      </c>
      <c r="AD14" s="65" t="s">
        <v>13483</v>
      </c>
      <c r="AE14" s="65" t="s">
        <v>13484</v>
      </c>
      <c r="AF14" s="65" t="s">
        <v>13485</v>
      </c>
      <c r="AG14" s="65" t="s">
        <v>13486</v>
      </c>
      <c r="AH14" s="65"/>
      <c r="AI14" s="65" t="s">
        <v>13487</v>
      </c>
      <c r="AJ14" s="65"/>
      <c r="AK14" s="65" t="s">
        <v>13488</v>
      </c>
      <c r="AL14" s="65" t="s">
        <v>13489</v>
      </c>
      <c r="AM14" s="13"/>
    </row>
    <row r="15" ht="48" spans="1:39">
      <c r="A15" s="1607" t="s">
        <v>56</v>
      </c>
      <c r="B15" s="1607" t="s">
        <v>13490</v>
      </c>
      <c r="C15" s="497" t="s">
        <v>13491</v>
      </c>
      <c r="D15" s="65" t="s">
        <v>13492</v>
      </c>
      <c r="E15" s="65" t="s">
        <v>43</v>
      </c>
      <c r="F15" s="16" t="s">
        <v>254</v>
      </c>
      <c r="G15" s="65" t="s">
        <v>13493</v>
      </c>
      <c r="H15" s="436">
        <v>41518</v>
      </c>
      <c r="I15" s="436">
        <v>41882</v>
      </c>
      <c r="J15" s="436">
        <v>42247</v>
      </c>
      <c r="K15" s="436"/>
      <c r="L15" s="436"/>
      <c r="M15" s="436"/>
      <c r="N15" s="436">
        <v>42248</v>
      </c>
      <c r="O15" s="436">
        <v>42613</v>
      </c>
      <c r="P15" s="436"/>
      <c r="Q15" s="436">
        <v>42614</v>
      </c>
      <c r="R15" s="436">
        <v>42674</v>
      </c>
      <c r="S15" s="436">
        <v>42675</v>
      </c>
      <c r="T15" s="436">
        <v>43039</v>
      </c>
      <c r="U15" s="436">
        <v>43343</v>
      </c>
      <c r="V15" s="499" t="s">
        <v>604</v>
      </c>
      <c r="W15" s="436"/>
      <c r="X15" s="503">
        <f ca="1" t="shared" si="0"/>
        <v>70.61546296296</v>
      </c>
      <c r="Y15" s="504" t="str">
        <f ca="1" t="shared" ref="Y15:Y27" si="1">IF(X15&lt;=46,"WARNING","ACTIVE")</f>
        <v>ACTIVE</v>
      </c>
      <c r="Z15" s="505">
        <v>5068495</v>
      </c>
      <c r="AA15" s="245">
        <v>1200000</v>
      </c>
      <c r="AB15" s="505" t="s">
        <v>13494</v>
      </c>
      <c r="AC15" s="65" t="s">
        <v>13482</v>
      </c>
      <c r="AD15" s="65" t="s">
        <v>13483</v>
      </c>
      <c r="AE15" s="65" t="s">
        <v>13495</v>
      </c>
      <c r="AF15" s="65" t="s">
        <v>13496</v>
      </c>
      <c r="AG15" s="65" t="s">
        <v>13497</v>
      </c>
      <c r="AH15" s="65"/>
      <c r="AI15" s="65" t="s">
        <v>13498</v>
      </c>
      <c r="AJ15" s="65"/>
      <c r="AK15" s="65" t="s">
        <v>13499</v>
      </c>
      <c r="AL15" s="154" t="s">
        <v>13500</v>
      </c>
      <c r="AM15" s="13"/>
    </row>
    <row r="16" ht="48" spans="1:39">
      <c r="A16" s="1607" t="s">
        <v>68</v>
      </c>
      <c r="B16" s="1607" t="s">
        <v>13501</v>
      </c>
      <c r="C16" s="497" t="s">
        <v>13502</v>
      </c>
      <c r="D16" s="65" t="s">
        <v>13503</v>
      </c>
      <c r="E16" s="65" t="s">
        <v>125</v>
      </c>
      <c r="F16" s="16" t="s">
        <v>254</v>
      </c>
      <c r="G16" s="65" t="s">
        <v>13504</v>
      </c>
      <c r="H16" s="436">
        <v>41518</v>
      </c>
      <c r="I16" s="436">
        <v>41882</v>
      </c>
      <c r="J16" s="436">
        <v>42247</v>
      </c>
      <c r="K16" s="436"/>
      <c r="L16" s="436"/>
      <c r="M16" s="436"/>
      <c r="N16" s="436">
        <v>42248</v>
      </c>
      <c r="O16" s="436">
        <v>42613</v>
      </c>
      <c r="P16" s="436"/>
      <c r="Q16" s="436">
        <v>42614</v>
      </c>
      <c r="R16" s="436">
        <v>42674</v>
      </c>
      <c r="S16" s="436">
        <v>42675</v>
      </c>
      <c r="T16" s="436">
        <v>43039</v>
      </c>
      <c r="U16" s="436">
        <v>43343</v>
      </c>
      <c r="V16" s="499" t="s">
        <v>604</v>
      </c>
      <c r="W16" s="436"/>
      <c r="X16" s="503">
        <f ca="1" t="shared" si="0"/>
        <v>70.61546296296</v>
      </c>
      <c r="Y16" s="504" t="str">
        <f ca="1" t="shared" si="1"/>
        <v>ACTIVE</v>
      </c>
      <c r="Z16" s="505">
        <v>5466448</v>
      </c>
      <c r="AA16" s="245">
        <v>1100000</v>
      </c>
      <c r="AB16" s="505" t="s">
        <v>13505</v>
      </c>
      <c r="AC16" s="65" t="s">
        <v>13482</v>
      </c>
      <c r="AD16" s="65" t="s">
        <v>13483</v>
      </c>
      <c r="AE16" s="65" t="s">
        <v>13506</v>
      </c>
      <c r="AF16" s="65" t="s">
        <v>13507</v>
      </c>
      <c r="AG16" s="65" t="s">
        <v>13508</v>
      </c>
      <c r="AH16" s="65"/>
      <c r="AI16" s="65" t="s">
        <v>13509</v>
      </c>
      <c r="AJ16" s="65"/>
      <c r="AK16" s="65" t="s">
        <v>13510</v>
      </c>
      <c r="AL16" s="65" t="s">
        <v>13511</v>
      </c>
      <c r="AM16" s="13"/>
    </row>
    <row r="17" ht="48" spans="1:39">
      <c r="A17" s="1607" t="s">
        <v>78</v>
      </c>
      <c r="B17" s="1607" t="s">
        <v>13512</v>
      </c>
      <c r="C17" s="497" t="s">
        <v>13513</v>
      </c>
      <c r="D17" s="65" t="s">
        <v>13514</v>
      </c>
      <c r="E17" s="65" t="s">
        <v>43</v>
      </c>
      <c r="F17" s="16" t="s">
        <v>254</v>
      </c>
      <c r="G17" s="65" t="s">
        <v>13515</v>
      </c>
      <c r="H17" s="436">
        <v>41518</v>
      </c>
      <c r="I17" s="436">
        <v>41882</v>
      </c>
      <c r="J17" s="436">
        <v>42247</v>
      </c>
      <c r="K17" s="436"/>
      <c r="L17" s="436"/>
      <c r="M17" s="436"/>
      <c r="N17" s="436">
        <v>42248</v>
      </c>
      <c r="O17" s="436">
        <v>42613</v>
      </c>
      <c r="P17" s="436"/>
      <c r="Q17" s="436">
        <v>42614</v>
      </c>
      <c r="R17" s="436">
        <v>42674</v>
      </c>
      <c r="S17" s="436">
        <v>42675</v>
      </c>
      <c r="T17" s="436">
        <v>43039</v>
      </c>
      <c r="U17" s="436">
        <v>43343</v>
      </c>
      <c r="V17" s="499" t="s">
        <v>604</v>
      </c>
      <c r="W17" s="436"/>
      <c r="X17" s="503">
        <f ca="1" t="shared" si="0"/>
        <v>70.61546296296</v>
      </c>
      <c r="Y17" s="504" t="str">
        <f ca="1" t="shared" si="1"/>
        <v>ACTIVE</v>
      </c>
      <c r="Z17" s="505">
        <v>5193545</v>
      </c>
      <c r="AA17" s="245">
        <v>1000000</v>
      </c>
      <c r="AB17" s="505" t="s">
        <v>13516</v>
      </c>
      <c r="AC17" s="65" t="s">
        <v>13482</v>
      </c>
      <c r="AD17" s="65" t="s">
        <v>13483</v>
      </c>
      <c r="AE17" s="65" t="s">
        <v>13517</v>
      </c>
      <c r="AF17" s="65" t="s">
        <v>13518</v>
      </c>
      <c r="AG17" s="65" t="s">
        <v>13519</v>
      </c>
      <c r="AH17" s="65"/>
      <c r="AI17" s="65" t="s">
        <v>13520</v>
      </c>
      <c r="AJ17" s="65">
        <v>10022605264</v>
      </c>
      <c r="AK17" s="65" t="s">
        <v>13521</v>
      </c>
      <c r="AL17" s="65"/>
      <c r="AM17" s="13"/>
    </row>
    <row r="18" ht="48" spans="1:43">
      <c r="A18" s="1607" t="s">
        <v>92</v>
      </c>
      <c r="B18" s="1607" t="s">
        <v>13522</v>
      </c>
      <c r="C18" s="497" t="s">
        <v>13523</v>
      </c>
      <c r="D18" s="65" t="s">
        <v>13524</v>
      </c>
      <c r="E18" s="65" t="s">
        <v>43</v>
      </c>
      <c r="F18" s="16" t="s">
        <v>254</v>
      </c>
      <c r="G18" s="65" t="s">
        <v>13515</v>
      </c>
      <c r="H18" s="436">
        <v>41518</v>
      </c>
      <c r="I18" s="436">
        <v>41882</v>
      </c>
      <c r="J18" s="436">
        <v>42247</v>
      </c>
      <c r="K18" s="436"/>
      <c r="L18" s="436"/>
      <c r="M18" s="436"/>
      <c r="N18" s="436">
        <v>42248</v>
      </c>
      <c r="O18" s="436">
        <v>42613</v>
      </c>
      <c r="P18" s="436"/>
      <c r="Q18" s="436">
        <v>42614</v>
      </c>
      <c r="R18" s="436">
        <v>42674</v>
      </c>
      <c r="S18" s="436">
        <v>42675</v>
      </c>
      <c r="T18" s="436">
        <v>43039</v>
      </c>
      <c r="U18" s="436">
        <v>43343</v>
      </c>
      <c r="V18" s="499" t="s">
        <v>604</v>
      </c>
      <c r="W18" s="436"/>
      <c r="X18" s="503">
        <f ca="1" t="shared" si="0"/>
        <v>70.61546296296</v>
      </c>
      <c r="Y18" s="504" t="str">
        <f ca="1" t="shared" si="1"/>
        <v>ACTIVE</v>
      </c>
      <c r="Z18" s="505">
        <v>5748414</v>
      </c>
      <c r="AA18" s="245">
        <v>1550000</v>
      </c>
      <c r="AB18" s="505" t="s">
        <v>13525</v>
      </c>
      <c r="AC18" s="65" t="s">
        <v>13482</v>
      </c>
      <c r="AD18" s="65" t="s">
        <v>13483</v>
      </c>
      <c r="AE18" s="65" t="s">
        <v>13526</v>
      </c>
      <c r="AF18" s="65" t="s">
        <v>13527</v>
      </c>
      <c r="AG18" s="65" t="s">
        <v>13528</v>
      </c>
      <c r="AH18" s="65"/>
      <c r="AI18" s="65" t="s">
        <v>13529</v>
      </c>
      <c r="AJ18" s="1612" t="s">
        <v>13530</v>
      </c>
      <c r="AK18" s="65" t="s">
        <v>13531</v>
      </c>
      <c r="AL18" s="65" t="s">
        <v>13532</v>
      </c>
      <c r="AM18" s="13"/>
      <c r="AQ18" s="153"/>
    </row>
    <row r="19" ht="60" spans="1:39">
      <c r="A19" s="1607" t="s">
        <v>107</v>
      </c>
      <c r="B19" s="1607" t="s">
        <v>13533</v>
      </c>
      <c r="C19" s="497" t="s">
        <v>13534</v>
      </c>
      <c r="D19" s="65" t="s">
        <v>13535</v>
      </c>
      <c r="E19" s="65" t="s">
        <v>43</v>
      </c>
      <c r="F19" s="16" t="s">
        <v>44</v>
      </c>
      <c r="G19" s="65" t="s">
        <v>3108</v>
      </c>
      <c r="H19" s="436">
        <v>41518</v>
      </c>
      <c r="I19" s="436">
        <v>41882</v>
      </c>
      <c r="J19" s="436">
        <v>42247</v>
      </c>
      <c r="K19" s="436"/>
      <c r="L19" s="436"/>
      <c r="M19" s="436"/>
      <c r="N19" s="436">
        <v>42248</v>
      </c>
      <c r="O19" s="436">
        <v>42369</v>
      </c>
      <c r="P19" s="436">
        <v>42613</v>
      </c>
      <c r="Q19" s="436">
        <v>42614</v>
      </c>
      <c r="R19" s="436">
        <v>42674</v>
      </c>
      <c r="S19" s="436">
        <v>42675</v>
      </c>
      <c r="T19" s="436">
        <v>43039</v>
      </c>
      <c r="U19" s="436">
        <v>43343</v>
      </c>
      <c r="V19" s="499" t="s">
        <v>604</v>
      </c>
      <c r="W19" s="436"/>
      <c r="X19" s="503">
        <f ca="1" t="shared" si="0"/>
        <v>70.61546296296</v>
      </c>
      <c r="Y19" s="504" t="str">
        <f ca="1" t="shared" si="1"/>
        <v>ACTIVE</v>
      </c>
      <c r="Z19" s="505">
        <v>3124335</v>
      </c>
      <c r="AA19" s="245">
        <v>838938</v>
      </c>
      <c r="AB19" s="505" t="s">
        <v>13536</v>
      </c>
      <c r="AC19" s="65" t="s">
        <v>13482</v>
      </c>
      <c r="AD19" s="65" t="s">
        <v>13483</v>
      </c>
      <c r="AE19" s="65" t="s">
        <v>13537</v>
      </c>
      <c r="AF19" s="65" t="s">
        <v>13538</v>
      </c>
      <c r="AG19" s="65" t="s">
        <v>13539</v>
      </c>
      <c r="AH19" s="65"/>
      <c r="AI19" s="65" t="s">
        <v>13540</v>
      </c>
      <c r="AJ19" s="65">
        <v>13010407230</v>
      </c>
      <c r="AK19" s="65" t="s">
        <v>13541</v>
      </c>
      <c r="AL19" s="65" t="s">
        <v>13542</v>
      </c>
      <c r="AM19" s="13"/>
    </row>
    <row r="20" ht="60" spans="1:39">
      <c r="A20" s="1607" t="s">
        <v>121</v>
      </c>
      <c r="B20" s="1607" t="s">
        <v>13543</v>
      </c>
      <c r="C20" s="497" t="s">
        <v>13544</v>
      </c>
      <c r="D20" s="65" t="s">
        <v>13545</v>
      </c>
      <c r="E20" s="65" t="s">
        <v>43</v>
      </c>
      <c r="F20" s="16" t="s">
        <v>254</v>
      </c>
      <c r="G20" s="65" t="s">
        <v>3108</v>
      </c>
      <c r="H20" s="436">
        <v>41579</v>
      </c>
      <c r="I20" s="436">
        <v>41882</v>
      </c>
      <c r="J20" s="436">
        <v>42247</v>
      </c>
      <c r="K20" s="436">
        <v>42369</v>
      </c>
      <c r="L20" s="436"/>
      <c r="M20" s="436"/>
      <c r="N20" s="436">
        <v>42370</v>
      </c>
      <c r="O20" s="436">
        <v>42613</v>
      </c>
      <c r="P20" s="436">
        <v>42674</v>
      </c>
      <c r="Q20" s="436">
        <v>42675</v>
      </c>
      <c r="R20" s="436">
        <v>42735</v>
      </c>
      <c r="S20" s="436">
        <v>42736</v>
      </c>
      <c r="T20" s="436">
        <v>43100</v>
      </c>
      <c r="U20" s="436">
        <v>43343</v>
      </c>
      <c r="V20" s="499" t="s">
        <v>604</v>
      </c>
      <c r="W20" s="436"/>
      <c r="X20" s="503">
        <f ca="1" t="shared" si="0"/>
        <v>70.61546296296</v>
      </c>
      <c r="Y20" s="504" t="str">
        <f ca="1" t="shared" si="1"/>
        <v>ACTIVE</v>
      </c>
      <c r="Z20" s="505">
        <v>2878494</v>
      </c>
      <c r="AA20" s="245">
        <v>838938</v>
      </c>
      <c r="AB20" s="505" t="s">
        <v>13546</v>
      </c>
      <c r="AC20" s="65" t="s">
        <v>13482</v>
      </c>
      <c r="AD20" s="65" t="s">
        <v>13483</v>
      </c>
      <c r="AE20" s="65" t="s">
        <v>13547</v>
      </c>
      <c r="AF20" s="65" t="s">
        <v>13548</v>
      </c>
      <c r="AG20" s="65" t="s">
        <v>13549</v>
      </c>
      <c r="AH20" s="65"/>
      <c r="AI20" s="65" t="s">
        <v>13550</v>
      </c>
      <c r="AJ20" s="65"/>
      <c r="AK20" s="1607" t="s">
        <v>13551</v>
      </c>
      <c r="AL20" s="65" t="s">
        <v>13552</v>
      </c>
      <c r="AM20" s="13"/>
    </row>
    <row r="21" ht="60" spans="1:39">
      <c r="A21" s="1607" t="s">
        <v>135</v>
      </c>
      <c r="B21" s="1607" t="s">
        <v>13553</v>
      </c>
      <c r="C21" s="497" t="s">
        <v>9688</v>
      </c>
      <c r="D21" s="65" t="s">
        <v>13554</v>
      </c>
      <c r="E21" s="65" t="s">
        <v>43</v>
      </c>
      <c r="F21" s="16" t="s">
        <v>60</v>
      </c>
      <c r="G21" s="65" t="s">
        <v>3108</v>
      </c>
      <c r="H21" s="436">
        <v>41579</v>
      </c>
      <c r="I21" s="436">
        <v>41882</v>
      </c>
      <c r="J21" s="436">
        <v>42247</v>
      </c>
      <c r="K21" s="436">
        <v>42369</v>
      </c>
      <c r="L21" s="436"/>
      <c r="M21" s="436"/>
      <c r="N21" s="436">
        <v>42370</v>
      </c>
      <c r="O21" s="436">
        <v>42613</v>
      </c>
      <c r="P21" s="436">
        <v>42674</v>
      </c>
      <c r="Q21" s="436">
        <v>42675</v>
      </c>
      <c r="R21" s="436">
        <v>42735</v>
      </c>
      <c r="S21" s="436">
        <v>42736</v>
      </c>
      <c r="T21" s="436">
        <v>43100</v>
      </c>
      <c r="U21" s="436">
        <v>43343</v>
      </c>
      <c r="V21" s="499" t="s">
        <v>604</v>
      </c>
      <c r="W21" s="436"/>
      <c r="X21" s="503">
        <f ca="1" t="shared" si="0"/>
        <v>70.61546296296</v>
      </c>
      <c r="Y21" s="504" t="str">
        <f ca="1" t="shared" si="1"/>
        <v>ACTIVE</v>
      </c>
      <c r="Z21" s="505">
        <v>2878494</v>
      </c>
      <c r="AA21" s="245">
        <v>838938</v>
      </c>
      <c r="AB21" s="505" t="s">
        <v>13555</v>
      </c>
      <c r="AC21" s="65" t="s">
        <v>13482</v>
      </c>
      <c r="AD21" s="65" t="s">
        <v>13483</v>
      </c>
      <c r="AE21" s="65" t="s">
        <v>13556</v>
      </c>
      <c r="AF21" s="65" t="s">
        <v>13557</v>
      </c>
      <c r="AG21" s="65" t="s">
        <v>13558</v>
      </c>
      <c r="AH21" s="65"/>
      <c r="AI21" s="65" t="s">
        <v>13559</v>
      </c>
      <c r="AJ21" s="65"/>
      <c r="AK21" s="65" t="s">
        <v>13560</v>
      </c>
      <c r="AL21" s="154" t="s">
        <v>13561</v>
      </c>
      <c r="AM21" s="13"/>
    </row>
    <row r="22" ht="60" spans="1:39">
      <c r="A22" s="1607" t="s">
        <v>146</v>
      </c>
      <c r="B22" s="1607" t="s">
        <v>13562</v>
      </c>
      <c r="C22" s="497" t="s">
        <v>13563</v>
      </c>
      <c r="D22" s="65" t="s">
        <v>13564</v>
      </c>
      <c r="E22" s="65" t="s">
        <v>43</v>
      </c>
      <c r="F22" s="16" t="s">
        <v>44</v>
      </c>
      <c r="G22" s="65" t="s">
        <v>13565</v>
      </c>
      <c r="H22" s="436">
        <v>41579</v>
      </c>
      <c r="I22" s="436">
        <v>41882</v>
      </c>
      <c r="J22" s="436">
        <v>42247</v>
      </c>
      <c r="K22" s="436">
        <v>42308</v>
      </c>
      <c r="L22" s="436"/>
      <c r="M22" s="436"/>
      <c r="N22" s="436">
        <v>42309</v>
      </c>
      <c r="O22" s="436">
        <v>42613</v>
      </c>
      <c r="P22" s="436">
        <v>42674</v>
      </c>
      <c r="Q22" s="436">
        <v>42675</v>
      </c>
      <c r="R22" s="436">
        <v>42735</v>
      </c>
      <c r="S22" s="436">
        <v>42736</v>
      </c>
      <c r="T22" s="436">
        <v>43100</v>
      </c>
      <c r="U22" s="436">
        <v>43343</v>
      </c>
      <c r="V22" s="499" t="s">
        <v>604</v>
      </c>
      <c r="W22" s="436"/>
      <c r="X22" s="503">
        <f ca="1" t="shared" si="0"/>
        <v>70.61546296296</v>
      </c>
      <c r="Y22" s="504" t="str">
        <f ca="1" t="shared" si="1"/>
        <v>ACTIVE</v>
      </c>
      <c r="Z22" s="505">
        <v>4192650</v>
      </c>
      <c r="AA22" s="245">
        <v>600000</v>
      </c>
      <c r="AB22" s="505" t="s">
        <v>13566</v>
      </c>
      <c r="AC22" s="65" t="s">
        <v>13482</v>
      </c>
      <c r="AD22" s="65" t="s">
        <v>13483</v>
      </c>
      <c r="AE22" s="65" t="s">
        <v>13567</v>
      </c>
      <c r="AF22" s="65" t="s">
        <v>13568</v>
      </c>
      <c r="AG22" s="65" t="s">
        <v>13569</v>
      </c>
      <c r="AH22" s="65"/>
      <c r="AI22" s="65"/>
      <c r="AJ22" s="65"/>
      <c r="AK22" s="65" t="s">
        <v>13570</v>
      </c>
      <c r="AL22" s="154" t="s">
        <v>13571</v>
      </c>
      <c r="AM22" s="13"/>
    </row>
    <row r="23" ht="48" spans="1:39">
      <c r="A23" s="1607" t="s">
        <v>157</v>
      </c>
      <c r="B23" s="1607" t="s">
        <v>13572</v>
      </c>
      <c r="C23" s="497" t="s">
        <v>13573</v>
      </c>
      <c r="D23" s="65" t="s">
        <v>13574</v>
      </c>
      <c r="E23" s="65" t="s">
        <v>43</v>
      </c>
      <c r="F23" s="16" t="s">
        <v>404</v>
      </c>
      <c r="G23" s="65" t="s">
        <v>3108</v>
      </c>
      <c r="H23" s="436">
        <v>41579</v>
      </c>
      <c r="I23" s="436">
        <v>41882</v>
      </c>
      <c r="J23" s="436">
        <v>42247</v>
      </c>
      <c r="K23" s="436">
        <v>42369</v>
      </c>
      <c r="L23" s="436"/>
      <c r="M23" s="436"/>
      <c r="N23" s="436">
        <v>42370</v>
      </c>
      <c r="O23" s="436">
        <v>42613</v>
      </c>
      <c r="P23" s="436">
        <v>42674</v>
      </c>
      <c r="Q23" s="436">
        <v>42675</v>
      </c>
      <c r="R23" s="436">
        <v>42735</v>
      </c>
      <c r="S23" s="436">
        <v>42736</v>
      </c>
      <c r="T23" s="436">
        <v>43100</v>
      </c>
      <c r="U23" s="436">
        <v>43343</v>
      </c>
      <c r="V23" s="436"/>
      <c r="W23" s="436"/>
      <c r="X23" s="503">
        <f ca="1" t="shared" si="0"/>
        <v>70.61546296296</v>
      </c>
      <c r="Y23" s="504" t="str">
        <f ca="1" t="shared" si="1"/>
        <v>ACTIVE</v>
      </c>
      <c r="Z23" s="245">
        <v>2809097</v>
      </c>
      <c r="AA23" s="245">
        <v>838938</v>
      </c>
      <c r="AB23" s="245" t="s">
        <v>13575</v>
      </c>
      <c r="AC23" s="65" t="s">
        <v>13482</v>
      </c>
      <c r="AD23" s="65" t="s">
        <v>13483</v>
      </c>
      <c r="AE23" s="65" t="s">
        <v>13576</v>
      </c>
      <c r="AF23" s="65" t="s">
        <v>13577</v>
      </c>
      <c r="AG23" s="65" t="s">
        <v>13578</v>
      </c>
      <c r="AH23" s="65"/>
      <c r="AI23" s="65" t="s">
        <v>13579</v>
      </c>
      <c r="AJ23" s="65"/>
      <c r="AK23" s="65" t="s">
        <v>13580</v>
      </c>
      <c r="AL23" s="65"/>
      <c r="AM23" s="13"/>
    </row>
    <row r="24" ht="48" spans="1:39">
      <c r="A24" s="1607" t="s">
        <v>168</v>
      </c>
      <c r="B24" s="1607" t="s">
        <v>13581</v>
      </c>
      <c r="C24" s="497" t="s">
        <v>13582</v>
      </c>
      <c r="D24" s="65" t="s">
        <v>13583</v>
      </c>
      <c r="E24" s="65" t="s">
        <v>43</v>
      </c>
      <c r="F24" s="16" t="s">
        <v>60</v>
      </c>
      <c r="G24" s="65" t="s">
        <v>13584</v>
      </c>
      <c r="H24" s="436">
        <v>41883</v>
      </c>
      <c r="I24" s="436">
        <v>42247</v>
      </c>
      <c r="J24" s="436">
        <v>42338</v>
      </c>
      <c r="K24" s="436">
        <v>42613</v>
      </c>
      <c r="L24" s="436"/>
      <c r="M24" s="436"/>
      <c r="N24" s="436">
        <v>42614</v>
      </c>
      <c r="O24" s="436">
        <v>42674</v>
      </c>
      <c r="P24" s="436">
        <v>42978</v>
      </c>
      <c r="Q24" s="436">
        <v>42979</v>
      </c>
      <c r="R24" s="436">
        <v>43039</v>
      </c>
      <c r="S24" s="436">
        <v>43040</v>
      </c>
      <c r="T24" s="436">
        <v>43343</v>
      </c>
      <c r="U24" s="436"/>
      <c r="V24" s="436"/>
      <c r="W24" s="436"/>
      <c r="X24" s="503">
        <f ca="1">SUM(T24-NOW())</f>
        <v>70.61546296296</v>
      </c>
      <c r="Y24" s="504" t="str">
        <f ca="1" t="shared" si="1"/>
        <v>ACTIVE</v>
      </c>
      <c r="Z24" s="505">
        <v>2809097</v>
      </c>
      <c r="AA24" s="245">
        <v>838938</v>
      </c>
      <c r="AB24" s="245" t="s">
        <v>13585</v>
      </c>
      <c r="AC24" s="65" t="s">
        <v>13482</v>
      </c>
      <c r="AD24" s="65" t="s">
        <v>13483</v>
      </c>
      <c r="AE24" s="65" t="s">
        <v>13586</v>
      </c>
      <c r="AF24" s="65" t="s">
        <v>13587</v>
      </c>
      <c r="AG24" s="65" t="s">
        <v>13588</v>
      </c>
      <c r="AH24" s="65"/>
      <c r="AI24" s="65" t="s">
        <v>13589</v>
      </c>
      <c r="AJ24" s="65">
        <v>10018788645</v>
      </c>
      <c r="AK24" s="65" t="s">
        <v>13590</v>
      </c>
      <c r="AL24" s="65" t="s">
        <v>13591</v>
      </c>
      <c r="AM24" s="13"/>
    </row>
    <row r="25" ht="33.75" spans="1:39">
      <c r="A25" s="1607" t="s">
        <v>181</v>
      </c>
      <c r="B25" s="1607" t="s">
        <v>13592</v>
      </c>
      <c r="C25" s="497" t="s">
        <v>13593</v>
      </c>
      <c r="D25" s="65" t="s">
        <v>13594</v>
      </c>
      <c r="E25" s="65" t="s">
        <v>43</v>
      </c>
      <c r="F25" s="16" t="s">
        <v>60</v>
      </c>
      <c r="G25" s="65" t="s">
        <v>13595</v>
      </c>
      <c r="H25" s="436">
        <v>42370</v>
      </c>
      <c r="I25" s="436">
        <v>42460</v>
      </c>
      <c r="J25" s="436">
        <v>42613</v>
      </c>
      <c r="K25" s="436">
        <v>42674</v>
      </c>
      <c r="L25" s="436">
        <v>43039</v>
      </c>
      <c r="M25" s="436">
        <v>43100</v>
      </c>
      <c r="N25" s="436">
        <v>43101</v>
      </c>
      <c r="O25" s="436">
        <v>43343</v>
      </c>
      <c r="P25" s="499" t="s">
        <v>604</v>
      </c>
      <c r="Q25" s="436"/>
      <c r="R25" s="436"/>
      <c r="S25" s="436"/>
      <c r="T25" s="436"/>
      <c r="U25" s="436"/>
      <c r="V25" s="436"/>
      <c r="W25" s="436"/>
      <c r="X25" s="503">
        <f ca="1">SUM(O25-NOW())</f>
        <v>70.61546296296</v>
      </c>
      <c r="Y25" s="504" t="str">
        <f ca="1" t="shared" si="1"/>
        <v>ACTIVE</v>
      </c>
      <c r="Z25" s="505">
        <v>4577500</v>
      </c>
      <c r="AA25" s="245">
        <v>1000000</v>
      </c>
      <c r="AB25" s="505" t="s">
        <v>13596</v>
      </c>
      <c r="AC25" s="65" t="s">
        <v>13482</v>
      </c>
      <c r="AD25" s="65" t="s">
        <v>13483</v>
      </c>
      <c r="AE25" s="65" t="s">
        <v>13597</v>
      </c>
      <c r="AF25" s="65" t="s">
        <v>13598</v>
      </c>
      <c r="AG25" s="65" t="s">
        <v>13599</v>
      </c>
      <c r="AH25" s="1612" t="s">
        <v>13600</v>
      </c>
      <c r="AI25" s="65" t="s">
        <v>13601</v>
      </c>
      <c r="AJ25" s="65"/>
      <c r="AK25" s="65" t="s">
        <v>13602</v>
      </c>
      <c r="AL25" s="149" t="s">
        <v>13603</v>
      </c>
      <c r="AM25" s="13"/>
    </row>
    <row r="26" customHeight="1" spans="1:39">
      <c r="A26" s="1607" t="s">
        <v>194</v>
      </c>
      <c r="B26" s="1607" t="s">
        <v>13604</v>
      </c>
      <c r="C26" s="497" t="s">
        <v>13605</v>
      </c>
      <c r="D26" s="65" t="s">
        <v>13606</v>
      </c>
      <c r="E26" s="65" t="s">
        <v>43</v>
      </c>
      <c r="F26" s="16" t="s">
        <v>44</v>
      </c>
      <c r="G26" s="65" t="s">
        <v>13607</v>
      </c>
      <c r="H26" s="436">
        <v>43010</v>
      </c>
      <c r="I26" s="436">
        <v>43100</v>
      </c>
      <c r="J26" s="436">
        <v>43343</v>
      </c>
      <c r="K26" s="436"/>
      <c r="L26" s="436"/>
      <c r="M26" s="436"/>
      <c r="N26" s="436"/>
      <c r="O26" s="436"/>
      <c r="P26" s="436"/>
      <c r="Q26" s="436"/>
      <c r="R26" s="436"/>
      <c r="S26" s="436"/>
      <c r="T26" s="436"/>
      <c r="U26" s="436"/>
      <c r="V26" s="436"/>
      <c r="W26" s="436"/>
      <c r="X26" s="503">
        <f ca="1">SUM(J26-NOW())</f>
        <v>70.61546296296</v>
      </c>
      <c r="Y26" s="504" t="str">
        <f ca="1" t="shared" si="1"/>
        <v>ACTIVE</v>
      </c>
      <c r="Z26" s="245">
        <v>4500000</v>
      </c>
      <c r="AA26" s="245">
        <v>1000000</v>
      </c>
      <c r="AB26" s="245"/>
      <c r="AC26" s="65" t="s">
        <v>13482</v>
      </c>
      <c r="AD26" s="65"/>
      <c r="AE26" s="65" t="s">
        <v>13608</v>
      </c>
      <c r="AF26" s="65" t="s">
        <v>13609</v>
      </c>
      <c r="AG26" s="65" t="s">
        <v>13549</v>
      </c>
      <c r="AH26" s="1612" t="s">
        <v>13610</v>
      </c>
      <c r="AI26" s="65" t="s">
        <v>13611</v>
      </c>
      <c r="AJ26" s="65">
        <v>15049831215</v>
      </c>
      <c r="AK26" s="65"/>
      <c r="AL26" s="149" t="s">
        <v>13612</v>
      </c>
      <c r="AM26" s="13"/>
    </row>
    <row r="27" customHeight="1" spans="1:39">
      <c r="A27" s="1607" t="s">
        <v>204</v>
      </c>
      <c r="B27" s="1607" t="s">
        <v>13613</v>
      </c>
      <c r="C27" s="497" t="s">
        <v>13614</v>
      </c>
      <c r="D27" s="65" t="s">
        <v>13615</v>
      </c>
      <c r="E27" s="65" t="s">
        <v>43</v>
      </c>
      <c r="F27" s="16" t="s">
        <v>44</v>
      </c>
      <c r="G27" s="65" t="s">
        <v>3108</v>
      </c>
      <c r="H27" s="436">
        <v>43013</v>
      </c>
      <c r="I27" s="436">
        <v>43104</v>
      </c>
      <c r="J27" s="436">
        <v>43343</v>
      </c>
      <c r="K27" s="436"/>
      <c r="L27" s="436"/>
      <c r="M27" s="436"/>
      <c r="N27" s="436"/>
      <c r="O27" s="436"/>
      <c r="P27" s="436"/>
      <c r="Q27" s="436"/>
      <c r="R27" s="436"/>
      <c r="S27" s="436"/>
      <c r="T27" s="436"/>
      <c r="U27" s="436"/>
      <c r="V27" s="436"/>
      <c r="W27" s="436"/>
      <c r="X27" s="503">
        <f ca="1">SUM(J27-NOW())</f>
        <v>70.61546296296</v>
      </c>
      <c r="Y27" s="504" t="str">
        <f ca="1" t="shared" si="1"/>
        <v>ACTIVE</v>
      </c>
      <c r="Z27" s="505">
        <v>2809097</v>
      </c>
      <c r="AA27" s="506">
        <v>838938</v>
      </c>
      <c r="AB27" s="245" t="s">
        <v>13616</v>
      </c>
      <c r="AC27" s="65" t="s">
        <v>13482</v>
      </c>
      <c r="AD27" s="65"/>
      <c r="AE27" s="65" t="s">
        <v>13617</v>
      </c>
      <c r="AF27" s="65" t="s">
        <v>13618</v>
      </c>
      <c r="AG27" s="65" t="s">
        <v>13619</v>
      </c>
      <c r="AH27" s="1612" t="s">
        <v>13620</v>
      </c>
      <c r="AI27" s="1612" t="s">
        <v>13621</v>
      </c>
      <c r="AJ27" s="65"/>
      <c r="AK27" s="65"/>
      <c r="AL27" s="149"/>
      <c r="AM27" s="13"/>
    </row>
    <row r="31" customHeight="1" spans="1:2">
      <c r="A31" s="17" t="s">
        <v>2552</v>
      </c>
      <c r="B31" s="165"/>
    </row>
    <row r="32" ht="15.95" customHeight="1" spans="1:39">
      <c r="A32" s="20">
        <f t="shared" ref="A32:A35" si="2">ROW()-13</f>
        <v>19</v>
      </c>
      <c r="B32" s="1609" t="s">
        <v>13622</v>
      </c>
      <c r="C32" s="498" t="s">
        <v>13623</v>
      </c>
      <c r="D32" s="27" t="s">
        <v>13624</v>
      </c>
      <c r="E32" s="27" t="s">
        <v>125</v>
      </c>
      <c r="F32" s="22" t="s">
        <v>44</v>
      </c>
      <c r="G32" s="27" t="s">
        <v>13625</v>
      </c>
      <c r="H32" s="439">
        <v>42220</v>
      </c>
      <c r="I32" s="439">
        <v>42311</v>
      </c>
      <c r="J32" s="439">
        <v>42613</v>
      </c>
      <c r="K32" s="439"/>
      <c r="L32" s="439"/>
      <c r="M32" s="439"/>
      <c r="N32" s="439"/>
      <c r="O32" s="439"/>
      <c r="P32" s="439"/>
      <c r="Q32" s="439"/>
      <c r="R32" s="439"/>
      <c r="S32" s="439"/>
      <c r="T32" s="439"/>
      <c r="U32" s="439"/>
      <c r="V32" s="439"/>
      <c r="W32" s="439"/>
      <c r="X32" s="56">
        <f ca="1">SUM(J32-NOW())</f>
        <v>-659.38453703704</v>
      </c>
      <c r="Y32" s="41" t="str">
        <f ca="1" t="shared" ref="Y32:Y37" si="3">IF(X32&lt;=46,"WARNING","ACTIVE")</f>
        <v>WARNING</v>
      </c>
      <c r="Z32" s="246">
        <v>2325000</v>
      </c>
      <c r="AA32" s="246">
        <v>775000</v>
      </c>
      <c r="AB32" s="246"/>
      <c r="AC32" s="27" t="s">
        <v>13626</v>
      </c>
      <c r="AD32" s="27" t="s">
        <v>13627</v>
      </c>
      <c r="AE32" s="27" t="s">
        <v>13628</v>
      </c>
      <c r="AF32" s="27" t="s">
        <v>13629</v>
      </c>
      <c r="AG32" s="27" t="s">
        <v>13630</v>
      </c>
      <c r="AH32" s="1610" t="s">
        <v>13631</v>
      </c>
      <c r="AI32" s="27" t="s">
        <v>13632</v>
      </c>
      <c r="AJ32" s="27"/>
      <c r="AK32" s="27" t="s">
        <v>13633</v>
      </c>
      <c r="AL32" s="86" t="s">
        <v>13634</v>
      </c>
      <c r="AM32" s="20" t="s">
        <v>13635</v>
      </c>
    </row>
    <row r="33" ht="15.95" customHeight="1" spans="1:40">
      <c r="A33" s="20">
        <f t="shared" si="2"/>
        <v>20</v>
      </c>
      <c r="B33" s="1609" t="s">
        <v>13636</v>
      </c>
      <c r="C33" s="498" t="s">
        <v>13637</v>
      </c>
      <c r="D33" s="27" t="s">
        <v>13638</v>
      </c>
      <c r="E33" s="27" t="s">
        <v>43</v>
      </c>
      <c r="F33" s="22" t="s">
        <v>44</v>
      </c>
      <c r="G33" s="27" t="s">
        <v>3108</v>
      </c>
      <c r="H33" s="439">
        <v>41579</v>
      </c>
      <c r="I33" s="439">
        <v>41882</v>
      </c>
      <c r="J33" s="439">
        <v>42247</v>
      </c>
      <c r="K33" s="439">
        <v>42369</v>
      </c>
      <c r="L33" s="439"/>
      <c r="M33" s="439"/>
      <c r="N33" s="439">
        <v>42370</v>
      </c>
      <c r="O33" s="439">
        <v>42613</v>
      </c>
      <c r="P33" s="439"/>
      <c r="Q33" s="439"/>
      <c r="R33" s="439"/>
      <c r="S33" s="439"/>
      <c r="T33" s="439"/>
      <c r="U33" s="439"/>
      <c r="V33" s="439"/>
      <c r="W33" s="439"/>
      <c r="X33" s="56">
        <f ca="1">SUM(O33-NOW())</f>
        <v>-659.38453703704</v>
      </c>
      <c r="Y33" s="41" t="str">
        <f ca="1" t="shared" si="3"/>
        <v>WARNING</v>
      </c>
      <c r="Z33" s="246">
        <v>2325000</v>
      </c>
      <c r="AA33" s="246">
        <v>775000</v>
      </c>
      <c r="AB33" s="246" t="s">
        <v>13639</v>
      </c>
      <c r="AC33" s="27" t="s">
        <v>13626</v>
      </c>
      <c r="AD33" s="27" t="s">
        <v>13627</v>
      </c>
      <c r="AE33" s="27" t="s">
        <v>13640</v>
      </c>
      <c r="AF33" s="27" t="s">
        <v>13641</v>
      </c>
      <c r="AG33" s="27" t="s">
        <v>13642</v>
      </c>
      <c r="AH33" s="27"/>
      <c r="AI33" s="27"/>
      <c r="AJ33" s="27"/>
      <c r="AK33" s="27" t="s">
        <v>13643</v>
      </c>
      <c r="AL33" s="86" t="s">
        <v>13644</v>
      </c>
      <c r="AM33" s="20" t="s">
        <v>13645</v>
      </c>
      <c r="AN33" s="3"/>
    </row>
    <row r="34" s="3" customFormat="1" ht="15.95" customHeight="1" spans="1:39">
      <c r="A34" s="20">
        <f t="shared" si="2"/>
        <v>21</v>
      </c>
      <c r="B34" s="1609" t="s">
        <v>13646</v>
      </c>
      <c r="C34" s="498" t="s">
        <v>13647</v>
      </c>
      <c r="D34" s="27" t="s">
        <v>13648</v>
      </c>
      <c r="E34" s="27" t="s">
        <v>125</v>
      </c>
      <c r="F34" s="22" t="s">
        <v>44</v>
      </c>
      <c r="G34" s="27" t="s">
        <v>13607</v>
      </c>
      <c r="H34" s="439">
        <v>42370</v>
      </c>
      <c r="I34" s="439">
        <v>42460</v>
      </c>
      <c r="J34" s="439">
        <v>42613</v>
      </c>
      <c r="K34" s="439">
        <v>42674</v>
      </c>
      <c r="L34" s="439"/>
      <c r="M34" s="439"/>
      <c r="N34" s="439"/>
      <c r="O34" s="439"/>
      <c r="P34" s="439"/>
      <c r="Q34" s="439"/>
      <c r="R34" s="439"/>
      <c r="S34" s="439"/>
      <c r="T34" s="439"/>
      <c r="U34" s="439"/>
      <c r="V34" s="439"/>
      <c r="W34" s="439"/>
      <c r="X34" s="56">
        <f ca="1">SUM(K34-NOW())</f>
        <v>-598.38453703704</v>
      </c>
      <c r="Y34" s="41" t="str">
        <f ca="1" t="shared" si="3"/>
        <v>WARNING</v>
      </c>
      <c r="Z34" s="246">
        <v>4500000</v>
      </c>
      <c r="AA34" s="246">
        <v>1000000</v>
      </c>
      <c r="AB34" s="246"/>
      <c r="AC34" s="27" t="s">
        <v>13649</v>
      </c>
      <c r="AD34" s="27" t="s">
        <v>13483</v>
      </c>
      <c r="AE34" s="27" t="s">
        <v>13650</v>
      </c>
      <c r="AF34" s="27" t="s">
        <v>13651</v>
      </c>
      <c r="AG34" s="27" t="s">
        <v>13652</v>
      </c>
      <c r="AH34" s="1610" t="s">
        <v>13653</v>
      </c>
      <c r="AI34" s="27" t="s">
        <v>13654</v>
      </c>
      <c r="AJ34" s="27">
        <v>14040424427</v>
      </c>
      <c r="AK34" s="1610" t="s">
        <v>13655</v>
      </c>
      <c r="AL34" s="86" t="s">
        <v>13656</v>
      </c>
      <c r="AM34" s="27" t="s">
        <v>13657</v>
      </c>
    </row>
    <row r="35" customHeight="1" spans="1:39">
      <c r="A35" s="20">
        <f t="shared" si="2"/>
        <v>22</v>
      </c>
      <c r="B35" s="1609" t="s">
        <v>13658</v>
      </c>
      <c r="C35" s="498" t="s">
        <v>13659</v>
      </c>
      <c r="D35" s="27" t="s">
        <v>13660</v>
      </c>
      <c r="E35" s="27" t="s">
        <v>43</v>
      </c>
      <c r="F35" s="22" t="s">
        <v>44</v>
      </c>
      <c r="G35" s="27" t="s">
        <v>3108</v>
      </c>
      <c r="H35" s="439">
        <v>41518</v>
      </c>
      <c r="I35" s="439">
        <v>41882</v>
      </c>
      <c r="J35" s="439">
        <v>42247</v>
      </c>
      <c r="K35" s="439"/>
      <c r="L35" s="439"/>
      <c r="M35" s="439"/>
      <c r="N35" s="439">
        <v>42248</v>
      </c>
      <c r="O35" s="439">
        <v>42369</v>
      </c>
      <c r="P35" s="439">
        <v>42613</v>
      </c>
      <c r="Q35" s="439">
        <v>42614</v>
      </c>
      <c r="R35" s="439">
        <v>42674</v>
      </c>
      <c r="S35" s="439">
        <v>42675</v>
      </c>
      <c r="T35" s="439">
        <v>43039</v>
      </c>
      <c r="U35" s="439"/>
      <c r="V35" s="439"/>
      <c r="W35" s="439"/>
      <c r="X35" s="56">
        <f ca="1">SUM(T35-NOW())</f>
        <v>-233.38453703704</v>
      </c>
      <c r="Y35" s="41" t="str">
        <f ca="1" t="shared" si="3"/>
        <v>WARNING</v>
      </c>
      <c r="Z35" s="246">
        <v>2516813</v>
      </c>
      <c r="AA35" s="246">
        <v>838938</v>
      </c>
      <c r="AB35" s="246" t="s">
        <v>13661</v>
      </c>
      <c r="AC35" s="27" t="s">
        <v>13482</v>
      </c>
      <c r="AD35" s="27" t="s">
        <v>13483</v>
      </c>
      <c r="AE35" s="27" t="s">
        <v>13662</v>
      </c>
      <c r="AF35" s="27" t="s">
        <v>13663</v>
      </c>
      <c r="AG35" s="27" t="s">
        <v>13664</v>
      </c>
      <c r="AH35" s="27"/>
      <c r="AI35" s="27" t="s">
        <v>13665</v>
      </c>
      <c r="AJ35" s="27">
        <v>13010407222</v>
      </c>
      <c r="AK35" s="27" t="s">
        <v>13666</v>
      </c>
      <c r="AL35" s="27"/>
      <c r="AM35" s="28" t="s">
        <v>13667</v>
      </c>
    </row>
    <row r="36" customHeight="1" spans="1:39">
      <c r="A36" s="1609" t="s">
        <v>194</v>
      </c>
      <c r="B36" s="1609" t="s">
        <v>13668</v>
      </c>
      <c r="C36" s="498" t="s">
        <v>13647</v>
      </c>
      <c r="D36" s="27" t="s">
        <v>13648</v>
      </c>
      <c r="E36" s="27" t="s">
        <v>125</v>
      </c>
      <c r="F36" s="22" t="s">
        <v>60</v>
      </c>
      <c r="G36" s="27" t="s">
        <v>13607</v>
      </c>
      <c r="H36" s="439">
        <v>42796</v>
      </c>
      <c r="I36" s="439">
        <v>43160</v>
      </c>
      <c r="J36" s="439"/>
      <c r="K36" s="439"/>
      <c r="L36" s="439"/>
      <c r="M36" s="439"/>
      <c r="N36" s="439"/>
      <c r="O36" s="439"/>
      <c r="P36" s="439"/>
      <c r="Q36" s="439"/>
      <c r="R36" s="439"/>
      <c r="S36" s="439"/>
      <c r="T36" s="439"/>
      <c r="U36" s="439"/>
      <c r="V36" s="439"/>
      <c r="W36" s="439"/>
      <c r="X36" s="56">
        <f ca="1">SUM(I36-NOW())</f>
        <v>-112.38453703704</v>
      </c>
      <c r="Y36" s="41" t="str">
        <f ca="1" t="shared" si="3"/>
        <v>WARNING</v>
      </c>
      <c r="Z36" s="246">
        <v>4500000</v>
      </c>
      <c r="AA36" s="246">
        <v>1000000</v>
      </c>
      <c r="AB36" s="246"/>
      <c r="AC36" s="27" t="s">
        <v>13482</v>
      </c>
      <c r="AD36" s="27"/>
      <c r="AE36" s="27" t="s">
        <v>13650</v>
      </c>
      <c r="AF36" s="27" t="s">
        <v>13651</v>
      </c>
      <c r="AG36" s="27" t="s">
        <v>13652</v>
      </c>
      <c r="AH36" s="1610" t="s">
        <v>13653</v>
      </c>
      <c r="AI36" s="27" t="s">
        <v>13654</v>
      </c>
      <c r="AJ36" s="27">
        <v>14040424427</v>
      </c>
      <c r="AK36" s="1610" t="s">
        <v>13655</v>
      </c>
      <c r="AL36" s="86" t="s">
        <v>13656</v>
      </c>
      <c r="AM36" s="20" t="s">
        <v>13669</v>
      </c>
    </row>
    <row r="37" customHeight="1" spans="1:39">
      <c r="A37" s="1609" t="s">
        <v>204</v>
      </c>
      <c r="B37" s="467" t="s">
        <v>13670</v>
      </c>
      <c r="C37" s="498" t="s">
        <v>13671</v>
      </c>
      <c r="D37" s="27" t="s">
        <v>13672</v>
      </c>
      <c r="E37" s="27" t="s">
        <v>43</v>
      </c>
      <c r="F37" s="22" t="s">
        <v>44</v>
      </c>
      <c r="G37" s="27" t="s">
        <v>3108</v>
      </c>
      <c r="H37" s="439">
        <v>42906</v>
      </c>
      <c r="I37" s="439">
        <v>42997</v>
      </c>
      <c r="J37" s="439"/>
      <c r="K37" s="439"/>
      <c r="L37" s="439"/>
      <c r="M37" s="439"/>
      <c r="N37" s="439"/>
      <c r="O37" s="439"/>
      <c r="P37" s="439"/>
      <c r="Q37" s="439"/>
      <c r="R37" s="439"/>
      <c r="S37" s="439"/>
      <c r="T37" s="439"/>
      <c r="U37" s="439"/>
      <c r="V37" s="439"/>
      <c r="W37" s="439"/>
      <c r="X37" s="56">
        <f ca="1">SUM(I37-NOW())</f>
        <v>-275.38453703704</v>
      </c>
      <c r="Y37" s="41" t="str">
        <f ca="1" t="shared" si="3"/>
        <v>WARNING</v>
      </c>
      <c r="Z37" s="58">
        <v>2516813</v>
      </c>
      <c r="AA37" s="58">
        <v>838938</v>
      </c>
      <c r="AB37" s="246"/>
      <c r="AC37" s="27"/>
      <c r="AD37" s="27"/>
      <c r="AE37" s="27" t="s">
        <v>13673</v>
      </c>
      <c r="AF37" s="27" t="s">
        <v>13674</v>
      </c>
      <c r="AG37" s="27" t="s">
        <v>13675</v>
      </c>
      <c r="AH37" s="1610" t="s">
        <v>13676</v>
      </c>
      <c r="AI37" s="27" t="s">
        <v>13677</v>
      </c>
      <c r="AJ37" s="27"/>
      <c r="AK37" s="1610" t="s">
        <v>13678</v>
      </c>
      <c r="AL37" s="86" t="s">
        <v>13679</v>
      </c>
      <c r="AM37" s="27" t="s">
        <v>13680</v>
      </c>
    </row>
  </sheetData>
  <autoFilter ref="A13:AQ27"/>
  <mergeCells count="34">
    <mergeCell ref="A1:C1"/>
    <mergeCell ref="A2:C2"/>
    <mergeCell ref="A3:C3"/>
    <mergeCell ref="A6:C6"/>
    <mergeCell ref="Z6:AC6"/>
    <mergeCell ref="A8:AF8"/>
    <mergeCell ref="A9:AF9"/>
    <mergeCell ref="H12:I12"/>
    <mergeCell ref="N12:O12"/>
    <mergeCell ref="Q12:R12"/>
    <mergeCell ref="S12:T12"/>
    <mergeCell ref="A12:A13"/>
    <mergeCell ref="B12:B13"/>
    <mergeCell ref="C12:C13"/>
    <mergeCell ref="D12:D13"/>
    <mergeCell ref="E12:E13"/>
    <mergeCell ref="F12:F13"/>
    <mergeCell ref="G12:G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 ref="AL12:AL13"/>
    <mergeCell ref="AM12:AM13"/>
  </mergeCells>
  <conditionalFormatting sqref="X32:Y33;X35:Y37;X14:Y27">
    <cfRule type="expression" dxfId="2101" priority="1" stopIfTrue="1">
      <formula>IF($Y14="warning",TRUE,FALSE)</formula>
    </cfRule>
  </conditionalFormatting>
  <conditionalFormatting sqref="AK37">
    <cfRule type="expression" dxfId="2102" priority="2" stopIfTrue="1">
      <formula>IF(OR(#REF!="not",#REF!="resign",#REF!="permanent",#REF!="end",#REF!="terminated"),"true","false")</formula>
    </cfRule>
  </conditionalFormatting>
  <conditionalFormatting sqref="B26:I26;AB26;Z26;AD26:AM26;E27:F27;K26:W26">
    <cfRule type="expression" dxfId="2103" priority="3" stopIfTrue="1">
      <formula>IF(OR(#REF!="not",#REF!="resign",#REF!="permanent",#REF!="end",#REF!="terminated"),"true","false")</formula>
    </cfRule>
  </conditionalFormatting>
  <conditionalFormatting sqref="B27:D27;AB27;AD27:AM27;G27:I27;K27:W27">
    <cfRule type="expression" dxfId="2104" priority="4" stopIfTrue="1">
      <formula>IF(OR(#REF!="not",#REF!="resign",#REF!="permanent",#REF!="end",#REF!="terminated"),"true","false")</formula>
    </cfRule>
  </conditionalFormatting>
  <conditionalFormatting sqref="AA27">
    <cfRule type="expression" dxfId="2105" priority="5" stopIfTrue="1">
      <formula>IF(OR(#REF!="not",#REF!="resign",#REF!="permanent",#REF!="end",#REF!="terminated"),"true","false")</formula>
    </cfRule>
  </conditionalFormatting>
  <conditionalFormatting sqref="J26">
    <cfRule type="expression" dxfId="2106" priority="6" stopIfTrue="1">
      <formula>IF(OR(#REF!="not",#REF!="resign",#REF!="permanent",#REF!="end",#REF!="terminated"),"true","false")</formula>
    </cfRule>
  </conditionalFormatting>
  <conditionalFormatting sqref="J27">
    <cfRule type="expression" dxfId="2107" priority="7" stopIfTrue="1">
      <formula>IF(OR(#REF!="not",#REF!="resign",#REF!="permanent",#REF!="end",#REF!="terminated"),"true","false")</formula>
    </cfRule>
  </conditionalFormatting>
  <conditionalFormatting sqref="Z27">
    <cfRule type="expression" dxfId="2108" priority="8" stopIfTrue="1">
      <formula>IF(OR(#REF!="not",#REF!="resign",#REF!="permanent",#REF!="end",#REF!="terminated"),"true","false")</formula>
    </cfRule>
  </conditionalFormatting>
  <hyperlinks>
    <hyperlink ref="AL14" location="" display="gandungt9@yahoo.co.id"/>
    <hyperlink ref="AL15" location="" display="arfianto.syahputra@gmail.com,"/>
    <hyperlink ref="AL16" location="" display="dewi_nn22@yahoo.co.id"/>
    <hyperlink ref="AL18" location="" display="sunardi664@yahoo.com"/>
    <hyperlink ref="AL19" location="" display="adesanto64@gmail.com"/>
    <hyperlink ref="AL20" location="" display="abdazizputraraja@yahoo.com, azizputraraja@gmail.com"/>
    <hyperlink ref="AL21" location="" display="raihankhedira@gmail.com"/>
    <hyperlink ref="AL22" location="" display="ianumoto@gmail.com"/>
    <hyperlink ref="AL33" location="" display="mujiriyanto182@gmail.com"/>
    <hyperlink ref="AL32" location="" display="aista.maryam@yahoo.com"/>
    <hyperlink ref="AL25" r:id="rId4" display="ian.anindia@gmail.com"/>
    <hyperlink ref="AL34" location="" display="mfitriyani74@gmail.com"/>
    <hyperlink ref="AL36" location="" display="mfitriyani74@gmail.com"/>
    <hyperlink ref="AL37" location="" display="afmolajazz305@gmail.com"/>
    <hyperlink ref="AL26" location="" display="lietzbergsierg@gmail.com"/>
  </hyperlinks>
  <printOptions horizontalCentered="1"/>
  <pageMargins left="0.25" right="0.25" top="1" bottom="1" header="0.5" footer="0.5"/>
  <pageSetup paperSize="9" scale="75" orientation="landscape"/>
  <headerFooter alignWithMargins="0"/>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Z136"/>
  <sheetViews>
    <sheetView topLeftCell="A7" workbookViewId="0">
      <pane xSplit="3" ySplit="7" topLeftCell="D49" activePane="bottomRight" state="frozen"/>
      <selection/>
      <selection pane="topRight"/>
      <selection pane="bottomLeft"/>
      <selection pane="bottomRight" activeCell="D59" sqref="D59"/>
    </sheetView>
  </sheetViews>
  <sheetFormatPr defaultColWidth="9" defaultRowHeight="10.5"/>
  <cols>
    <col min="1" max="1" width="5.425" style="94" customWidth="1"/>
    <col min="2" max="2" width="9.425" style="94" customWidth="1"/>
    <col min="3" max="3" width="23.2833333333333" style="94" customWidth="1"/>
    <col min="4" max="4" width="18.7083333333333" style="94" customWidth="1"/>
    <col min="5" max="5" width="4" style="94" customWidth="1"/>
    <col min="6" max="6" width="8.14166666666667" style="94" customWidth="1"/>
    <col min="7" max="7" width="11.1416666666667" style="94" customWidth="1"/>
    <col min="8" max="8" width="16.1416666666667" style="94" customWidth="1"/>
    <col min="9" max="9" width="10.1416666666667" style="94" customWidth="1"/>
    <col min="10" max="10" width="11.5666666666667" style="94" customWidth="1"/>
    <col min="11" max="18" width="8.85833333333333" style="94" customWidth="1"/>
    <col min="19" max="23" width="8.85833333333333" style="93" customWidth="1"/>
    <col min="24" max="24" width="8.85833333333333" style="94" customWidth="1"/>
    <col min="25" max="29" width="11.1416666666667" style="94" customWidth="1"/>
    <col min="30" max="30" width="12.425" style="94" customWidth="1"/>
    <col min="31" max="31" width="39.7083333333333" style="94" customWidth="1"/>
    <col min="32" max="32" width="19.5666666666667" style="94" customWidth="1"/>
    <col min="33" max="33" width="38.2833333333333" style="94" customWidth="1"/>
    <col min="34" max="34" width="15" style="94" customWidth="1"/>
    <col min="35" max="35" width="28.5666666666667" style="94" customWidth="1"/>
    <col min="36" max="36" width="25.425" style="94" customWidth="1"/>
    <col min="37" max="37" width="23" style="94" customWidth="1"/>
    <col min="38" max="38" width="11.7083333333333" style="94" customWidth="1"/>
    <col min="39" max="39" width="12.425" style="94" customWidth="1"/>
    <col min="40" max="40" width="17.425" style="94" customWidth="1"/>
    <col min="41" max="41" width="36.5666666666667" style="94" customWidth="1"/>
    <col min="42" max="68" width="9.14166666666667" style="94"/>
    <col min="69" max="69" width="9.85833333333333" style="94" customWidth="1"/>
    <col min="70" max="70" width="9.14166666666667" style="94"/>
    <col min="71" max="71" width="11.1416666666667" style="94" customWidth="1"/>
    <col min="72" max="72" width="9.85833333333333" style="94" customWidth="1"/>
    <col min="73" max="73" width="9.14166666666667" style="94"/>
    <col min="74" max="74" width="9.85833333333333" style="94" customWidth="1"/>
    <col min="75" max="75" width="11.1416666666667" style="94" customWidth="1"/>
    <col min="76" max="78" width="9.14166666666667" style="94"/>
    <col min="79" max="79" width="9.85833333333333" style="94" customWidth="1"/>
    <col min="80" max="80" width="11.1416666666667" style="94" customWidth="1"/>
    <col min="81" max="81" width="9.85833333333333" style="94" customWidth="1"/>
    <col min="82" max="84" width="9.14166666666667" style="94"/>
    <col min="85" max="85" width="9.85833333333333" style="460" customWidth="1"/>
    <col min="86" max="89" width="9.14166666666667" style="94"/>
    <col min="90" max="90" width="9.85833333333333" style="94" customWidth="1"/>
    <col min="91" max="109" width="9.14166666666667" style="94"/>
    <col min="110" max="110" width="10.8583333333333" style="94" customWidth="1"/>
    <col min="111" max="111" width="9.14166666666667" style="94"/>
    <col min="112" max="112" width="9.56666666666667" style="94" customWidth="1"/>
    <col min="113" max="116" width="9.14166666666667" style="94"/>
    <col min="117" max="117" width="9.56666666666667" style="94" customWidth="1"/>
    <col min="118" max="118" width="10.8583333333333" style="94" customWidth="1"/>
    <col min="119" max="16384" width="9.14166666666667" style="94"/>
  </cols>
  <sheetData>
    <row r="1" s="91" customFormat="1" spans="1:85">
      <c r="A1" s="96"/>
      <c r="B1" s="96"/>
      <c r="C1" s="96"/>
      <c r="D1" s="96"/>
      <c r="E1" s="96"/>
      <c r="F1" s="96"/>
      <c r="AN1" s="123" t="s">
        <v>11108</v>
      </c>
      <c r="CG1" s="493"/>
    </row>
    <row r="2" s="91" customFormat="1" spans="1:85">
      <c r="A2" s="96"/>
      <c r="B2" s="96"/>
      <c r="C2" s="96"/>
      <c r="D2" s="96"/>
      <c r="E2" s="96"/>
      <c r="F2" s="96"/>
      <c r="AN2" s="123" t="s">
        <v>11109</v>
      </c>
      <c r="CG2" s="493"/>
    </row>
    <row r="3" s="91" customFormat="1" spans="1:85">
      <c r="A3" s="96"/>
      <c r="B3" s="96"/>
      <c r="C3" s="96"/>
      <c r="D3" s="96"/>
      <c r="E3" s="96"/>
      <c r="F3" s="96"/>
      <c r="AN3" s="123" t="s">
        <v>11110</v>
      </c>
      <c r="CG3" s="493"/>
    </row>
    <row r="4" s="91" customFormat="1" spans="1:85">
      <c r="A4" s="96"/>
      <c r="B4" s="96"/>
      <c r="C4" s="96"/>
      <c r="D4" s="96"/>
      <c r="E4" s="96"/>
      <c r="F4" s="96"/>
      <c r="AN4" s="123" t="s">
        <v>11111</v>
      </c>
      <c r="CG4" s="493"/>
    </row>
    <row r="5" s="91" customFormat="1" spans="1:85">
      <c r="A5" s="96"/>
      <c r="B5" s="96"/>
      <c r="C5" s="96"/>
      <c r="D5" s="96"/>
      <c r="E5" s="96"/>
      <c r="F5" s="96"/>
      <c r="CG5" s="493"/>
    </row>
    <row r="6" s="91" customFormat="1" spans="1:85">
      <c r="A6" s="96"/>
      <c r="B6" s="96"/>
      <c r="C6" s="96"/>
      <c r="D6" s="96"/>
      <c r="E6" s="96"/>
      <c r="F6" s="96"/>
      <c r="CG6" s="493"/>
    </row>
    <row r="7" s="91" customFormat="1" spans="3:85">
      <c r="C7" s="96"/>
      <c r="D7" s="96"/>
      <c r="E7" s="96"/>
      <c r="F7" s="96"/>
      <c r="CG7" s="493"/>
    </row>
    <row r="8" s="91" customFormat="1" spans="1:85">
      <c r="A8" s="97" t="s">
        <v>7926</v>
      </c>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CG8" s="493"/>
    </row>
    <row r="9" s="91" customFormat="1" ht="11.25" spans="1:85">
      <c r="A9" s="97" t="s">
        <v>2641</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CG9" s="493"/>
    </row>
    <row r="10" s="91" customFormat="1" hidden="1" spans="1:85">
      <c r="A10" s="97"/>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CG10" s="493"/>
    </row>
    <row r="11" s="91" customFormat="1" ht="11.25" hidden="1" spans="3:85">
      <c r="C11" s="96"/>
      <c r="D11" s="96"/>
      <c r="E11" s="96"/>
      <c r="F11" s="96"/>
      <c r="CG11" s="493"/>
    </row>
    <row r="12" s="91" customFormat="1" ht="29.25" customHeight="1" spans="1:119">
      <c r="A12" s="103" t="s">
        <v>0</v>
      </c>
      <c r="B12" s="103" t="s">
        <v>1</v>
      </c>
      <c r="C12" s="103" t="s">
        <v>2</v>
      </c>
      <c r="D12" s="103" t="s">
        <v>3</v>
      </c>
      <c r="E12" s="103" t="s">
        <v>7928</v>
      </c>
      <c r="F12" s="103" t="s">
        <v>7929</v>
      </c>
      <c r="G12" s="103" t="s">
        <v>8</v>
      </c>
      <c r="H12" s="103" t="s">
        <v>12279</v>
      </c>
      <c r="I12" s="103" t="s">
        <v>9</v>
      </c>
      <c r="J12" s="103"/>
      <c r="K12" s="103" t="s">
        <v>10</v>
      </c>
      <c r="L12" s="103"/>
      <c r="M12" s="103"/>
      <c r="N12" s="103" t="s">
        <v>11</v>
      </c>
      <c r="O12" s="103"/>
      <c r="P12" s="103" t="s">
        <v>10</v>
      </c>
      <c r="Q12" s="434" t="s">
        <v>12148</v>
      </c>
      <c r="R12" s="434"/>
      <c r="S12" s="103" t="s">
        <v>13</v>
      </c>
      <c r="T12" s="103"/>
      <c r="U12" s="103" t="s">
        <v>10</v>
      </c>
      <c r="V12" s="103"/>
      <c r="W12" s="103"/>
      <c r="X12" s="103" t="s">
        <v>14</v>
      </c>
      <c r="Y12" s="103" t="s">
        <v>15</v>
      </c>
      <c r="Z12" s="103" t="s">
        <v>16</v>
      </c>
      <c r="AA12" s="478" t="s">
        <v>13681</v>
      </c>
      <c r="AB12" s="478" t="s">
        <v>13682</v>
      </c>
      <c r="AC12" s="478" t="s">
        <v>13683</v>
      </c>
      <c r="AD12" s="103" t="s">
        <v>13684</v>
      </c>
      <c r="AE12" s="103" t="s">
        <v>12283</v>
      </c>
      <c r="AF12" s="103" t="s">
        <v>3509</v>
      </c>
      <c r="AG12" s="485" t="s">
        <v>28</v>
      </c>
      <c r="AH12" s="485" t="s">
        <v>29</v>
      </c>
      <c r="AI12" s="485" t="s">
        <v>30</v>
      </c>
      <c r="AJ12" s="485" t="s">
        <v>31</v>
      </c>
      <c r="AK12" s="485" t="s">
        <v>32</v>
      </c>
      <c r="AL12" s="485" t="s">
        <v>7934</v>
      </c>
      <c r="AM12" s="485" t="s">
        <v>34</v>
      </c>
      <c r="AN12" s="485" t="s">
        <v>7936</v>
      </c>
      <c r="AO12" s="485" t="s">
        <v>36</v>
      </c>
      <c r="BP12" s="91">
        <v>2013</v>
      </c>
      <c r="CC12" s="91">
        <v>2014</v>
      </c>
      <c r="CG12" s="493"/>
      <c r="CP12" s="91">
        <v>2015</v>
      </c>
      <c r="DC12" s="91">
        <v>2016</v>
      </c>
      <c r="DO12" s="91">
        <v>2017</v>
      </c>
    </row>
    <row r="13" s="91" customFormat="1" ht="12" spans="1:130">
      <c r="A13" s="103"/>
      <c r="B13" s="103"/>
      <c r="C13" s="103"/>
      <c r="D13" s="103"/>
      <c r="E13" s="103"/>
      <c r="F13" s="103"/>
      <c r="G13" s="103"/>
      <c r="H13" s="103"/>
      <c r="I13" s="103" t="s">
        <v>37</v>
      </c>
      <c r="J13" s="103" t="s">
        <v>38</v>
      </c>
      <c r="K13" s="103">
        <v>1</v>
      </c>
      <c r="L13" s="103">
        <v>2</v>
      </c>
      <c r="M13" s="103">
        <v>3</v>
      </c>
      <c r="N13" s="103" t="s">
        <v>37</v>
      </c>
      <c r="O13" s="103" t="s">
        <v>38</v>
      </c>
      <c r="P13" s="103">
        <v>1</v>
      </c>
      <c r="Q13" s="434" t="s">
        <v>37</v>
      </c>
      <c r="R13" s="434" t="s">
        <v>38</v>
      </c>
      <c r="S13" s="103" t="s">
        <v>37</v>
      </c>
      <c r="T13" s="103" t="s">
        <v>38</v>
      </c>
      <c r="U13" s="103">
        <v>1</v>
      </c>
      <c r="V13" s="103">
        <v>2</v>
      </c>
      <c r="W13" s="103">
        <v>3</v>
      </c>
      <c r="X13" s="103"/>
      <c r="Y13" s="111"/>
      <c r="Z13" s="103"/>
      <c r="AA13" s="478"/>
      <c r="AB13" s="478"/>
      <c r="AC13" s="478"/>
      <c r="AD13" s="103"/>
      <c r="AE13" s="103"/>
      <c r="AF13" s="111"/>
      <c r="AG13" s="485"/>
      <c r="AH13" s="485"/>
      <c r="AI13" s="485"/>
      <c r="AJ13" s="485"/>
      <c r="AK13" s="485"/>
      <c r="AL13" s="485"/>
      <c r="AM13" s="485"/>
      <c r="AN13" s="485"/>
      <c r="AO13" s="485"/>
      <c r="BP13" s="91" t="s">
        <v>13685</v>
      </c>
      <c r="BQ13" s="91" t="s">
        <v>13686</v>
      </c>
      <c r="BR13" s="91" t="s">
        <v>13687</v>
      </c>
      <c r="BS13" s="91" t="s">
        <v>13688</v>
      </c>
      <c r="BT13" s="91" t="s">
        <v>13689</v>
      </c>
      <c r="BU13" s="91" t="s">
        <v>13690</v>
      </c>
      <c r="BV13" s="91" t="s">
        <v>13691</v>
      </c>
      <c r="BW13" s="91" t="s">
        <v>13692</v>
      </c>
      <c r="BX13" s="91" t="s">
        <v>13693</v>
      </c>
      <c r="BY13" s="91" t="s">
        <v>13694</v>
      </c>
      <c r="BZ13" s="91" t="s">
        <v>13695</v>
      </c>
      <c r="CA13" s="91" t="s">
        <v>13696</v>
      </c>
      <c r="CC13" s="91" t="s">
        <v>13685</v>
      </c>
      <c r="CD13" s="91" t="s">
        <v>13686</v>
      </c>
      <c r="CE13" s="91" t="s">
        <v>13687</v>
      </c>
      <c r="CF13" s="91" t="s">
        <v>13688</v>
      </c>
      <c r="CG13" s="493" t="s">
        <v>13689</v>
      </c>
      <c r="CH13" s="91" t="s">
        <v>13690</v>
      </c>
      <c r="CI13" s="91" t="s">
        <v>13691</v>
      </c>
      <c r="CJ13" s="91" t="s">
        <v>13692</v>
      </c>
      <c r="CK13" s="91" t="s">
        <v>13693</v>
      </c>
      <c r="CL13" s="91" t="s">
        <v>13694</v>
      </c>
      <c r="CM13" s="91" t="s">
        <v>13695</v>
      </c>
      <c r="CN13" s="91" t="s">
        <v>13696</v>
      </c>
      <c r="CP13" s="91" t="s">
        <v>13685</v>
      </c>
      <c r="CQ13" s="91" t="s">
        <v>13686</v>
      </c>
      <c r="CR13" s="91" t="s">
        <v>13687</v>
      </c>
      <c r="CS13" s="91" t="s">
        <v>13688</v>
      </c>
      <c r="CT13" s="493" t="s">
        <v>13689</v>
      </c>
      <c r="CU13" s="91" t="s">
        <v>13690</v>
      </c>
      <c r="CV13" s="91" t="s">
        <v>13691</v>
      </c>
      <c r="CW13" s="91" t="s">
        <v>13692</v>
      </c>
      <c r="CX13" s="91" t="s">
        <v>13693</v>
      </c>
      <c r="CY13" s="91" t="s">
        <v>13694</v>
      </c>
      <c r="CZ13" s="91" t="s">
        <v>13695</v>
      </c>
      <c r="DA13" s="91" t="s">
        <v>13696</v>
      </c>
      <c r="DC13" s="91" t="s">
        <v>13685</v>
      </c>
      <c r="DD13" s="91" t="s">
        <v>13686</v>
      </c>
      <c r="DE13" s="91" t="s">
        <v>13687</v>
      </c>
      <c r="DF13" s="91" t="s">
        <v>13688</v>
      </c>
      <c r="DG13" s="493" t="s">
        <v>13689</v>
      </c>
      <c r="DH13" s="91" t="s">
        <v>13690</v>
      </c>
      <c r="DI13" s="91" t="s">
        <v>13691</v>
      </c>
      <c r="DJ13" s="91" t="s">
        <v>13692</v>
      </c>
      <c r="DK13" s="91" t="s">
        <v>13693</v>
      </c>
      <c r="DL13" s="91" t="s">
        <v>13694</v>
      </c>
      <c r="DM13" s="91" t="s">
        <v>13695</v>
      </c>
      <c r="DN13" s="91" t="s">
        <v>13696</v>
      </c>
      <c r="DO13" s="91" t="s">
        <v>13685</v>
      </c>
      <c r="DP13" s="91" t="s">
        <v>13686</v>
      </c>
      <c r="DQ13" s="91" t="s">
        <v>13687</v>
      </c>
      <c r="DR13" s="91" t="s">
        <v>13688</v>
      </c>
      <c r="DS13" s="493" t="s">
        <v>13689</v>
      </c>
      <c r="DT13" s="91" t="s">
        <v>13690</v>
      </c>
      <c r="DU13" s="91" t="s">
        <v>13691</v>
      </c>
      <c r="DV13" s="91" t="s">
        <v>13692</v>
      </c>
      <c r="DW13" s="91" t="s">
        <v>13693</v>
      </c>
      <c r="DX13" s="91" t="s">
        <v>13694</v>
      </c>
      <c r="DY13" s="91" t="s">
        <v>13695</v>
      </c>
      <c r="DZ13" s="91" t="s">
        <v>13696</v>
      </c>
    </row>
    <row r="14" s="93" customFormat="1" ht="32.25" spans="1:123">
      <c r="A14" s="1615" t="s">
        <v>39</v>
      </c>
      <c r="B14" s="1615" t="s">
        <v>13697</v>
      </c>
      <c r="C14" s="461" t="s">
        <v>13698</v>
      </c>
      <c r="D14" s="462" t="s">
        <v>13699</v>
      </c>
      <c r="E14" s="462" t="s">
        <v>43</v>
      </c>
      <c r="F14" s="462" t="s">
        <v>880</v>
      </c>
      <c r="G14" s="466" t="s">
        <v>1533</v>
      </c>
      <c r="H14" s="466" t="s">
        <v>13700</v>
      </c>
      <c r="I14" s="468">
        <v>41579</v>
      </c>
      <c r="J14" s="468">
        <v>41943</v>
      </c>
      <c r="K14" s="468">
        <v>42124</v>
      </c>
      <c r="L14" s="468">
        <v>42308</v>
      </c>
      <c r="M14" s="468"/>
      <c r="N14" s="468">
        <v>42309</v>
      </c>
      <c r="O14" s="468">
        <v>42490</v>
      </c>
      <c r="P14" s="468">
        <v>42674</v>
      </c>
      <c r="Q14" s="468">
        <v>42675</v>
      </c>
      <c r="R14" s="468">
        <v>42704</v>
      </c>
      <c r="S14" s="468">
        <v>42705</v>
      </c>
      <c r="T14" s="468">
        <v>42886</v>
      </c>
      <c r="U14" s="468">
        <v>43069</v>
      </c>
      <c r="V14" s="468">
        <v>43251</v>
      </c>
      <c r="W14" s="469">
        <v>43434</v>
      </c>
      <c r="X14" s="476">
        <f ca="1">SUM(W14-NOW())</f>
        <v>161.61546296296</v>
      </c>
      <c r="Y14" s="468" t="str">
        <f ca="1" t="shared" ref="Y14:Y21" si="0">IF(X14&lt;=46,"WARNING","ACTIVE")</f>
        <v>ACTIVE</v>
      </c>
      <c r="Z14" s="479">
        <v>3648036</v>
      </c>
      <c r="AA14" s="479"/>
      <c r="AB14" s="479"/>
      <c r="AC14" s="479"/>
      <c r="AD14" s="207" t="s">
        <v>13701</v>
      </c>
      <c r="AE14" s="207" t="s">
        <v>13702</v>
      </c>
      <c r="AF14" s="207" t="s">
        <v>13703</v>
      </c>
      <c r="AG14" s="486" t="s">
        <v>13704</v>
      </c>
      <c r="AH14" s="466" t="s">
        <v>13705</v>
      </c>
      <c r="AI14" s="466" t="s">
        <v>13706</v>
      </c>
      <c r="AJ14" s="466"/>
      <c r="AK14" s="466" t="s">
        <v>13707</v>
      </c>
      <c r="AL14" s="466"/>
      <c r="AM14" s="466" t="s">
        <v>13708</v>
      </c>
      <c r="AN14" s="475"/>
      <c r="AO14" s="488"/>
      <c r="BH14" s="490" t="e">
        <f t="shared" ref="BH14:BH16" si="1">LEFT(AO14,FIND(" ",AO14,1)-1)</f>
        <v>#VALUE!</v>
      </c>
      <c r="BI14" s="491">
        <f t="shared" ref="BI14:BI16" si="2">MIN(I14:R14)</f>
        <v>41579</v>
      </c>
      <c r="BJ14" s="491">
        <f t="shared" ref="BJ14:BJ16" si="3">MAX(I14:R14)</f>
        <v>42704</v>
      </c>
      <c r="BK14" s="91"/>
      <c r="BO14" s="468">
        <v>41579</v>
      </c>
      <c r="BP14" s="492"/>
      <c r="BQ14" s="492"/>
      <c r="BR14" s="492"/>
      <c r="BS14" s="492"/>
      <c r="BT14" s="492"/>
      <c r="BU14" s="492"/>
      <c r="BV14" s="492">
        <v>137000</v>
      </c>
      <c r="BW14" s="492"/>
      <c r="BX14" s="492"/>
      <c r="BY14" s="492"/>
      <c r="BZ14" s="492"/>
      <c r="CA14" s="492"/>
      <c r="CB14" s="492">
        <f t="shared" ref="CB14:CB16" si="4">SUM(BP14:CA14)</f>
        <v>137000</v>
      </c>
      <c r="CC14" s="492"/>
      <c r="CG14" s="492"/>
      <c r="CO14" s="492">
        <f t="shared" ref="CO14:CO16" si="5">SUM(CC14:CN14)</f>
        <v>0</v>
      </c>
      <c r="DS14" s="93">
        <v>165000</v>
      </c>
    </row>
    <row r="15" s="93" customFormat="1" ht="31.5" spans="1:93">
      <c r="A15" s="1585" t="s">
        <v>56</v>
      </c>
      <c r="B15" s="1585" t="s">
        <v>13709</v>
      </c>
      <c r="C15" s="463" t="s">
        <v>13710</v>
      </c>
      <c r="D15" s="102" t="s">
        <v>13711</v>
      </c>
      <c r="E15" s="102" t="s">
        <v>43</v>
      </c>
      <c r="F15" s="102" t="s">
        <v>96</v>
      </c>
      <c r="G15" s="432" t="s">
        <v>1533</v>
      </c>
      <c r="H15" s="466" t="s">
        <v>13700</v>
      </c>
      <c r="I15" s="468">
        <v>41579</v>
      </c>
      <c r="J15" s="468">
        <v>41943</v>
      </c>
      <c r="K15" s="468">
        <v>42124</v>
      </c>
      <c r="L15" s="468">
        <v>42308</v>
      </c>
      <c r="M15" s="468"/>
      <c r="N15" s="468">
        <v>42309</v>
      </c>
      <c r="O15" s="468">
        <v>42490</v>
      </c>
      <c r="P15" s="468">
        <v>42674</v>
      </c>
      <c r="Q15" s="468">
        <v>42675</v>
      </c>
      <c r="R15" s="468">
        <v>42704</v>
      </c>
      <c r="S15" s="468">
        <v>42705</v>
      </c>
      <c r="T15" s="468">
        <v>42886</v>
      </c>
      <c r="U15" s="468">
        <v>43069</v>
      </c>
      <c r="V15" s="468">
        <v>43251</v>
      </c>
      <c r="W15" s="469">
        <v>43434</v>
      </c>
      <c r="X15" s="476">
        <f ca="1" t="shared" ref="X15:X16" si="6">SUM(W15-NOW())</f>
        <v>161.61546296296</v>
      </c>
      <c r="Y15" s="468" t="str">
        <f ca="1" t="shared" si="0"/>
        <v>ACTIVE</v>
      </c>
      <c r="Z15" s="479">
        <v>3648036</v>
      </c>
      <c r="AA15" s="479"/>
      <c r="AB15" s="479"/>
      <c r="AC15" s="479"/>
      <c r="AD15" s="207" t="s">
        <v>13701</v>
      </c>
      <c r="AE15" s="207" t="s">
        <v>13702</v>
      </c>
      <c r="AF15" s="207" t="s">
        <v>13703</v>
      </c>
      <c r="AG15" s="169" t="s">
        <v>13712</v>
      </c>
      <c r="AH15" s="432" t="s">
        <v>13713</v>
      </c>
      <c r="AI15" s="432" t="s">
        <v>13714</v>
      </c>
      <c r="AJ15" s="432"/>
      <c r="AK15" s="432" t="s">
        <v>13715</v>
      </c>
      <c r="AL15" s="432">
        <v>11039467151</v>
      </c>
      <c r="AM15" s="432" t="s">
        <v>13716</v>
      </c>
      <c r="AN15" s="432"/>
      <c r="AO15" s="101"/>
      <c r="BH15" s="490" t="e">
        <f t="shared" si="1"/>
        <v>#VALUE!</v>
      </c>
      <c r="BI15" s="491">
        <f t="shared" si="2"/>
        <v>41579</v>
      </c>
      <c r="BJ15" s="491">
        <f t="shared" si="3"/>
        <v>42704</v>
      </c>
      <c r="BK15" s="91"/>
      <c r="BO15" s="468">
        <v>41579</v>
      </c>
      <c r="BP15" s="492"/>
      <c r="BQ15" s="492"/>
      <c r="BR15" s="492"/>
      <c r="BS15" s="492"/>
      <c r="BT15" s="492"/>
      <c r="BU15" s="492"/>
      <c r="BV15" s="492"/>
      <c r="BW15" s="492"/>
      <c r="BX15" s="492"/>
      <c r="BY15" s="492"/>
      <c r="BZ15" s="492"/>
      <c r="CA15" s="492">
        <v>950000</v>
      </c>
      <c r="CB15" s="492">
        <f t="shared" si="4"/>
        <v>950000</v>
      </c>
      <c r="CC15" s="492"/>
      <c r="CG15" s="492"/>
      <c r="CO15" s="492">
        <f t="shared" si="5"/>
        <v>0</v>
      </c>
    </row>
    <row r="16" s="93" customFormat="1" ht="31.5" spans="1:93">
      <c r="A16" s="1585" t="s">
        <v>68</v>
      </c>
      <c r="B16" s="1585" t="s">
        <v>13717</v>
      </c>
      <c r="C16" s="463" t="s">
        <v>13718</v>
      </c>
      <c r="D16" s="102" t="s">
        <v>13719</v>
      </c>
      <c r="E16" s="102" t="s">
        <v>43</v>
      </c>
      <c r="F16" s="102" t="s">
        <v>96</v>
      </c>
      <c r="G16" s="432" t="s">
        <v>1533</v>
      </c>
      <c r="H16" s="466" t="s">
        <v>13700</v>
      </c>
      <c r="I16" s="468">
        <v>41579</v>
      </c>
      <c r="J16" s="468">
        <v>41943</v>
      </c>
      <c r="K16" s="468">
        <v>42124</v>
      </c>
      <c r="L16" s="468">
        <v>42308</v>
      </c>
      <c r="M16" s="468"/>
      <c r="N16" s="468">
        <v>42309</v>
      </c>
      <c r="O16" s="468">
        <v>42490</v>
      </c>
      <c r="P16" s="468">
        <v>42674</v>
      </c>
      <c r="Q16" s="468">
        <v>42675</v>
      </c>
      <c r="R16" s="468">
        <v>42704</v>
      </c>
      <c r="S16" s="468">
        <v>42705</v>
      </c>
      <c r="T16" s="468">
        <v>42886</v>
      </c>
      <c r="U16" s="468">
        <v>43069</v>
      </c>
      <c r="V16" s="468">
        <v>43251</v>
      </c>
      <c r="W16" s="469">
        <v>43434</v>
      </c>
      <c r="X16" s="476">
        <f ca="1" t="shared" si="6"/>
        <v>161.61546296296</v>
      </c>
      <c r="Y16" s="468" t="str">
        <f ca="1" t="shared" si="0"/>
        <v>ACTIVE</v>
      </c>
      <c r="Z16" s="479">
        <f>107%*3626375</f>
        <v>3880221.25</v>
      </c>
      <c r="AA16" s="480"/>
      <c r="AB16" s="480"/>
      <c r="AC16" s="480"/>
      <c r="AD16" s="207" t="s">
        <v>13701</v>
      </c>
      <c r="AE16" s="207" t="s">
        <v>13720</v>
      </c>
      <c r="AF16" s="207" t="s">
        <v>13703</v>
      </c>
      <c r="AG16" s="169" t="s">
        <v>13721</v>
      </c>
      <c r="AH16" s="432" t="s">
        <v>13722</v>
      </c>
      <c r="AI16" s="432" t="s">
        <v>13723</v>
      </c>
      <c r="AJ16" s="432"/>
      <c r="AK16" s="432" t="s">
        <v>13724</v>
      </c>
      <c r="AL16" s="432">
        <v>12028476583</v>
      </c>
      <c r="AM16" s="432" t="s">
        <v>13725</v>
      </c>
      <c r="AN16" s="370" t="s">
        <v>13726</v>
      </c>
      <c r="AO16" s="101"/>
      <c r="BH16" s="490" t="e">
        <f t="shared" si="1"/>
        <v>#VALUE!</v>
      </c>
      <c r="BI16" s="491">
        <f t="shared" si="2"/>
        <v>41579</v>
      </c>
      <c r="BJ16" s="491">
        <f t="shared" si="3"/>
        <v>42704</v>
      </c>
      <c r="BK16" s="91"/>
      <c r="BO16" s="468">
        <v>41579</v>
      </c>
      <c r="BP16" s="492"/>
      <c r="BQ16" s="492"/>
      <c r="BR16" s="492"/>
      <c r="BS16" s="492"/>
      <c r="BT16" s="492"/>
      <c r="BU16" s="492"/>
      <c r="BV16" s="492"/>
      <c r="BW16" s="492" t="str">
        <f>1000000&amp;150000</f>
        <v>1000000150000</v>
      </c>
      <c r="BX16" s="492"/>
      <c r="BY16" s="492"/>
      <c r="BZ16" s="492"/>
      <c r="CA16" s="492"/>
      <c r="CB16" s="492">
        <f t="shared" si="4"/>
        <v>0</v>
      </c>
      <c r="CC16" s="492"/>
      <c r="CG16" s="492">
        <f>361000+130000+160000</f>
        <v>651000</v>
      </c>
      <c r="CO16" s="492">
        <f t="shared" si="5"/>
        <v>651000</v>
      </c>
    </row>
    <row r="17" s="93" customFormat="1" ht="31.5" spans="1:85">
      <c r="A17" s="1585" t="s">
        <v>78</v>
      </c>
      <c r="B17" s="1585" t="s">
        <v>13727</v>
      </c>
      <c r="C17" s="463" t="s">
        <v>13728</v>
      </c>
      <c r="D17" s="102" t="s">
        <v>13729</v>
      </c>
      <c r="E17" s="102" t="s">
        <v>43</v>
      </c>
      <c r="F17" s="102" t="s">
        <v>254</v>
      </c>
      <c r="G17" s="432" t="s">
        <v>13730</v>
      </c>
      <c r="H17" s="466" t="s">
        <v>13731</v>
      </c>
      <c r="I17" s="468">
        <v>42156</v>
      </c>
      <c r="J17" s="468">
        <v>42369</v>
      </c>
      <c r="K17" s="468">
        <v>42429</v>
      </c>
      <c r="L17" s="468">
        <v>42735</v>
      </c>
      <c r="M17" s="468">
        <v>42886</v>
      </c>
      <c r="N17" s="468">
        <v>42887</v>
      </c>
      <c r="O17" s="468">
        <v>43100</v>
      </c>
      <c r="P17" s="468">
        <v>43251</v>
      </c>
      <c r="Q17" s="468">
        <v>43252</v>
      </c>
      <c r="R17" s="468">
        <v>43281</v>
      </c>
      <c r="S17" s="468">
        <v>43282</v>
      </c>
      <c r="T17" s="468">
        <v>43465</v>
      </c>
      <c r="U17" s="468"/>
      <c r="V17" s="468"/>
      <c r="W17" s="468"/>
      <c r="X17" s="476">
        <f ca="1">SUM(T17-NOW())</f>
        <v>192.61546296296</v>
      </c>
      <c r="Y17" s="468" t="str">
        <f ca="1" t="shared" si="0"/>
        <v>ACTIVE</v>
      </c>
      <c r="Z17" s="480">
        <v>21500000</v>
      </c>
      <c r="AA17" s="480"/>
      <c r="AB17" s="480"/>
      <c r="AC17" s="480"/>
      <c r="AD17" s="207"/>
      <c r="AE17" s="207" t="s">
        <v>13732</v>
      </c>
      <c r="AF17" s="207" t="s">
        <v>13733</v>
      </c>
      <c r="AG17" s="169" t="s">
        <v>13734</v>
      </c>
      <c r="AH17" s="432" t="s">
        <v>13735</v>
      </c>
      <c r="AI17" s="432" t="s">
        <v>13736</v>
      </c>
      <c r="AJ17" s="1577" t="s">
        <v>13737</v>
      </c>
      <c r="AK17" s="432" t="s">
        <v>13738</v>
      </c>
      <c r="AL17" s="432"/>
      <c r="AM17" s="1585" t="s">
        <v>13739</v>
      </c>
      <c r="AN17" s="149" t="s">
        <v>13740</v>
      </c>
      <c r="AO17" s="101"/>
      <c r="CG17" s="492"/>
    </row>
    <row r="18" s="93" customFormat="1" ht="31.5" spans="1:85">
      <c r="A18" s="1585" t="s">
        <v>92</v>
      </c>
      <c r="B18" s="1585" t="s">
        <v>13741</v>
      </c>
      <c r="C18" s="463" t="s">
        <v>13742</v>
      </c>
      <c r="D18" s="102" t="s">
        <v>13743</v>
      </c>
      <c r="E18" s="102" t="s">
        <v>43</v>
      </c>
      <c r="F18" s="102" t="s">
        <v>44</v>
      </c>
      <c r="G18" s="432" t="s">
        <v>13730</v>
      </c>
      <c r="H18" s="466" t="s">
        <v>13731</v>
      </c>
      <c r="I18" s="468">
        <v>42156</v>
      </c>
      <c r="J18" s="468">
        <v>42369</v>
      </c>
      <c r="K18" s="468">
        <v>42429</v>
      </c>
      <c r="L18" s="468">
        <v>42735</v>
      </c>
      <c r="M18" s="468">
        <v>42886</v>
      </c>
      <c r="N18" s="468">
        <v>42887</v>
      </c>
      <c r="O18" s="468">
        <v>43100</v>
      </c>
      <c r="P18" s="468">
        <v>43251</v>
      </c>
      <c r="Q18" s="468">
        <v>43252</v>
      </c>
      <c r="R18" s="468">
        <v>43281</v>
      </c>
      <c r="S18" s="468">
        <v>43282</v>
      </c>
      <c r="T18" s="468">
        <v>43465</v>
      </c>
      <c r="U18" s="468"/>
      <c r="V18" s="468"/>
      <c r="W18" s="468"/>
      <c r="X18" s="476">
        <f ca="1">SUM(T18-NOW())</f>
        <v>192.61546296296</v>
      </c>
      <c r="Y18" s="468" t="str">
        <f ca="1" t="shared" si="0"/>
        <v>ACTIVE</v>
      </c>
      <c r="Z18" s="480">
        <v>9000000</v>
      </c>
      <c r="AA18" s="480"/>
      <c r="AB18" s="480"/>
      <c r="AC18" s="480"/>
      <c r="AD18" s="207"/>
      <c r="AE18" s="207" t="s">
        <v>13744</v>
      </c>
      <c r="AF18" s="207" t="s">
        <v>13733</v>
      </c>
      <c r="AG18" s="169" t="s">
        <v>13745</v>
      </c>
      <c r="AH18" s="432">
        <v>85710701050</v>
      </c>
      <c r="AI18" s="432" t="s">
        <v>13746</v>
      </c>
      <c r="AJ18" s="1577" t="s">
        <v>13747</v>
      </c>
      <c r="AK18" s="432" t="s">
        <v>13748</v>
      </c>
      <c r="AL18" s="432">
        <v>1377334754</v>
      </c>
      <c r="AM18" s="100" t="s">
        <v>13749</v>
      </c>
      <c r="AN18" s="149" t="s">
        <v>13750</v>
      </c>
      <c r="AO18" s="101"/>
      <c r="CG18" s="492"/>
    </row>
    <row r="19" s="459" customFormat="1" ht="31.5" spans="1:118">
      <c r="A19" s="1590" t="s">
        <v>107</v>
      </c>
      <c r="B19" s="1590" t="s">
        <v>13751</v>
      </c>
      <c r="C19" s="166" t="s">
        <v>13752</v>
      </c>
      <c r="D19" s="173" t="s">
        <v>13753</v>
      </c>
      <c r="E19" s="173" t="s">
        <v>43</v>
      </c>
      <c r="F19" s="173" t="s">
        <v>44</v>
      </c>
      <c r="G19" s="180" t="s">
        <v>13754</v>
      </c>
      <c r="H19" s="467" t="s">
        <v>13755</v>
      </c>
      <c r="I19" s="182">
        <v>42380</v>
      </c>
      <c r="J19" s="182">
        <v>42735</v>
      </c>
      <c r="K19" s="182">
        <v>43100</v>
      </c>
      <c r="L19" s="182">
        <v>43465</v>
      </c>
      <c r="M19" s="182"/>
      <c r="N19" s="472"/>
      <c r="O19" s="472"/>
      <c r="P19" s="473"/>
      <c r="Q19" s="182"/>
      <c r="R19" s="182"/>
      <c r="S19" s="182"/>
      <c r="T19" s="182"/>
      <c r="U19" s="182"/>
      <c r="V19" s="182"/>
      <c r="W19" s="182"/>
      <c r="X19" s="477">
        <f ca="1" t="shared" ref="X19:X21" si="7">SUM(L19-NOW())</f>
        <v>192.61546296296</v>
      </c>
      <c r="Y19" s="182" t="str">
        <f ca="1" t="shared" si="0"/>
        <v>ACTIVE</v>
      </c>
      <c r="Z19" s="481">
        <v>4800000</v>
      </c>
      <c r="AA19" s="481">
        <v>500000</v>
      </c>
      <c r="AB19" s="481">
        <v>200000</v>
      </c>
      <c r="AC19" s="481">
        <v>200000</v>
      </c>
      <c r="AD19" s="181"/>
      <c r="AE19" s="181" t="s">
        <v>13756</v>
      </c>
      <c r="AF19" s="181" t="s">
        <v>13733</v>
      </c>
      <c r="AG19" s="171" t="s">
        <v>13757</v>
      </c>
      <c r="AH19" s="1594" t="s">
        <v>13758</v>
      </c>
      <c r="AI19" s="180" t="s">
        <v>13759</v>
      </c>
      <c r="AJ19" s="1594" t="s">
        <v>13760</v>
      </c>
      <c r="AK19" s="180" t="s">
        <v>13761</v>
      </c>
      <c r="AL19" s="180"/>
      <c r="AM19" s="180" t="s">
        <v>13762</v>
      </c>
      <c r="AN19" s="368" t="s">
        <v>13763</v>
      </c>
      <c r="AO19" s="163" t="s">
        <v>13764</v>
      </c>
      <c r="CG19" s="494"/>
      <c r="DH19" s="494">
        <v>600000</v>
      </c>
      <c r="DN19" s="494">
        <v>1400000</v>
      </c>
    </row>
    <row r="20" s="459" customFormat="1" ht="31.5" spans="1:117">
      <c r="A20" s="1590" t="s">
        <v>121</v>
      </c>
      <c r="B20" s="1590" t="s">
        <v>13765</v>
      </c>
      <c r="C20" s="166" t="s">
        <v>13766</v>
      </c>
      <c r="D20" s="173" t="s">
        <v>13767</v>
      </c>
      <c r="E20" s="173" t="s">
        <v>43</v>
      </c>
      <c r="F20" s="173" t="s">
        <v>44</v>
      </c>
      <c r="G20" s="180" t="s">
        <v>13754</v>
      </c>
      <c r="H20" s="467" t="s">
        <v>13755</v>
      </c>
      <c r="I20" s="182">
        <v>42373</v>
      </c>
      <c r="J20" s="182">
        <v>42735</v>
      </c>
      <c r="K20" s="182">
        <v>43100</v>
      </c>
      <c r="L20" s="182">
        <v>43465</v>
      </c>
      <c r="M20" s="182"/>
      <c r="N20" s="472"/>
      <c r="O20" s="472"/>
      <c r="P20" s="473"/>
      <c r="Q20" s="182"/>
      <c r="R20" s="182"/>
      <c r="S20" s="182"/>
      <c r="T20" s="182"/>
      <c r="U20" s="182"/>
      <c r="V20" s="182"/>
      <c r="W20" s="182"/>
      <c r="X20" s="477">
        <f ca="1" t="shared" si="7"/>
        <v>192.61546296296</v>
      </c>
      <c r="Y20" s="182" t="str">
        <f ca="1" t="shared" si="0"/>
        <v>ACTIVE</v>
      </c>
      <c r="Z20" s="481">
        <v>4800000</v>
      </c>
      <c r="AA20" s="481">
        <v>500000</v>
      </c>
      <c r="AB20" s="481">
        <v>200000</v>
      </c>
      <c r="AC20" s="481">
        <v>200000</v>
      </c>
      <c r="AD20" s="181"/>
      <c r="AE20" s="181" t="s">
        <v>13756</v>
      </c>
      <c r="AF20" s="181" t="s">
        <v>13733</v>
      </c>
      <c r="AG20" s="171" t="s">
        <v>13768</v>
      </c>
      <c r="AH20" s="1594" t="s">
        <v>13769</v>
      </c>
      <c r="AI20" s="180" t="s">
        <v>13770</v>
      </c>
      <c r="AJ20" s="1594" t="s">
        <v>13771</v>
      </c>
      <c r="AK20" s="180" t="s">
        <v>13772</v>
      </c>
      <c r="AL20" s="180"/>
      <c r="AM20" s="180" t="s">
        <v>13773</v>
      </c>
      <c r="AN20" s="368" t="s">
        <v>13774</v>
      </c>
      <c r="AO20" s="163" t="s">
        <v>13764</v>
      </c>
      <c r="CG20" s="494"/>
      <c r="DM20" s="494">
        <f>14016+107900+115000</f>
        <v>236916</v>
      </c>
    </row>
    <row r="21" s="93" customFormat="1" ht="31.5" spans="1:120">
      <c r="A21" s="1585" t="s">
        <v>135</v>
      </c>
      <c r="B21" s="1585" t="s">
        <v>13775</v>
      </c>
      <c r="C21" s="463" t="s">
        <v>13776</v>
      </c>
      <c r="D21" s="102" t="s">
        <v>13777</v>
      </c>
      <c r="E21" s="102" t="s">
        <v>43</v>
      </c>
      <c r="F21" s="102" t="s">
        <v>404</v>
      </c>
      <c r="G21" s="432" t="s">
        <v>13754</v>
      </c>
      <c r="H21" s="466" t="s">
        <v>13755</v>
      </c>
      <c r="I21" s="468">
        <v>42370</v>
      </c>
      <c r="J21" s="468">
        <v>42735</v>
      </c>
      <c r="K21" s="468">
        <v>43100</v>
      </c>
      <c r="L21" s="468">
        <v>43465</v>
      </c>
      <c r="M21" s="468"/>
      <c r="N21" s="474"/>
      <c r="O21" s="474"/>
      <c r="P21" s="475"/>
      <c r="Q21" s="468"/>
      <c r="R21" s="468"/>
      <c r="S21" s="468"/>
      <c r="T21" s="468"/>
      <c r="U21" s="468"/>
      <c r="V21" s="468"/>
      <c r="W21" s="468"/>
      <c r="X21" s="476">
        <f ca="1" t="shared" si="7"/>
        <v>192.61546296296</v>
      </c>
      <c r="Y21" s="468" t="str">
        <f ca="1" t="shared" si="0"/>
        <v>ACTIVE</v>
      </c>
      <c r="Z21" s="480">
        <v>4800000</v>
      </c>
      <c r="AA21" s="480">
        <v>500000</v>
      </c>
      <c r="AB21" s="480">
        <v>200000</v>
      </c>
      <c r="AC21" s="480">
        <v>200000</v>
      </c>
      <c r="AD21" s="207"/>
      <c r="AE21" s="207" t="s">
        <v>13778</v>
      </c>
      <c r="AF21" s="207" t="s">
        <v>13733</v>
      </c>
      <c r="AG21" s="169" t="s">
        <v>13779</v>
      </c>
      <c r="AH21" s="1577" t="s">
        <v>13780</v>
      </c>
      <c r="AI21" s="432" t="s">
        <v>13781</v>
      </c>
      <c r="AJ21" s="1577" t="s">
        <v>13782</v>
      </c>
      <c r="AK21" s="432" t="s">
        <v>13783</v>
      </c>
      <c r="AL21" s="432"/>
      <c r="AM21" s="432" t="s">
        <v>13784</v>
      </c>
      <c r="AN21" s="365" t="s">
        <v>13785</v>
      </c>
      <c r="AO21" s="101"/>
      <c r="CG21" s="492"/>
      <c r="DF21" s="492">
        <v>1055192</v>
      </c>
      <c r="DP21" s="496">
        <f>2000000-DF21</f>
        <v>944808</v>
      </c>
    </row>
    <row r="22" s="93" customFormat="1" ht="31.5" spans="1:85">
      <c r="A22" s="1585" t="s">
        <v>146</v>
      </c>
      <c r="B22" s="1585" t="s">
        <v>13786</v>
      </c>
      <c r="C22" s="463" t="s">
        <v>13787</v>
      </c>
      <c r="D22" s="102" t="s">
        <v>13788</v>
      </c>
      <c r="E22" s="102" t="s">
        <v>125</v>
      </c>
      <c r="F22" s="102" t="s">
        <v>44</v>
      </c>
      <c r="G22" s="432" t="s">
        <v>13789</v>
      </c>
      <c r="H22" s="466" t="s">
        <v>13790</v>
      </c>
      <c r="I22" s="468">
        <v>42636</v>
      </c>
      <c r="J22" s="468">
        <v>42816</v>
      </c>
      <c r="K22" s="468">
        <v>43181</v>
      </c>
      <c r="L22" s="468"/>
      <c r="M22" s="468"/>
      <c r="N22" s="468">
        <v>43182</v>
      </c>
      <c r="O22" s="469">
        <v>43546</v>
      </c>
      <c r="P22" s="475"/>
      <c r="Q22" s="468"/>
      <c r="R22" s="468"/>
      <c r="S22" s="468"/>
      <c r="T22" s="468"/>
      <c r="U22" s="468"/>
      <c r="V22" s="468"/>
      <c r="W22" s="468"/>
      <c r="X22" s="476">
        <f ca="1">SUM(O22-NOW())</f>
        <v>273.61546296296</v>
      </c>
      <c r="Y22" s="468" t="str">
        <f ca="1" t="shared" ref="Y22:Y32" si="8">IF(X22&lt;=46,"WARNING","ACTIVE")</f>
        <v>ACTIVE</v>
      </c>
      <c r="Z22" s="482">
        <v>4000000</v>
      </c>
      <c r="AA22" s="480"/>
      <c r="AB22" s="480"/>
      <c r="AC22" s="480"/>
      <c r="AD22" s="207"/>
      <c r="AE22" s="207" t="s">
        <v>13791</v>
      </c>
      <c r="AF22" s="207" t="s">
        <v>13792</v>
      </c>
      <c r="AG22" s="169" t="s">
        <v>13793</v>
      </c>
      <c r="AH22" s="1577" t="s">
        <v>13794</v>
      </c>
      <c r="AI22" s="432" t="s">
        <v>13795</v>
      </c>
      <c r="AJ22" s="1577" t="s">
        <v>13796</v>
      </c>
      <c r="AK22" s="432"/>
      <c r="AL22" s="432"/>
      <c r="AM22" s="432"/>
      <c r="AN22" s="365" t="s">
        <v>13797</v>
      </c>
      <c r="AO22" s="101"/>
      <c r="CG22" s="492"/>
    </row>
    <row r="23" s="93" customFormat="1" ht="31.5" spans="1:85">
      <c r="A23" s="1585" t="s">
        <v>157</v>
      </c>
      <c r="B23" s="1585" t="s">
        <v>13798</v>
      </c>
      <c r="C23" s="463" t="s">
        <v>13799</v>
      </c>
      <c r="D23" s="102" t="s">
        <v>831</v>
      </c>
      <c r="E23" s="102" t="s">
        <v>43</v>
      </c>
      <c r="F23" s="102" t="s">
        <v>43</v>
      </c>
      <c r="G23" s="432" t="s">
        <v>13800</v>
      </c>
      <c r="H23" s="466" t="s">
        <v>13731</v>
      </c>
      <c r="I23" s="468">
        <v>42764</v>
      </c>
      <c r="J23" s="468">
        <v>43128</v>
      </c>
      <c r="K23" s="468">
        <v>43465</v>
      </c>
      <c r="L23" s="468"/>
      <c r="M23" s="468"/>
      <c r="N23" s="474"/>
      <c r="O23" s="474"/>
      <c r="P23" s="475"/>
      <c r="Q23" s="468"/>
      <c r="R23" s="468"/>
      <c r="S23" s="468"/>
      <c r="T23" s="468"/>
      <c r="U23" s="468"/>
      <c r="V23" s="468"/>
      <c r="W23" s="468"/>
      <c r="X23" s="476">
        <f ca="1" t="shared" ref="X23:X28" si="9">SUM(K23-NOW())</f>
        <v>192.61546296296</v>
      </c>
      <c r="Y23" s="468" t="str">
        <f ca="1" t="shared" si="8"/>
        <v>ACTIVE</v>
      </c>
      <c r="Z23" s="480">
        <v>6000000</v>
      </c>
      <c r="AA23" s="480"/>
      <c r="AB23" s="480"/>
      <c r="AC23" s="480"/>
      <c r="AD23" s="207"/>
      <c r="AE23" s="207" t="s">
        <v>13801</v>
      </c>
      <c r="AF23" s="207" t="s">
        <v>13733</v>
      </c>
      <c r="AG23" s="169" t="s">
        <v>13802</v>
      </c>
      <c r="AH23" s="1577" t="s">
        <v>13803</v>
      </c>
      <c r="AI23" s="432" t="s">
        <v>13804</v>
      </c>
      <c r="AJ23" s="1577" t="s">
        <v>13805</v>
      </c>
      <c r="AK23" s="432"/>
      <c r="AL23" s="432"/>
      <c r="AM23" s="432"/>
      <c r="AN23" s="154" t="s">
        <v>13806</v>
      </c>
      <c r="AO23" s="101"/>
      <c r="CG23" s="492"/>
    </row>
    <row r="24" s="93" customFormat="1" ht="31.5" spans="1:85">
      <c r="A24" s="1585" t="s">
        <v>168</v>
      </c>
      <c r="B24" s="1585" t="s">
        <v>13807</v>
      </c>
      <c r="C24" s="463" t="s">
        <v>13808</v>
      </c>
      <c r="D24" s="102" t="s">
        <v>13809</v>
      </c>
      <c r="E24" s="102" t="s">
        <v>43</v>
      </c>
      <c r="F24" s="102" t="s">
        <v>96</v>
      </c>
      <c r="G24" s="432" t="s">
        <v>1533</v>
      </c>
      <c r="H24" s="466" t="s">
        <v>13810</v>
      </c>
      <c r="I24" s="468">
        <v>43018</v>
      </c>
      <c r="J24" s="468">
        <v>43199</v>
      </c>
      <c r="K24" s="469">
        <v>43564</v>
      </c>
      <c r="L24" s="468"/>
      <c r="M24" s="468"/>
      <c r="N24" s="474"/>
      <c r="O24" s="474"/>
      <c r="P24" s="475"/>
      <c r="Q24" s="468"/>
      <c r="R24" s="468"/>
      <c r="S24" s="468"/>
      <c r="T24" s="468"/>
      <c r="U24" s="468"/>
      <c r="V24" s="468"/>
      <c r="W24" s="468"/>
      <c r="X24" s="476">
        <f ca="1" t="shared" si="9"/>
        <v>291.61546296296</v>
      </c>
      <c r="Y24" s="468" t="str">
        <f ca="1" t="shared" si="8"/>
        <v>ACTIVE</v>
      </c>
      <c r="Z24" s="480">
        <v>4138590</v>
      </c>
      <c r="AA24" s="480"/>
      <c r="AB24" s="480"/>
      <c r="AC24" s="480"/>
      <c r="AD24" s="207">
        <v>363000</v>
      </c>
      <c r="AE24" s="207" t="s">
        <v>13811</v>
      </c>
      <c r="AF24" s="207" t="s">
        <v>13733</v>
      </c>
      <c r="AG24" s="169" t="s">
        <v>13812</v>
      </c>
      <c r="AH24" s="432">
        <v>81359001455</v>
      </c>
      <c r="AI24" s="432" t="s">
        <v>13813</v>
      </c>
      <c r="AJ24" s="1577" t="s">
        <v>13814</v>
      </c>
      <c r="AK24" s="432">
        <v>0</v>
      </c>
      <c r="AL24" s="1577" t="s">
        <v>13815</v>
      </c>
      <c r="AM24" s="1577" t="s">
        <v>13816</v>
      </c>
      <c r="AN24" s="149" t="s">
        <v>13817</v>
      </c>
      <c r="AO24" s="101"/>
      <c r="CG24" s="492"/>
    </row>
    <row r="25" s="93" customFormat="1" ht="14.1" customHeight="1" spans="1:85">
      <c r="A25" s="1585" t="s">
        <v>194</v>
      </c>
      <c r="B25" s="1585" t="s">
        <v>13818</v>
      </c>
      <c r="C25" s="463" t="s">
        <v>13819</v>
      </c>
      <c r="D25" s="102" t="s">
        <v>13820</v>
      </c>
      <c r="E25" s="102" t="s">
        <v>125</v>
      </c>
      <c r="F25" s="102" t="s">
        <v>44</v>
      </c>
      <c r="G25" s="432" t="s">
        <v>13821</v>
      </c>
      <c r="H25" s="466" t="s">
        <v>13822</v>
      </c>
      <c r="I25" s="468">
        <v>43143</v>
      </c>
      <c r="J25" s="468">
        <v>43231</v>
      </c>
      <c r="K25" s="469">
        <v>43292</v>
      </c>
      <c r="L25" s="468"/>
      <c r="M25" s="468"/>
      <c r="N25" s="474"/>
      <c r="O25" s="474"/>
      <c r="P25" s="475"/>
      <c r="Q25" s="468"/>
      <c r="R25" s="468"/>
      <c r="S25" s="468"/>
      <c r="T25" s="468"/>
      <c r="U25" s="468"/>
      <c r="V25" s="468"/>
      <c r="W25" s="468"/>
      <c r="X25" s="476">
        <f ca="1" t="shared" si="9"/>
        <v>19.61546296296</v>
      </c>
      <c r="Y25" s="468" t="str">
        <f ca="1" t="shared" si="8"/>
        <v>WARNING</v>
      </c>
      <c r="Z25" s="480">
        <v>1500000</v>
      </c>
      <c r="AA25" s="480"/>
      <c r="AB25" s="480"/>
      <c r="AC25" s="480"/>
      <c r="AD25" s="207"/>
      <c r="AE25" s="207"/>
      <c r="AF25" s="207" t="s">
        <v>112</v>
      </c>
      <c r="AG25" s="169" t="s">
        <v>13823</v>
      </c>
      <c r="AH25" s="432">
        <v>8112008810</v>
      </c>
      <c r="AI25" s="432" t="s">
        <v>13824</v>
      </c>
      <c r="AJ25" s="1577" t="s">
        <v>13825</v>
      </c>
      <c r="AK25" s="432"/>
      <c r="AL25" s="432"/>
      <c r="AM25" s="432"/>
      <c r="AN25" s="149" t="s">
        <v>13826</v>
      </c>
      <c r="AO25" s="101"/>
      <c r="CG25" s="492"/>
    </row>
    <row r="26" s="93" customFormat="1" ht="14.1" customHeight="1" spans="1:85">
      <c r="A26" s="1585" t="s">
        <v>204</v>
      </c>
      <c r="B26" s="1585" t="s">
        <v>13827</v>
      </c>
      <c r="C26" s="463" t="s">
        <v>13828</v>
      </c>
      <c r="D26" s="102" t="s">
        <v>13829</v>
      </c>
      <c r="E26" s="102" t="s">
        <v>125</v>
      </c>
      <c r="F26" s="102" t="s">
        <v>44</v>
      </c>
      <c r="G26" s="432" t="s">
        <v>13830</v>
      </c>
      <c r="H26" s="466" t="s">
        <v>13822</v>
      </c>
      <c r="I26" s="470">
        <v>43136</v>
      </c>
      <c r="J26" s="470">
        <v>43224</v>
      </c>
      <c r="K26" s="469">
        <v>43255</v>
      </c>
      <c r="L26" s="468"/>
      <c r="M26" s="468"/>
      <c r="N26" s="474"/>
      <c r="O26" s="474"/>
      <c r="P26" s="475"/>
      <c r="Q26" s="468"/>
      <c r="R26" s="468"/>
      <c r="S26" s="468"/>
      <c r="T26" s="468"/>
      <c r="U26" s="468"/>
      <c r="V26" s="468"/>
      <c r="W26" s="468"/>
      <c r="X26" s="476">
        <f ca="1" t="shared" si="9"/>
        <v>-17.38453703704</v>
      </c>
      <c r="Y26" s="468" t="str">
        <f ca="1" t="shared" si="8"/>
        <v>WARNING</v>
      </c>
      <c r="Z26" s="480">
        <v>1000000</v>
      </c>
      <c r="AA26" s="480"/>
      <c r="AB26" s="480"/>
      <c r="AC26" s="480"/>
      <c r="AD26" s="207"/>
      <c r="AE26" s="207"/>
      <c r="AF26" s="207" t="s">
        <v>112</v>
      </c>
      <c r="AG26" s="169" t="s">
        <v>13831</v>
      </c>
      <c r="AH26" s="432">
        <v>81219860703</v>
      </c>
      <c r="AI26" s="432" t="s">
        <v>13832</v>
      </c>
      <c r="AJ26" s="432"/>
      <c r="AK26" s="432"/>
      <c r="AL26" s="432"/>
      <c r="AM26" s="432"/>
      <c r="AN26" s="149" t="s">
        <v>13833</v>
      </c>
      <c r="AO26" s="101"/>
      <c r="CG26" s="492"/>
    </row>
    <row r="27" s="93" customFormat="1" ht="14.1" customHeight="1" spans="1:85">
      <c r="A27" s="1585" t="s">
        <v>215</v>
      </c>
      <c r="B27" s="1585" t="s">
        <v>13834</v>
      </c>
      <c r="C27" s="463" t="s">
        <v>13835</v>
      </c>
      <c r="D27" s="102" t="s">
        <v>13836</v>
      </c>
      <c r="E27" s="102" t="s">
        <v>125</v>
      </c>
      <c r="F27" s="102" t="s">
        <v>44</v>
      </c>
      <c r="G27" s="432" t="s">
        <v>13830</v>
      </c>
      <c r="H27" s="466" t="s">
        <v>13822</v>
      </c>
      <c r="I27" s="468">
        <v>43136</v>
      </c>
      <c r="J27" s="468">
        <v>43224</v>
      </c>
      <c r="K27" s="469">
        <v>43255</v>
      </c>
      <c r="L27" s="468"/>
      <c r="M27" s="468"/>
      <c r="N27" s="474"/>
      <c r="O27" s="474"/>
      <c r="P27" s="475"/>
      <c r="Q27" s="468"/>
      <c r="R27" s="468"/>
      <c r="S27" s="468"/>
      <c r="T27" s="468"/>
      <c r="U27" s="468"/>
      <c r="V27" s="468"/>
      <c r="W27" s="468"/>
      <c r="X27" s="476">
        <f ca="1" t="shared" si="9"/>
        <v>-17.38453703704</v>
      </c>
      <c r="Y27" s="468" t="str">
        <f ca="1" t="shared" si="8"/>
        <v>WARNING</v>
      </c>
      <c r="Z27" s="480">
        <v>1000000</v>
      </c>
      <c r="AA27" s="480"/>
      <c r="AB27" s="480"/>
      <c r="AC27" s="480"/>
      <c r="AD27" s="207"/>
      <c r="AE27" s="207"/>
      <c r="AF27" s="207" t="s">
        <v>112</v>
      </c>
      <c r="AG27" s="169" t="s">
        <v>13837</v>
      </c>
      <c r="AH27" s="432">
        <v>87784438324</v>
      </c>
      <c r="AI27" s="432" t="s">
        <v>13838</v>
      </c>
      <c r="AJ27" s="432"/>
      <c r="AK27" s="432"/>
      <c r="AL27" s="432"/>
      <c r="AM27" s="432"/>
      <c r="AN27" s="149" t="s">
        <v>13839</v>
      </c>
      <c r="AO27" s="101"/>
      <c r="CG27" s="492"/>
    </row>
    <row r="28" s="93" customFormat="1" ht="42" spans="1:85">
      <c r="A28" s="1585" t="s">
        <v>229</v>
      </c>
      <c r="B28" s="1585" t="s">
        <v>13840</v>
      </c>
      <c r="C28" s="463" t="s">
        <v>13841</v>
      </c>
      <c r="D28" s="102" t="s">
        <v>13842</v>
      </c>
      <c r="E28" s="102" t="s">
        <v>125</v>
      </c>
      <c r="F28" s="102" t="s">
        <v>44</v>
      </c>
      <c r="G28" s="432" t="s">
        <v>13821</v>
      </c>
      <c r="H28" s="466" t="s">
        <v>13822</v>
      </c>
      <c r="I28" s="468">
        <v>43139</v>
      </c>
      <c r="J28" s="468">
        <v>43227</v>
      </c>
      <c r="K28" s="469">
        <v>43288</v>
      </c>
      <c r="L28" s="468"/>
      <c r="M28" s="468"/>
      <c r="N28" s="474"/>
      <c r="O28" s="474"/>
      <c r="P28" s="475"/>
      <c r="Q28" s="468"/>
      <c r="R28" s="468"/>
      <c r="S28" s="468"/>
      <c r="T28" s="468"/>
      <c r="U28" s="468"/>
      <c r="V28" s="468"/>
      <c r="W28" s="468"/>
      <c r="X28" s="476">
        <f ca="1" t="shared" si="9"/>
        <v>15.61546296296</v>
      </c>
      <c r="Y28" s="468" t="str">
        <f ca="1" t="shared" si="8"/>
        <v>WARNING</v>
      </c>
      <c r="Z28" s="480">
        <v>1500000</v>
      </c>
      <c r="AA28" s="480"/>
      <c r="AB28" s="480"/>
      <c r="AC28" s="480"/>
      <c r="AD28" s="207"/>
      <c r="AE28" s="207"/>
      <c r="AF28" s="207" t="s">
        <v>112</v>
      </c>
      <c r="AG28" s="169" t="s">
        <v>13843</v>
      </c>
      <c r="AH28" s="432">
        <v>81291630233</v>
      </c>
      <c r="AI28" s="432" t="s">
        <v>13844</v>
      </c>
      <c r="AJ28" s="1577" t="s">
        <v>13845</v>
      </c>
      <c r="AK28" s="432"/>
      <c r="AL28" s="432"/>
      <c r="AM28" s="432"/>
      <c r="AN28" s="149" t="s">
        <v>13846</v>
      </c>
      <c r="AO28" s="101"/>
      <c r="CG28" s="492"/>
    </row>
    <row r="29" s="93" customFormat="1" ht="31.5" spans="1:85">
      <c r="A29" s="1585" t="s">
        <v>239</v>
      </c>
      <c r="B29" s="1585" t="s">
        <v>13847</v>
      </c>
      <c r="C29" s="463" t="s">
        <v>13848</v>
      </c>
      <c r="D29" s="102" t="s">
        <v>13849</v>
      </c>
      <c r="E29" s="102" t="s">
        <v>43</v>
      </c>
      <c r="F29" s="102" t="s">
        <v>44</v>
      </c>
      <c r="G29" s="432" t="s">
        <v>13850</v>
      </c>
      <c r="H29" s="466" t="s">
        <v>13851</v>
      </c>
      <c r="I29" s="468">
        <v>43136</v>
      </c>
      <c r="J29" s="468">
        <v>43316</v>
      </c>
      <c r="K29" s="468"/>
      <c r="L29" s="468"/>
      <c r="M29" s="468"/>
      <c r="N29" s="474"/>
      <c r="O29" s="474"/>
      <c r="P29" s="475"/>
      <c r="Q29" s="468"/>
      <c r="R29" s="468"/>
      <c r="S29" s="468"/>
      <c r="T29" s="468"/>
      <c r="U29" s="468"/>
      <c r="V29" s="468"/>
      <c r="W29" s="468"/>
      <c r="X29" s="476">
        <f ca="1" t="shared" ref="X29:X32" si="10">SUM(J29-NOW())</f>
        <v>43.61546296296</v>
      </c>
      <c r="Y29" s="468" t="str">
        <f ca="1" t="shared" si="8"/>
        <v>WARNING</v>
      </c>
      <c r="Z29" s="480">
        <v>3700000</v>
      </c>
      <c r="AA29" s="480"/>
      <c r="AB29" s="480"/>
      <c r="AC29" s="480"/>
      <c r="AD29" s="207"/>
      <c r="AE29" s="207" t="s">
        <v>13852</v>
      </c>
      <c r="AF29" s="207" t="s">
        <v>13733</v>
      </c>
      <c r="AG29" s="169" t="s">
        <v>13853</v>
      </c>
      <c r="AH29" s="432">
        <v>89524093248</v>
      </c>
      <c r="AI29" s="487" t="s">
        <v>13854</v>
      </c>
      <c r="AJ29" s="1577" t="s">
        <v>13855</v>
      </c>
      <c r="AK29" s="432"/>
      <c r="AL29" s="432"/>
      <c r="AM29" s="432"/>
      <c r="AN29" s="149" t="s">
        <v>13856</v>
      </c>
      <c r="AO29" s="101"/>
      <c r="CG29" s="492"/>
    </row>
    <row r="30" s="93" customFormat="1" ht="14.1" customHeight="1" spans="1:85">
      <c r="A30" s="1585" t="s">
        <v>250</v>
      </c>
      <c r="B30" s="1585" t="s">
        <v>13857</v>
      </c>
      <c r="C30" s="463" t="s">
        <v>13858</v>
      </c>
      <c r="D30" s="102" t="s">
        <v>13859</v>
      </c>
      <c r="E30" s="102" t="s">
        <v>43</v>
      </c>
      <c r="F30" s="102" t="s">
        <v>44</v>
      </c>
      <c r="G30" s="432" t="s">
        <v>13860</v>
      </c>
      <c r="H30" s="466" t="s">
        <v>13822</v>
      </c>
      <c r="I30" s="468">
        <v>43150</v>
      </c>
      <c r="J30" s="468">
        <v>43238</v>
      </c>
      <c r="K30" s="469">
        <v>43330</v>
      </c>
      <c r="L30" s="468"/>
      <c r="M30" s="468"/>
      <c r="N30" s="474"/>
      <c r="O30" s="474"/>
      <c r="P30" s="475"/>
      <c r="Q30" s="468"/>
      <c r="R30" s="468"/>
      <c r="S30" s="468"/>
      <c r="T30" s="468"/>
      <c r="U30" s="468"/>
      <c r="V30" s="468"/>
      <c r="W30" s="468"/>
      <c r="X30" s="476">
        <f ca="1">SUM(K30-NOW())</f>
        <v>57.61546296296</v>
      </c>
      <c r="Y30" s="468" t="str">
        <f ca="1" t="shared" si="8"/>
        <v>ACTIVE</v>
      </c>
      <c r="Z30" s="480">
        <v>1500000</v>
      </c>
      <c r="AA30" s="480"/>
      <c r="AB30" s="480"/>
      <c r="AC30" s="480"/>
      <c r="AD30" s="207"/>
      <c r="AE30" s="207"/>
      <c r="AF30" s="207"/>
      <c r="AG30" s="169" t="s">
        <v>13861</v>
      </c>
      <c r="AH30" s="1577" t="s">
        <v>13862</v>
      </c>
      <c r="AI30" s="432" t="s">
        <v>13863</v>
      </c>
      <c r="AJ30" s="1577" t="s">
        <v>13864</v>
      </c>
      <c r="AK30" s="432"/>
      <c r="AL30" s="432"/>
      <c r="AM30" s="432"/>
      <c r="AN30" s="149" t="s">
        <v>13865</v>
      </c>
      <c r="AO30" s="101"/>
      <c r="CG30" s="492"/>
    </row>
    <row r="31" s="93" customFormat="1" ht="14.1" customHeight="1" spans="1:85">
      <c r="A31" s="1585" t="s">
        <v>261</v>
      </c>
      <c r="B31" s="1585" t="s">
        <v>13866</v>
      </c>
      <c r="C31" s="463" t="s">
        <v>13867</v>
      </c>
      <c r="D31" s="102" t="s">
        <v>13868</v>
      </c>
      <c r="E31" s="102" t="s">
        <v>125</v>
      </c>
      <c r="F31" s="102" t="s">
        <v>44</v>
      </c>
      <c r="G31" s="432" t="s">
        <v>13869</v>
      </c>
      <c r="H31" s="466" t="s">
        <v>13822</v>
      </c>
      <c r="I31" s="468">
        <v>43152</v>
      </c>
      <c r="J31" s="468">
        <v>43240</v>
      </c>
      <c r="K31" s="470">
        <v>43271</v>
      </c>
      <c r="L31" s="468"/>
      <c r="M31" s="468"/>
      <c r="N31" s="474"/>
      <c r="O31" s="474"/>
      <c r="P31" s="475"/>
      <c r="Q31" s="468"/>
      <c r="R31" s="468"/>
      <c r="S31" s="468"/>
      <c r="T31" s="468"/>
      <c r="U31" s="468"/>
      <c r="V31" s="468"/>
      <c r="W31" s="468"/>
      <c r="X31" s="476">
        <f ca="1">SUM(K31-NOW())</f>
        <v>-1.38453703703999</v>
      </c>
      <c r="Y31" s="468" t="str">
        <f ca="1" t="shared" si="8"/>
        <v>WARNING</v>
      </c>
      <c r="Z31" s="480">
        <v>1500000</v>
      </c>
      <c r="AA31" s="480"/>
      <c r="AB31" s="480"/>
      <c r="AC31" s="480"/>
      <c r="AD31" s="207"/>
      <c r="AE31" s="207"/>
      <c r="AF31" s="207"/>
      <c r="AG31" s="169" t="s">
        <v>13870</v>
      </c>
      <c r="AH31" s="432"/>
      <c r="AI31" s="432" t="s">
        <v>13871</v>
      </c>
      <c r="AJ31" s="1577" t="s">
        <v>13872</v>
      </c>
      <c r="AK31" s="432"/>
      <c r="AL31" s="432"/>
      <c r="AM31" s="432"/>
      <c r="AN31" s="149" t="s">
        <v>13873</v>
      </c>
      <c r="AO31" s="101"/>
      <c r="CG31" s="492"/>
    </row>
    <row r="32" s="93" customFormat="1" ht="14.1" customHeight="1" spans="1:85">
      <c r="A32" s="1585" t="s">
        <v>272</v>
      </c>
      <c r="B32" s="1585" t="s">
        <v>13874</v>
      </c>
      <c r="C32" s="463" t="s">
        <v>13875</v>
      </c>
      <c r="D32" s="102" t="s">
        <v>13876</v>
      </c>
      <c r="E32" s="102" t="s">
        <v>125</v>
      </c>
      <c r="F32" s="102" t="s">
        <v>44</v>
      </c>
      <c r="G32" s="432" t="s">
        <v>13869</v>
      </c>
      <c r="H32" s="466" t="s">
        <v>13822</v>
      </c>
      <c r="I32" s="468">
        <v>43152</v>
      </c>
      <c r="J32" s="468">
        <v>43240</v>
      </c>
      <c r="K32" s="468"/>
      <c r="L32" s="468"/>
      <c r="M32" s="468"/>
      <c r="N32" s="474"/>
      <c r="O32" s="474"/>
      <c r="P32" s="475"/>
      <c r="Q32" s="468"/>
      <c r="R32" s="468"/>
      <c r="S32" s="468"/>
      <c r="T32" s="468"/>
      <c r="U32" s="468"/>
      <c r="V32" s="468"/>
      <c r="W32" s="468"/>
      <c r="X32" s="476">
        <f ca="1" t="shared" si="10"/>
        <v>-32.38453703704</v>
      </c>
      <c r="Y32" s="468" t="str">
        <f ca="1" t="shared" si="8"/>
        <v>WARNING</v>
      </c>
      <c r="Z32" s="480">
        <v>1500000</v>
      </c>
      <c r="AA32" s="480"/>
      <c r="AB32" s="480"/>
      <c r="AC32" s="480"/>
      <c r="AD32" s="207"/>
      <c r="AE32" s="207"/>
      <c r="AF32" s="207"/>
      <c r="AG32" s="169" t="s">
        <v>13877</v>
      </c>
      <c r="AH32" s="432"/>
      <c r="AI32" s="432" t="s">
        <v>13878</v>
      </c>
      <c r="AJ32" s="1577" t="s">
        <v>13879</v>
      </c>
      <c r="AK32" s="432"/>
      <c r="AL32" s="432"/>
      <c r="AM32" s="432"/>
      <c r="AN32" s="149" t="s">
        <v>13880</v>
      </c>
      <c r="AO32" s="101"/>
      <c r="CG32" s="492"/>
    </row>
    <row r="33" s="459" customFormat="1" ht="14.1" customHeight="1" spans="1:85">
      <c r="A33" s="1590" t="s">
        <v>286</v>
      </c>
      <c r="B33" s="32" t="s">
        <v>13881</v>
      </c>
      <c r="C33" s="166" t="s">
        <v>13882</v>
      </c>
      <c r="D33" s="173" t="s">
        <v>13883</v>
      </c>
      <c r="E33" s="173"/>
      <c r="F33" s="173"/>
      <c r="G33" s="180" t="s">
        <v>13821</v>
      </c>
      <c r="H33" s="467" t="s">
        <v>13822</v>
      </c>
      <c r="I33" s="182">
        <v>43167</v>
      </c>
      <c r="J33" s="182">
        <v>43258</v>
      </c>
      <c r="K33" s="182"/>
      <c r="L33" s="182"/>
      <c r="M33" s="182"/>
      <c r="N33" s="472"/>
      <c r="O33" s="472"/>
      <c r="P33" s="473"/>
      <c r="Q33" s="182"/>
      <c r="R33" s="182"/>
      <c r="S33" s="182"/>
      <c r="T33" s="182"/>
      <c r="U33" s="182"/>
      <c r="V33" s="182"/>
      <c r="W33" s="182"/>
      <c r="X33" s="477">
        <f ca="1" t="shared" ref="X33:X39" si="11">SUM(J33-NOW())</f>
        <v>-14.38453703704</v>
      </c>
      <c r="Y33" s="182" t="str">
        <f ca="1" t="shared" ref="Y33:Y39" si="12">IF(X33&lt;=46,"WARNING","ACTIVE")</f>
        <v>WARNING</v>
      </c>
      <c r="Z33" s="481">
        <v>1500000</v>
      </c>
      <c r="AA33" s="481"/>
      <c r="AB33" s="481"/>
      <c r="AC33" s="481"/>
      <c r="AD33" s="181"/>
      <c r="AE33" s="181"/>
      <c r="AF33" s="181"/>
      <c r="AG33" s="171" t="s">
        <v>13884</v>
      </c>
      <c r="AH33" s="1594" t="s">
        <v>13885</v>
      </c>
      <c r="AI33" s="180" t="s">
        <v>13886</v>
      </c>
      <c r="AJ33" s="1594" t="s">
        <v>13887</v>
      </c>
      <c r="AK33" s="180"/>
      <c r="AL33" s="180"/>
      <c r="AM33" s="180"/>
      <c r="AN33" s="86" t="s">
        <v>13888</v>
      </c>
      <c r="AO33" s="163" t="s">
        <v>13889</v>
      </c>
      <c r="CG33" s="494"/>
    </row>
    <row r="34" s="459" customFormat="1" ht="14.1" customHeight="1" spans="1:85">
      <c r="A34" s="1590" t="s">
        <v>296</v>
      </c>
      <c r="B34" s="32" t="s">
        <v>13890</v>
      </c>
      <c r="C34" s="166" t="s">
        <v>13891</v>
      </c>
      <c r="D34" s="173" t="s">
        <v>13892</v>
      </c>
      <c r="E34" s="173" t="s">
        <v>43</v>
      </c>
      <c r="F34" s="173" t="s">
        <v>44</v>
      </c>
      <c r="G34" s="180" t="s">
        <v>13821</v>
      </c>
      <c r="H34" s="467" t="s">
        <v>13822</v>
      </c>
      <c r="I34" s="182">
        <v>43167</v>
      </c>
      <c r="J34" s="182">
        <v>43258</v>
      </c>
      <c r="K34" s="182"/>
      <c r="L34" s="182"/>
      <c r="M34" s="182"/>
      <c r="N34" s="472"/>
      <c r="O34" s="472"/>
      <c r="P34" s="473"/>
      <c r="Q34" s="182"/>
      <c r="R34" s="182"/>
      <c r="S34" s="182"/>
      <c r="T34" s="182"/>
      <c r="U34" s="182"/>
      <c r="V34" s="182"/>
      <c r="W34" s="182"/>
      <c r="X34" s="477">
        <f ca="1" t="shared" si="11"/>
        <v>-14.38453703704</v>
      </c>
      <c r="Y34" s="182" t="str">
        <f ca="1" t="shared" si="12"/>
        <v>WARNING</v>
      </c>
      <c r="Z34" s="481">
        <v>1500000</v>
      </c>
      <c r="AA34" s="481"/>
      <c r="AB34" s="481"/>
      <c r="AC34" s="481"/>
      <c r="AD34" s="181"/>
      <c r="AE34" s="181"/>
      <c r="AF34" s="181"/>
      <c r="AG34" s="171" t="s">
        <v>13893</v>
      </c>
      <c r="AH34" s="180"/>
      <c r="AI34" s="180" t="s">
        <v>13894</v>
      </c>
      <c r="AJ34" s="1594" t="s">
        <v>13895</v>
      </c>
      <c r="AK34" s="180"/>
      <c r="AL34" s="180"/>
      <c r="AM34" s="180"/>
      <c r="AN34" s="86" t="s">
        <v>13896</v>
      </c>
      <c r="AO34" s="163" t="s">
        <v>13889</v>
      </c>
      <c r="CG34" s="494"/>
    </row>
    <row r="35" s="93" customFormat="1" ht="23.25" customHeight="1" spans="1:85">
      <c r="A35" s="1585" t="s">
        <v>308</v>
      </c>
      <c r="B35" s="14" t="s">
        <v>13897</v>
      </c>
      <c r="C35" s="463" t="s">
        <v>13898</v>
      </c>
      <c r="D35" s="102" t="s">
        <v>13899</v>
      </c>
      <c r="E35" s="102" t="s">
        <v>125</v>
      </c>
      <c r="F35" s="102" t="s">
        <v>44</v>
      </c>
      <c r="G35" s="432" t="s">
        <v>13900</v>
      </c>
      <c r="H35" s="466" t="s">
        <v>13822</v>
      </c>
      <c r="I35" s="468">
        <v>43222</v>
      </c>
      <c r="J35" s="468">
        <v>43343</v>
      </c>
      <c r="K35" s="468"/>
      <c r="L35" s="468"/>
      <c r="M35" s="468"/>
      <c r="N35" s="474"/>
      <c r="O35" s="474"/>
      <c r="P35" s="475"/>
      <c r="Q35" s="468"/>
      <c r="R35" s="468"/>
      <c r="S35" s="468"/>
      <c r="T35" s="468"/>
      <c r="U35" s="468"/>
      <c r="V35" s="468"/>
      <c r="W35" s="468"/>
      <c r="X35" s="476">
        <f ca="1" t="shared" si="11"/>
        <v>70.61546296296</v>
      </c>
      <c r="Y35" s="468" t="str">
        <f ca="1" t="shared" si="12"/>
        <v>ACTIVE</v>
      </c>
      <c r="Z35" s="480">
        <v>1500000</v>
      </c>
      <c r="AA35" s="480" t="s">
        <v>583</v>
      </c>
      <c r="AB35" s="480" t="s">
        <v>583</v>
      </c>
      <c r="AC35" s="480" t="s">
        <v>583</v>
      </c>
      <c r="AD35" s="207" t="s">
        <v>583</v>
      </c>
      <c r="AE35" s="207" t="s">
        <v>583</v>
      </c>
      <c r="AF35" s="207"/>
      <c r="AG35" s="169" t="s">
        <v>13901</v>
      </c>
      <c r="AH35" s="1577" t="s">
        <v>13902</v>
      </c>
      <c r="AI35" s="432" t="s">
        <v>13903</v>
      </c>
      <c r="AJ35" s="1577" t="s">
        <v>13904</v>
      </c>
      <c r="AK35" s="432"/>
      <c r="AL35" s="432"/>
      <c r="AM35" s="432"/>
      <c r="AN35" s="149" t="s">
        <v>13905</v>
      </c>
      <c r="AO35" s="101"/>
      <c r="CG35" s="492"/>
    </row>
    <row r="36" s="93" customFormat="1" ht="23.25" customHeight="1" spans="1:85">
      <c r="A36" s="1585" t="s">
        <v>320</v>
      </c>
      <c r="B36" s="14" t="s">
        <v>13906</v>
      </c>
      <c r="C36" s="463" t="s">
        <v>13907</v>
      </c>
      <c r="D36" s="102" t="s">
        <v>13908</v>
      </c>
      <c r="E36" s="102" t="s">
        <v>125</v>
      </c>
      <c r="F36" s="102" t="s">
        <v>44</v>
      </c>
      <c r="G36" s="432" t="s">
        <v>13821</v>
      </c>
      <c r="H36" s="466" t="s">
        <v>13822</v>
      </c>
      <c r="I36" s="468">
        <v>43222</v>
      </c>
      <c r="J36" s="468">
        <v>43343</v>
      </c>
      <c r="K36" s="468"/>
      <c r="L36" s="468"/>
      <c r="M36" s="468"/>
      <c r="N36" s="474"/>
      <c r="O36" s="474"/>
      <c r="P36" s="475"/>
      <c r="Q36" s="468"/>
      <c r="R36" s="468"/>
      <c r="S36" s="468"/>
      <c r="T36" s="468"/>
      <c r="U36" s="468"/>
      <c r="V36" s="468"/>
      <c r="W36" s="468"/>
      <c r="X36" s="476">
        <f ca="1" t="shared" si="11"/>
        <v>70.61546296296</v>
      </c>
      <c r="Y36" s="468" t="str">
        <f ca="1" t="shared" si="12"/>
        <v>ACTIVE</v>
      </c>
      <c r="Z36" s="480">
        <v>1500000</v>
      </c>
      <c r="AA36" s="480" t="s">
        <v>583</v>
      </c>
      <c r="AB36" s="480" t="s">
        <v>583</v>
      </c>
      <c r="AC36" s="480" t="s">
        <v>583</v>
      </c>
      <c r="AD36" s="207" t="s">
        <v>583</v>
      </c>
      <c r="AE36" s="207" t="s">
        <v>583</v>
      </c>
      <c r="AF36" s="207"/>
      <c r="AG36" s="169" t="s">
        <v>13909</v>
      </c>
      <c r="AH36" s="1577" t="s">
        <v>13910</v>
      </c>
      <c r="AI36" s="432" t="s">
        <v>13911</v>
      </c>
      <c r="AJ36" s="1577" t="s">
        <v>13912</v>
      </c>
      <c r="AK36" s="432"/>
      <c r="AL36" s="432"/>
      <c r="AM36" s="432"/>
      <c r="AN36" s="149" t="s">
        <v>13913</v>
      </c>
      <c r="AO36" s="101"/>
      <c r="CG36" s="492"/>
    </row>
    <row r="37" s="93" customFormat="1" ht="23.25" customHeight="1" spans="1:85">
      <c r="A37" s="1585" t="s">
        <v>333</v>
      </c>
      <c r="B37" s="14" t="s">
        <v>13914</v>
      </c>
      <c r="C37" s="463" t="s">
        <v>13915</v>
      </c>
      <c r="D37" s="102" t="s">
        <v>13916</v>
      </c>
      <c r="E37" s="102" t="s">
        <v>125</v>
      </c>
      <c r="F37" s="102" t="s">
        <v>44</v>
      </c>
      <c r="G37" s="432" t="s">
        <v>13900</v>
      </c>
      <c r="H37" s="466" t="s">
        <v>13822</v>
      </c>
      <c r="I37" s="468">
        <v>43200</v>
      </c>
      <c r="J37" s="468">
        <v>43382</v>
      </c>
      <c r="K37" s="468"/>
      <c r="L37" s="468"/>
      <c r="M37" s="468"/>
      <c r="N37" s="474"/>
      <c r="O37" s="474"/>
      <c r="P37" s="475"/>
      <c r="Q37" s="468"/>
      <c r="R37" s="468"/>
      <c r="S37" s="468"/>
      <c r="T37" s="468"/>
      <c r="U37" s="468"/>
      <c r="V37" s="468"/>
      <c r="W37" s="468"/>
      <c r="X37" s="476">
        <f ca="1" t="shared" si="11"/>
        <v>109.61546296296</v>
      </c>
      <c r="Y37" s="468" t="str">
        <f ca="1" t="shared" si="12"/>
        <v>ACTIVE</v>
      </c>
      <c r="Z37" s="480">
        <v>1000000</v>
      </c>
      <c r="AA37" s="480" t="s">
        <v>583</v>
      </c>
      <c r="AB37" s="480" t="s">
        <v>583</v>
      </c>
      <c r="AC37" s="480" t="s">
        <v>583</v>
      </c>
      <c r="AD37" s="207" t="s">
        <v>583</v>
      </c>
      <c r="AE37" s="207" t="s">
        <v>583</v>
      </c>
      <c r="AF37" s="207"/>
      <c r="AG37" s="169" t="s">
        <v>13917</v>
      </c>
      <c r="AH37" s="1577" t="s">
        <v>13918</v>
      </c>
      <c r="AI37" s="432" t="s">
        <v>13919</v>
      </c>
      <c r="AJ37" s="1577" t="s">
        <v>13920</v>
      </c>
      <c r="AK37" s="432"/>
      <c r="AL37" s="432"/>
      <c r="AM37" s="432"/>
      <c r="AN37" s="149" t="s">
        <v>13921</v>
      </c>
      <c r="AO37" s="101"/>
      <c r="CG37" s="492"/>
    </row>
    <row r="38" s="93" customFormat="1" ht="23.25" customHeight="1" spans="1:85">
      <c r="A38" s="1585" t="s">
        <v>346</v>
      </c>
      <c r="B38" s="14" t="s">
        <v>13922</v>
      </c>
      <c r="C38" s="463" t="s">
        <v>13923</v>
      </c>
      <c r="D38" s="102" t="s">
        <v>13924</v>
      </c>
      <c r="E38" s="102" t="s">
        <v>125</v>
      </c>
      <c r="F38" s="102" t="s">
        <v>44</v>
      </c>
      <c r="G38" s="432" t="s">
        <v>13821</v>
      </c>
      <c r="H38" s="466" t="s">
        <v>13822</v>
      </c>
      <c r="I38" s="468">
        <v>43222</v>
      </c>
      <c r="J38" s="468">
        <v>43343</v>
      </c>
      <c r="K38" s="468" t="s">
        <v>583</v>
      </c>
      <c r="L38" s="468" t="s">
        <v>583</v>
      </c>
      <c r="M38" s="468" t="s">
        <v>583</v>
      </c>
      <c r="N38" s="474" t="s">
        <v>583</v>
      </c>
      <c r="O38" s="474"/>
      <c r="P38" s="475"/>
      <c r="Q38" s="468"/>
      <c r="R38" s="468"/>
      <c r="S38" s="468"/>
      <c r="T38" s="468"/>
      <c r="U38" s="468"/>
      <c r="V38" s="468"/>
      <c r="W38" s="468"/>
      <c r="X38" s="476">
        <f ca="1" t="shared" si="11"/>
        <v>70.61546296296</v>
      </c>
      <c r="Y38" s="468" t="str">
        <f ca="1" t="shared" si="12"/>
        <v>ACTIVE</v>
      </c>
      <c r="Z38" s="480">
        <v>1500000</v>
      </c>
      <c r="AA38" s="480"/>
      <c r="AB38" s="480"/>
      <c r="AC38" s="480"/>
      <c r="AD38" s="207"/>
      <c r="AE38" s="207"/>
      <c r="AF38" s="207"/>
      <c r="AG38" s="169" t="s">
        <v>13925</v>
      </c>
      <c r="AH38" s="1577" t="s">
        <v>13926</v>
      </c>
      <c r="AI38" s="432" t="s">
        <v>13927</v>
      </c>
      <c r="AJ38" s="1577" t="s">
        <v>13928</v>
      </c>
      <c r="AK38" s="432"/>
      <c r="AL38" s="432"/>
      <c r="AM38" s="432"/>
      <c r="AN38" s="149" t="s">
        <v>13929</v>
      </c>
      <c r="AO38" s="101"/>
      <c r="CG38" s="492"/>
    </row>
    <row r="39" s="93" customFormat="1" ht="25.5" customHeight="1" spans="1:85">
      <c r="A39" s="1585" t="s">
        <v>357</v>
      </c>
      <c r="B39" s="14" t="s">
        <v>13930</v>
      </c>
      <c r="C39" s="463" t="s">
        <v>13931</v>
      </c>
      <c r="D39" s="102" t="s">
        <v>13932</v>
      </c>
      <c r="E39" s="102" t="s">
        <v>43</v>
      </c>
      <c r="F39" s="102" t="s">
        <v>44</v>
      </c>
      <c r="G39" s="432" t="s">
        <v>13830</v>
      </c>
      <c r="H39" s="466" t="s">
        <v>13822</v>
      </c>
      <c r="I39" s="468">
        <v>43222</v>
      </c>
      <c r="J39" s="468">
        <v>43343</v>
      </c>
      <c r="K39" s="468" t="s">
        <v>583</v>
      </c>
      <c r="L39" s="468" t="s">
        <v>583</v>
      </c>
      <c r="M39" s="468" t="s">
        <v>583</v>
      </c>
      <c r="N39" s="474" t="s">
        <v>583</v>
      </c>
      <c r="O39" s="474"/>
      <c r="P39" s="475"/>
      <c r="Q39" s="468"/>
      <c r="R39" s="468"/>
      <c r="S39" s="468"/>
      <c r="T39" s="468"/>
      <c r="U39" s="468"/>
      <c r="V39" s="468"/>
      <c r="W39" s="468"/>
      <c r="X39" s="476">
        <f ca="1" t="shared" si="11"/>
        <v>70.61546296296</v>
      </c>
      <c r="Y39" s="468" t="str">
        <f ca="1" t="shared" si="12"/>
        <v>ACTIVE</v>
      </c>
      <c r="Z39" s="480">
        <v>1000000</v>
      </c>
      <c r="AA39" s="480"/>
      <c r="AB39" s="480"/>
      <c r="AC39" s="480"/>
      <c r="AD39" s="207"/>
      <c r="AE39" s="207"/>
      <c r="AF39" s="207"/>
      <c r="AG39" s="169" t="s">
        <v>13933</v>
      </c>
      <c r="AH39" s="1577" t="s">
        <v>13934</v>
      </c>
      <c r="AI39" s="432" t="s">
        <v>13935</v>
      </c>
      <c r="AJ39" s="1577" t="s">
        <v>13936</v>
      </c>
      <c r="AK39" s="432"/>
      <c r="AL39" s="432"/>
      <c r="AM39" s="432"/>
      <c r="AN39" s="149" t="s">
        <v>13937</v>
      </c>
      <c r="AO39" s="101"/>
      <c r="CG39" s="492"/>
    </row>
    <row r="40" s="93" customFormat="1" ht="42" spans="1:85">
      <c r="A40" s="1585" t="s">
        <v>369</v>
      </c>
      <c r="B40" s="14" t="s">
        <v>13938</v>
      </c>
      <c r="C40" s="463" t="s">
        <v>13939</v>
      </c>
      <c r="D40" s="102" t="s">
        <v>13940</v>
      </c>
      <c r="E40" s="102" t="s">
        <v>125</v>
      </c>
      <c r="F40" s="102" t="s">
        <v>44</v>
      </c>
      <c r="G40" s="432" t="s">
        <v>13869</v>
      </c>
      <c r="H40" s="466" t="s">
        <v>13822</v>
      </c>
      <c r="I40" s="470">
        <v>43234</v>
      </c>
      <c r="J40" s="470">
        <v>43356</v>
      </c>
      <c r="K40" s="468" t="s">
        <v>583</v>
      </c>
      <c r="L40" s="468" t="s">
        <v>583</v>
      </c>
      <c r="M40" s="468" t="s">
        <v>583</v>
      </c>
      <c r="N40" s="474" t="s">
        <v>583</v>
      </c>
      <c r="O40" s="474"/>
      <c r="P40" s="475"/>
      <c r="Q40" s="468"/>
      <c r="R40" s="468"/>
      <c r="S40" s="468"/>
      <c r="T40" s="468"/>
      <c r="U40" s="468"/>
      <c r="V40" s="468"/>
      <c r="W40" s="468"/>
      <c r="X40" s="476">
        <f ca="1" t="shared" ref="X40" si="13">SUM(J40-NOW())</f>
        <v>83.61546296296</v>
      </c>
      <c r="Y40" s="468" t="str">
        <f ca="1" t="shared" ref="Y40" si="14">IF(X40&lt;=46,"WARNING","ACTIVE")</f>
        <v>ACTIVE</v>
      </c>
      <c r="Z40" s="480">
        <v>1500000</v>
      </c>
      <c r="AA40" s="480"/>
      <c r="AB40" s="480"/>
      <c r="AC40" s="480"/>
      <c r="AD40" s="207"/>
      <c r="AE40" s="207"/>
      <c r="AF40" s="207"/>
      <c r="AG40" s="169" t="s">
        <v>13941</v>
      </c>
      <c r="AH40" s="1577" t="s">
        <v>13942</v>
      </c>
      <c r="AI40" s="432" t="s">
        <v>13943</v>
      </c>
      <c r="AJ40" s="1577" t="s">
        <v>13944</v>
      </c>
      <c r="AK40" s="432"/>
      <c r="AL40" s="432"/>
      <c r="AM40" s="432"/>
      <c r="AN40" s="149" t="s">
        <v>13945</v>
      </c>
      <c r="AO40" s="101"/>
      <c r="CG40" s="492"/>
    </row>
    <row r="41" s="93" customFormat="1" ht="42" spans="1:85">
      <c r="A41" s="1585" t="s">
        <v>381</v>
      </c>
      <c r="B41" s="14"/>
      <c r="C41" s="463" t="s">
        <v>13946</v>
      </c>
      <c r="D41" s="102" t="s">
        <v>13947</v>
      </c>
      <c r="E41" s="102" t="s">
        <v>43</v>
      </c>
      <c r="F41" s="102" t="s">
        <v>44</v>
      </c>
      <c r="G41" s="432" t="s">
        <v>13948</v>
      </c>
      <c r="H41" s="466" t="s">
        <v>13822</v>
      </c>
      <c r="I41" s="468">
        <v>43241</v>
      </c>
      <c r="J41" s="468">
        <v>43363</v>
      </c>
      <c r="K41" s="468" t="s">
        <v>583</v>
      </c>
      <c r="L41" s="468" t="s">
        <v>583</v>
      </c>
      <c r="M41" s="468" t="s">
        <v>583</v>
      </c>
      <c r="N41" s="474" t="s">
        <v>583</v>
      </c>
      <c r="O41" s="474"/>
      <c r="P41" s="475"/>
      <c r="Q41" s="468"/>
      <c r="R41" s="468"/>
      <c r="S41" s="468"/>
      <c r="T41" s="468"/>
      <c r="U41" s="468"/>
      <c r="V41" s="468"/>
      <c r="W41" s="468"/>
      <c r="X41" s="476">
        <f ca="1" t="shared" ref="X41:X42" si="15">SUM(J41-NOW())</f>
        <v>90.61546296296</v>
      </c>
      <c r="Y41" s="468" t="str">
        <f ca="1" t="shared" ref="Y41:Y42" si="16">IF(X41&lt;=46,"WARNING","ACTIVE")</f>
        <v>ACTIVE</v>
      </c>
      <c r="Z41" s="480">
        <v>1000000</v>
      </c>
      <c r="AA41" s="480"/>
      <c r="AB41" s="480"/>
      <c r="AC41" s="480"/>
      <c r="AD41" s="207"/>
      <c r="AE41" s="207"/>
      <c r="AF41" s="207"/>
      <c r="AG41" s="169" t="s">
        <v>13949</v>
      </c>
      <c r="AH41" s="1577" t="s">
        <v>13950</v>
      </c>
      <c r="AI41" s="432" t="s">
        <v>13951</v>
      </c>
      <c r="AJ41" s="1577" t="s">
        <v>13952</v>
      </c>
      <c r="AK41" s="432"/>
      <c r="AL41" s="432"/>
      <c r="AM41" s="432"/>
      <c r="AN41" s="149" t="s">
        <v>13953</v>
      </c>
      <c r="AO41" s="101"/>
      <c r="CG41" s="492"/>
    </row>
    <row r="42" s="93" customFormat="1" ht="42" spans="1:85">
      <c r="A42" s="1585" t="s">
        <v>390</v>
      </c>
      <c r="B42" s="14" t="s">
        <v>13954</v>
      </c>
      <c r="C42" s="463" t="s">
        <v>13955</v>
      </c>
      <c r="D42" s="102" t="s">
        <v>13956</v>
      </c>
      <c r="E42" s="102" t="s">
        <v>125</v>
      </c>
      <c r="F42" s="102" t="s">
        <v>44</v>
      </c>
      <c r="G42" s="432" t="s">
        <v>13900</v>
      </c>
      <c r="H42" s="466" t="s">
        <v>13822</v>
      </c>
      <c r="I42" s="468">
        <v>43222</v>
      </c>
      <c r="J42" s="468">
        <v>43313</v>
      </c>
      <c r="K42" s="468" t="s">
        <v>583</v>
      </c>
      <c r="L42" s="468" t="s">
        <v>583</v>
      </c>
      <c r="M42" s="468" t="s">
        <v>583</v>
      </c>
      <c r="N42" s="474" t="s">
        <v>583</v>
      </c>
      <c r="O42" s="474"/>
      <c r="P42" s="475"/>
      <c r="Q42" s="468"/>
      <c r="R42" s="468"/>
      <c r="S42" s="468"/>
      <c r="T42" s="468"/>
      <c r="U42" s="468"/>
      <c r="V42" s="468"/>
      <c r="W42" s="468"/>
      <c r="X42" s="476">
        <f ca="1" t="shared" si="15"/>
        <v>40.61546296296</v>
      </c>
      <c r="Y42" s="468" t="str">
        <f ca="1" t="shared" si="16"/>
        <v>WARNING</v>
      </c>
      <c r="Z42" s="480">
        <v>1500000</v>
      </c>
      <c r="AA42" s="480"/>
      <c r="AB42" s="480"/>
      <c r="AC42" s="480"/>
      <c r="AD42" s="207"/>
      <c r="AE42" s="207"/>
      <c r="AF42" s="207"/>
      <c r="AG42" s="169" t="s">
        <v>13957</v>
      </c>
      <c r="AH42" s="1577" t="s">
        <v>13958</v>
      </c>
      <c r="AI42" s="432" t="s">
        <v>13959</v>
      </c>
      <c r="AJ42" s="1577" t="s">
        <v>13960</v>
      </c>
      <c r="AK42" s="432"/>
      <c r="AL42" s="432"/>
      <c r="AM42" s="432"/>
      <c r="AN42" s="149" t="s">
        <v>13961</v>
      </c>
      <c r="AO42" s="101"/>
      <c r="CG42" s="492"/>
    </row>
    <row r="43" s="93" customFormat="1" ht="42" spans="1:85">
      <c r="A43" s="1585" t="s">
        <v>400</v>
      </c>
      <c r="B43" s="14"/>
      <c r="C43" s="463" t="s">
        <v>13962</v>
      </c>
      <c r="D43" s="102" t="s">
        <v>13963</v>
      </c>
      <c r="E43" s="102" t="s">
        <v>43</v>
      </c>
      <c r="F43" s="102" t="s">
        <v>44</v>
      </c>
      <c r="G43" s="432" t="s">
        <v>13869</v>
      </c>
      <c r="H43" s="466" t="s">
        <v>13822</v>
      </c>
      <c r="I43" s="468">
        <v>43248</v>
      </c>
      <c r="J43" s="468">
        <v>43339</v>
      </c>
      <c r="K43" s="468" t="s">
        <v>583</v>
      </c>
      <c r="L43" s="468" t="s">
        <v>583</v>
      </c>
      <c r="M43" s="468" t="s">
        <v>583</v>
      </c>
      <c r="N43" s="474" t="s">
        <v>583</v>
      </c>
      <c r="O43" s="474"/>
      <c r="P43" s="475"/>
      <c r="Q43" s="468"/>
      <c r="R43" s="468"/>
      <c r="S43" s="468"/>
      <c r="T43" s="468"/>
      <c r="U43" s="468"/>
      <c r="V43" s="468"/>
      <c r="W43" s="468"/>
      <c r="X43" s="476">
        <f ca="1" t="shared" ref="X43:X44" si="17">SUM(J43-NOW())</f>
        <v>66.61546296296</v>
      </c>
      <c r="Y43" s="468" t="str">
        <f ca="1" t="shared" ref="Y43:Y44" si="18">IF(X43&lt;=46,"WARNING","ACTIVE")</f>
        <v>ACTIVE</v>
      </c>
      <c r="Z43" s="480">
        <v>1500000</v>
      </c>
      <c r="AA43" s="480"/>
      <c r="AB43" s="480"/>
      <c r="AC43" s="480"/>
      <c r="AD43" s="207"/>
      <c r="AE43" s="207"/>
      <c r="AF43" s="207"/>
      <c r="AG43" s="169" t="s">
        <v>13964</v>
      </c>
      <c r="AH43" s="1577" t="s">
        <v>13965</v>
      </c>
      <c r="AI43" s="432" t="s">
        <v>13966</v>
      </c>
      <c r="AJ43" s="1577" t="s">
        <v>13967</v>
      </c>
      <c r="AK43" s="432"/>
      <c r="AL43" s="432"/>
      <c r="AM43" s="432"/>
      <c r="AN43" s="149" t="s">
        <v>13968</v>
      </c>
      <c r="AO43" s="101"/>
      <c r="CG43" s="492"/>
    </row>
    <row r="44" s="93" customFormat="1" ht="42" spans="1:85">
      <c r="A44" s="1585" t="s">
        <v>411</v>
      </c>
      <c r="B44" s="14"/>
      <c r="C44" s="463" t="s">
        <v>13969</v>
      </c>
      <c r="D44" s="102" t="s">
        <v>13970</v>
      </c>
      <c r="E44" s="102" t="s">
        <v>125</v>
      </c>
      <c r="F44" s="102" t="s">
        <v>44</v>
      </c>
      <c r="G44" s="432" t="s">
        <v>13948</v>
      </c>
      <c r="H44" s="466" t="s">
        <v>13822</v>
      </c>
      <c r="I44" s="468">
        <v>43250</v>
      </c>
      <c r="J44" s="468">
        <v>43341</v>
      </c>
      <c r="K44" s="468" t="s">
        <v>583</v>
      </c>
      <c r="L44" s="468" t="s">
        <v>583</v>
      </c>
      <c r="M44" s="468" t="s">
        <v>583</v>
      </c>
      <c r="N44" s="474" t="s">
        <v>583</v>
      </c>
      <c r="O44" s="474"/>
      <c r="P44" s="475"/>
      <c r="Q44" s="468"/>
      <c r="R44" s="468"/>
      <c r="S44" s="468"/>
      <c r="T44" s="468"/>
      <c r="U44" s="468"/>
      <c r="V44" s="468"/>
      <c r="W44" s="468"/>
      <c r="X44" s="476">
        <f ca="1" t="shared" si="17"/>
        <v>68.61546296296</v>
      </c>
      <c r="Y44" s="468" t="str">
        <f ca="1" t="shared" si="18"/>
        <v>ACTIVE</v>
      </c>
      <c r="Z44" s="480">
        <v>1000000</v>
      </c>
      <c r="AA44" s="480"/>
      <c r="AB44" s="480"/>
      <c r="AC44" s="480"/>
      <c r="AD44" s="207"/>
      <c r="AE44" s="207"/>
      <c r="AF44" s="207"/>
      <c r="AG44" s="169" t="s">
        <v>13971</v>
      </c>
      <c r="AH44" s="1577" t="s">
        <v>13972</v>
      </c>
      <c r="AI44" s="432" t="s">
        <v>13973</v>
      </c>
      <c r="AJ44" s="1577" t="s">
        <v>13974</v>
      </c>
      <c r="AK44" s="432"/>
      <c r="AL44" s="432"/>
      <c r="AM44" s="432"/>
      <c r="AN44" s="149" t="s">
        <v>13975</v>
      </c>
      <c r="AO44" s="101"/>
      <c r="CG44" s="492"/>
    </row>
    <row r="45" s="93" customFormat="1" ht="21" spans="1:85">
      <c r="A45" s="1585" t="s">
        <v>424</v>
      </c>
      <c r="B45" s="14"/>
      <c r="C45" s="463" t="s">
        <v>13976</v>
      </c>
      <c r="D45" s="102" t="s">
        <v>13977</v>
      </c>
      <c r="E45" s="102"/>
      <c r="F45" s="102"/>
      <c r="G45" s="432" t="s">
        <v>13869</v>
      </c>
      <c r="H45" s="466"/>
      <c r="I45" s="468" t="s">
        <v>13978</v>
      </c>
      <c r="J45" s="468" t="s">
        <v>13979</v>
      </c>
      <c r="K45" s="468" t="s">
        <v>583</v>
      </c>
      <c r="L45" s="468" t="s">
        <v>583</v>
      </c>
      <c r="M45" s="468" t="s">
        <v>583</v>
      </c>
      <c r="N45" s="474" t="s">
        <v>583</v>
      </c>
      <c r="O45" s="474"/>
      <c r="P45" s="475"/>
      <c r="Q45" s="468"/>
      <c r="R45" s="468"/>
      <c r="S45" s="468"/>
      <c r="T45" s="468"/>
      <c r="U45" s="468"/>
      <c r="V45" s="468"/>
      <c r="W45" s="468"/>
      <c r="X45" s="476"/>
      <c r="Y45" s="468"/>
      <c r="Z45" s="480" t="s">
        <v>13980</v>
      </c>
      <c r="AA45" s="480"/>
      <c r="AB45" s="480"/>
      <c r="AC45" s="480"/>
      <c r="AD45" s="207"/>
      <c r="AE45" s="207"/>
      <c r="AF45" s="207"/>
      <c r="AG45" s="169" t="s">
        <v>13981</v>
      </c>
      <c r="AH45" s="432"/>
      <c r="AI45" s="432"/>
      <c r="AJ45" s="432"/>
      <c r="AK45" s="432"/>
      <c r="AL45" s="432"/>
      <c r="AM45" s="432"/>
      <c r="AN45" s="149"/>
      <c r="AO45" s="101"/>
      <c r="CG45" s="492"/>
    </row>
    <row r="46" s="93" customFormat="1" ht="21" spans="1:85">
      <c r="A46" s="1585" t="s">
        <v>438</v>
      </c>
      <c r="B46" s="14"/>
      <c r="C46" s="463" t="s">
        <v>13982</v>
      </c>
      <c r="D46" s="102" t="s">
        <v>13983</v>
      </c>
      <c r="E46" s="102"/>
      <c r="F46" s="102"/>
      <c r="G46" s="432" t="s">
        <v>13948</v>
      </c>
      <c r="H46" s="466"/>
      <c r="I46" s="468" t="s">
        <v>13984</v>
      </c>
      <c r="J46" s="468" t="s">
        <v>13985</v>
      </c>
      <c r="K46" s="468" t="s">
        <v>583</v>
      </c>
      <c r="L46" s="468" t="s">
        <v>583</v>
      </c>
      <c r="M46" s="468" t="s">
        <v>583</v>
      </c>
      <c r="N46" s="474" t="s">
        <v>583</v>
      </c>
      <c r="O46" s="474"/>
      <c r="P46" s="475"/>
      <c r="Q46" s="468"/>
      <c r="R46" s="468"/>
      <c r="S46" s="468"/>
      <c r="T46" s="468"/>
      <c r="U46" s="468"/>
      <c r="V46" s="468"/>
      <c r="W46" s="468"/>
      <c r="X46" s="476"/>
      <c r="Y46" s="468"/>
      <c r="Z46" s="480" t="s">
        <v>8145</v>
      </c>
      <c r="AA46" s="480"/>
      <c r="AB46" s="480"/>
      <c r="AC46" s="480"/>
      <c r="AD46" s="207"/>
      <c r="AE46" s="207"/>
      <c r="AF46" s="207"/>
      <c r="AG46" s="169" t="s">
        <v>13986</v>
      </c>
      <c r="AH46" s="432"/>
      <c r="AI46" s="432"/>
      <c r="AJ46" s="432"/>
      <c r="AK46" s="432"/>
      <c r="AL46" s="432"/>
      <c r="AM46" s="432"/>
      <c r="AN46" s="149"/>
      <c r="AO46" s="101"/>
      <c r="CG46" s="492"/>
    </row>
    <row r="47" s="93" customFormat="1" ht="21" spans="1:85">
      <c r="A47" s="1585" t="s">
        <v>450</v>
      </c>
      <c r="B47" s="14"/>
      <c r="C47" s="463" t="s">
        <v>13987</v>
      </c>
      <c r="D47" s="102" t="s">
        <v>13988</v>
      </c>
      <c r="E47" s="102"/>
      <c r="F47" s="102"/>
      <c r="G47" s="432" t="s">
        <v>13821</v>
      </c>
      <c r="H47" s="466"/>
      <c r="I47" s="468" t="s">
        <v>13989</v>
      </c>
      <c r="J47" s="468" t="s">
        <v>13990</v>
      </c>
      <c r="K47" s="468" t="s">
        <v>583</v>
      </c>
      <c r="L47" s="468" t="s">
        <v>583</v>
      </c>
      <c r="M47" s="468" t="s">
        <v>583</v>
      </c>
      <c r="N47" s="474" t="s">
        <v>583</v>
      </c>
      <c r="O47" s="474"/>
      <c r="P47" s="475"/>
      <c r="Q47" s="468"/>
      <c r="R47" s="468"/>
      <c r="S47" s="468"/>
      <c r="T47" s="468"/>
      <c r="U47" s="468"/>
      <c r="V47" s="468"/>
      <c r="W47" s="468"/>
      <c r="X47" s="476"/>
      <c r="Y47" s="468"/>
      <c r="Z47" s="480" t="s">
        <v>13980</v>
      </c>
      <c r="AA47" s="480"/>
      <c r="AB47" s="480"/>
      <c r="AC47" s="480"/>
      <c r="AD47" s="207"/>
      <c r="AE47" s="207"/>
      <c r="AF47" s="207"/>
      <c r="AG47" s="169" t="s">
        <v>13991</v>
      </c>
      <c r="AH47" s="432"/>
      <c r="AI47" s="432"/>
      <c r="AJ47" s="432"/>
      <c r="AK47" s="432"/>
      <c r="AL47" s="432"/>
      <c r="AM47" s="432"/>
      <c r="AN47" s="149"/>
      <c r="AO47" s="101"/>
      <c r="CG47" s="492"/>
    </row>
    <row r="48" s="93" customFormat="1" spans="1:85">
      <c r="A48" s="97"/>
      <c r="CG48" s="492"/>
    </row>
    <row r="49" s="93" customFormat="1" spans="1:85">
      <c r="A49" s="97"/>
      <c r="CG49" s="492"/>
    </row>
    <row r="50" s="93" customFormat="1" ht="11.25" spans="1:85">
      <c r="A50" s="97"/>
      <c r="CG50" s="492"/>
    </row>
    <row r="51" s="92" customFormat="1" ht="11.25" spans="1:85">
      <c r="A51" s="464" t="s">
        <v>2552</v>
      </c>
      <c r="B51" s="465"/>
      <c r="CG51" s="495"/>
    </row>
    <row r="52" s="93" customFormat="1" ht="14.1" customHeight="1" spans="1:85">
      <c r="A52" s="161">
        <f t="shared" ref="A52:A58" si="19">ROW()-13</f>
        <v>39</v>
      </c>
      <c r="B52" s="1590" t="s">
        <v>13992</v>
      </c>
      <c r="C52" s="166" t="s">
        <v>9784</v>
      </c>
      <c r="D52" s="173" t="s">
        <v>13993</v>
      </c>
      <c r="E52" s="173"/>
      <c r="F52" s="173" t="s">
        <v>880</v>
      </c>
      <c r="G52" s="180" t="s">
        <v>1533</v>
      </c>
      <c r="H52" s="467" t="s">
        <v>13700</v>
      </c>
      <c r="I52" s="182">
        <v>41579</v>
      </c>
      <c r="J52" s="182">
        <v>41943</v>
      </c>
      <c r="K52" s="182">
        <v>42124</v>
      </c>
      <c r="L52" s="182">
        <v>42308</v>
      </c>
      <c r="M52" s="182"/>
      <c r="N52" s="182">
        <v>42309</v>
      </c>
      <c r="O52" s="182">
        <v>42490</v>
      </c>
      <c r="P52" s="182">
        <v>42582</v>
      </c>
      <c r="Q52" s="182"/>
      <c r="R52" s="182"/>
      <c r="S52" s="182"/>
      <c r="T52" s="182"/>
      <c r="U52" s="182"/>
      <c r="V52" s="182"/>
      <c r="W52" s="182"/>
      <c r="X52" s="477">
        <f ca="1">SUM(P52-NOW())</f>
        <v>-690.38453703704</v>
      </c>
      <c r="Y52" s="182" t="str">
        <f ca="1" t="shared" ref="Y52:Y54" si="20">IF(X52&lt;=46,"WARNING","ACTIVE")</f>
        <v>WARNING</v>
      </c>
      <c r="Z52" s="483">
        <v>3100000</v>
      </c>
      <c r="AA52" s="483"/>
      <c r="AB52" s="483"/>
      <c r="AC52" s="483"/>
      <c r="AD52" s="181" t="s">
        <v>13701</v>
      </c>
      <c r="AE52" s="181" t="s">
        <v>13994</v>
      </c>
      <c r="AF52" s="181" t="s">
        <v>13995</v>
      </c>
      <c r="AG52" s="171" t="s">
        <v>13996</v>
      </c>
      <c r="AH52" s="180" t="s">
        <v>13997</v>
      </c>
      <c r="AI52" s="180" t="s">
        <v>13998</v>
      </c>
      <c r="AJ52" s="180"/>
      <c r="AK52" s="180" t="s">
        <v>13999</v>
      </c>
      <c r="AL52" s="180"/>
      <c r="AM52" s="180" t="s">
        <v>14000</v>
      </c>
      <c r="AN52" s="472"/>
      <c r="AO52" s="163" t="s">
        <v>14001</v>
      </c>
      <c r="CG52" s="492"/>
    </row>
    <row r="53" s="93" customFormat="1" ht="14.1" customHeight="1" spans="1:85">
      <c r="A53" s="161">
        <f t="shared" si="19"/>
        <v>40</v>
      </c>
      <c r="B53" s="1590" t="s">
        <v>14002</v>
      </c>
      <c r="C53" s="166" t="s">
        <v>14003</v>
      </c>
      <c r="D53" s="173" t="s">
        <v>14004</v>
      </c>
      <c r="E53" s="173"/>
      <c r="F53" s="173" t="s">
        <v>254</v>
      </c>
      <c r="G53" s="180" t="s">
        <v>1533</v>
      </c>
      <c r="H53" s="467" t="s">
        <v>14005</v>
      </c>
      <c r="I53" s="182">
        <v>42142</v>
      </c>
      <c r="J53" s="182">
        <v>42507</v>
      </c>
      <c r="K53" s="182">
        <v>42582</v>
      </c>
      <c r="L53" s="182"/>
      <c r="M53" s="182"/>
      <c r="N53" s="472"/>
      <c r="O53" s="472"/>
      <c r="P53" s="473"/>
      <c r="Q53" s="182"/>
      <c r="R53" s="182"/>
      <c r="S53" s="182"/>
      <c r="T53" s="182"/>
      <c r="U53" s="182"/>
      <c r="V53" s="182"/>
      <c r="W53" s="182"/>
      <c r="X53" s="477">
        <f ca="1">SUM(K53-NOW())</f>
        <v>-690.38453703704</v>
      </c>
      <c r="Y53" s="182" t="str">
        <f ca="1" t="shared" si="20"/>
        <v>WARNING</v>
      </c>
      <c r="Z53" s="481">
        <v>3380505</v>
      </c>
      <c r="AA53" s="481"/>
      <c r="AB53" s="481"/>
      <c r="AC53" s="481"/>
      <c r="AD53" s="181" t="s">
        <v>14006</v>
      </c>
      <c r="AE53" s="181" t="s">
        <v>14007</v>
      </c>
      <c r="AF53" s="181" t="s">
        <v>13995</v>
      </c>
      <c r="AG53" s="171" t="s">
        <v>14008</v>
      </c>
      <c r="AH53" s="180" t="s">
        <v>14009</v>
      </c>
      <c r="AI53" s="180" t="s">
        <v>14010</v>
      </c>
      <c r="AJ53" s="1594" t="s">
        <v>14011</v>
      </c>
      <c r="AK53" s="180"/>
      <c r="AL53" s="180"/>
      <c r="AM53" s="1590" t="s">
        <v>14012</v>
      </c>
      <c r="AN53" s="180" t="s">
        <v>14013</v>
      </c>
      <c r="AO53" s="163" t="s">
        <v>14001</v>
      </c>
      <c r="CG53" s="492"/>
    </row>
    <row r="54" s="93" customFormat="1" ht="14.1" customHeight="1" spans="1:85">
      <c r="A54" s="161">
        <f t="shared" si="19"/>
        <v>41</v>
      </c>
      <c r="B54" s="1590" t="s">
        <v>14014</v>
      </c>
      <c r="C54" s="166" t="s">
        <v>14015</v>
      </c>
      <c r="D54" s="173" t="s">
        <v>14016</v>
      </c>
      <c r="E54" s="173"/>
      <c r="F54" s="173" t="s">
        <v>44</v>
      </c>
      <c r="G54" s="180" t="s">
        <v>9114</v>
      </c>
      <c r="H54" s="467" t="s">
        <v>13790</v>
      </c>
      <c r="I54" s="182">
        <v>42310</v>
      </c>
      <c r="J54" s="182">
        <v>42401</v>
      </c>
      <c r="K54" s="182">
        <v>42583</v>
      </c>
      <c r="L54" s="182" t="s">
        <v>583</v>
      </c>
      <c r="M54" s="182"/>
      <c r="N54" s="472" t="s">
        <v>583</v>
      </c>
      <c r="O54" s="472"/>
      <c r="P54" s="473"/>
      <c r="Q54" s="182"/>
      <c r="R54" s="182"/>
      <c r="S54" s="182"/>
      <c r="T54" s="182"/>
      <c r="U54" s="182"/>
      <c r="V54" s="182"/>
      <c r="W54" s="182"/>
      <c r="X54" s="477">
        <f ca="1">SUM(K54-NOW())</f>
        <v>-689.38453703704</v>
      </c>
      <c r="Y54" s="182" t="str">
        <f ca="1" t="shared" si="20"/>
        <v>WARNING</v>
      </c>
      <c r="Z54" s="481">
        <v>3500000</v>
      </c>
      <c r="AA54" s="481"/>
      <c r="AB54" s="481"/>
      <c r="AC54" s="481"/>
      <c r="AD54" s="181"/>
      <c r="AE54" s="181"/>
      <c r="AF54" s="181" t="s">
        <v>33</v>
      </c>
      <c r="AG54" s="171" t="s">
        <v>14017</v>
      </c>
      <c r="AH54" s="180" t="s">
        <v>14018</v>
      </c>
      <c r="AI54" s="180" t="s">
        <v>14019</v>
      </c>
      <c r="AJ54" s="1594" t="s">
        <v>14020</v>
      </c>
      <c r="AK54" s="180"/>
      <c r="AL54" s="180"/>
      <c r="AM54" s="180" t="s">
        <v>14021</v>
      </c>
      <c r="AN54" s="368" t="s">
        <v>14022</v>
      </c>
      <c r="AO54" s="163" t="s">
        <v>14023</v>
      </c>
      <c r="CG54" s="492"/>
    </row>
    <row r="55" s="93" customFormat="1" ht="14.1" customHeight="1" spans="1:85">
      <c r="A55" s="161">
        <v>3</v>
      </c>
      <c r="B55" s="1590" t="s">
        <v>14024</v>
      </c>
      <c r="C55" s="166" t="s">
        <v>14025</v>
      </c>
      <c r="D55" s="173" t="s">
        <v>14026</v>
      </c>
      <c r="E55" s="173"/>
      <c r="F55" s="173" t="s">
        <v>60</v>
      </c>
      <c r="G55" s="180" t="s">
        <v>14027</v>
      </c>
      <c r="H55" s="467" t="s">
        <v>14028</v>
      </c>
      <c r="I55" s="182">
        <v>41579</v>
      </c>
      <c r="J55" s="182">
        <v>41943</v>
      </c>
      <c r="K55" s="182">
        <v>42124</v>
      </c>
      <c r="L55" s="182">
        <v>42308</v>
      </c>
      <c r="M55" s="182"/>
      <c r="N55" s="182">
        <v>42309</v>
      </c>
      <c r="O55" s="182">
        <v>42490</v>
      </c>
      <c r="P55" s="182">
        <v>42991</v>
      </c>
      <c r="Q55" s="182"/>
      <c r="R55" s="182"/>
      <c r="S55" s="182"/>
      <c r="T55" s="182"/>
      <c r="U55" s="182"/>
      <c r="V55" s="182"/>
      <c r="W55" s="182"/>
      <c r="X55" s="477">
        <v>266.308954282409</v>
      </c>
      <c r="Y55" s="182" t="s">
        <v>745</v>
      </c>
      <c r="Z55" s="481">
        <v>3100000</v>
      </c>
      <c r="AA55" s="481"/>
      <c r="AB55" s="481"/>
      <c r="AC55" s="481"/>
      <c r="AD55" s="181" t="s">
        <v>13701</v>
      </c>
      <c r="AE55" s="181" t="s">
        <v>14029</v>
      </c>
      <c r="AF55" s="181" t="s">
        <v>13995</v>
      </c>
      <c r="AG55" s="171" t="s">
        <v>14030</v>
      </c>
      <c r="AH55" s="180" t="s">
        <v>14031</v>
      </c>
      <c r="AI55" s="180" t="s">
        <v>14032</v>
      </c>
      <c r="AJ55" s="180"/>
      <c r="AK55" s="180" t="s">
        <v>14033</v>
      </c>
      <c r="AL55" s="180"/>
      <c r="AM55" s="180" t="s">
        <v>14034</v>
      </c>
      <c r="AN55" s="368"/>
      <c r="AO55" s="163" t="s">
        <v>14035</v>
      </c>
      <c r="CG55" s="492"/>
    </row>
    <row r="56" s="93" customFormat="1" ht="14.1" customHeight="1" spans="1:85">
      <c r="A56" s="161">
        <v>13</v>
      </c>
      <c r="B56" s="1590" t="s">
        <v>14036</v>
      </c>
      <c r="C56" s="166" t="s">
        <v>14037</v>
      </c>
      <c r="D56" s="173" t="s">
        <v>14038</v>
      </c>
      <c r="E56" s="173"/>
      <c r="F56" s="173" t="s">
        <v>44</v>
      </c>
      <c r="G56" s="180" t="s">
        <v>1785</v>
      </c>
      <c r="H56" s="467" t="s">
        <v>13790</v>
      </c>
      <c r="I56" s="182">
        <v>42376</v>
      </c>
      <c r="J56" s="182">
        <v>42496</v>
      </c>
      <c r="K56" s="182">
        <v>42680</v>
      </c>
      <c r="L56" s="182" t="s">
        <v>583</v>
      </c>
      <c r="M56" s="182"/>
      <c r="N56" s="472" t="s">
        <v>583</v>
      </c>
      <c r="O56" s="472" t="s">
        <v>583</v>
      </c>
      <c r="P56" s="473"/>
      <c r="Q56" s="182"/>
      <c r="R56" s="182"/>
      <c r="S56" s="182"/>
      <c r="T56" s="182"/>
      <c r="U56" s="182"/>
      <c r="V56" s="182"/>
      <c r="W56" s="182"/>
      <c r="X56" s="477">
        <v>-44.691916319447</v>
      </c>
      <c r="Y56" s="182" t="s">
        <v>2569</v>
      </c>
      <c r="Z56" s="481">
        <v>3125000</v>
      </c>
      <c r="AA56" s="481"/>
      <c r="AB56" s="481"/>
      <c r="AC56" s="481"/>
      <c r="AD56" s="181"/>
      <c r="AE56" s="181"/>
      <c r="AF56" s="181" t="s">
        <v>33</v>
      </c>
      <c r="AG56" s="171" t="s">
        <v>14039</v>
      </c>
      <c r="AH56" s="180">
        <v>8990605651</v>
      </c>
      <c r="AI56" s="180" t="s">
        <v>14040</v>
      </c>
      <c r="AJ56" s="1594" t="s">
        <v>14041</v>
      </c>
      <c r="AK56" s="180" t="s">
        <v>14042</v>
      </c>
      <c r="AL56" s="180">
        <v>16008442994</v>
      </c>
      <c r="AM56" s="180" t="s">
        <v>14043</v>
      </c>
      <c r="AN56" s="368" t="s">
        <v>14044</v>
      </c>
      <c r="AO56" s="163" t="s">
        <v>14045</v>
      </c>
      <c r="CG56" s="492"/>
    </row>
    <row r="57" s="93" customFormat="1" ht="14.1" customHeight="1" spans="1:85">
      <c r="A57" s="161">
        <v>12</v>
      </c>
      <c r="B57" s="1590" t="s">
        <v>14046</v>
      </c>
      <c r="C57" s="166" t="s">
        <v>14047</v>
      </c>
      <c r="D57" s="173" t="s">
        <v>14048</v>
      </c>
      <c r="E57" s="173"/>
      <c r="F57" s="173" t="s">
        <v>96</v>
      </c>
      <c r="G57" s="180" t="s">
        <v>1533</v>
      </c>
      <c r="H57" s="467" t="s">
        <v>14049</v>
      </c>
      <c r="I57" s="182">
        <v>42583</v>
      </c>
      <c r="J57" s="182">
        <v>42735</v>
      </c>
      <c r="K57" s="182"/>
      <c r="L57" s="182"/>
      <c r="M57" s="182"/>
      <c r="N57" s="472" t="s">
        <v>583</v>
      </c>
      <c r="O57" s="472" t="s">
        <v>583</v>
      </c>
      <c r="P57" s="473"/>
      <c r="Q57" s="182"/>
      <c r="R57" s="182"/>
      <c r="S57" s="182"/>
      <c r="T57" s="182"/>
      <c r="U57" s="182"/>
      <c r="V57" s="182"/>
      <c r="W57" s="182"/>
      <c r="X57" s="477">
        <v>-3.64631331018609</v>
      </c>
      <c r="Y57" s="182" t="s">
        <v>2569</v>
      </c>
      <c r="Z57" s="481">
        <v>3484375</v>
      </c>
      <c r="AA57" s="481"/>
      <c r="AB57" s="481"/>
      <c r="AC57" s="481"/>
      <c r="AD57" s="181" t="s">
        <v>13701</v>
      </c>
      <c r="AE57" s="181"/>
      <c r="AF57" s="181" t="s">
        <v>13995</v>
      </c>
      <c r="AG57" s="171" t="s">
        <v>14050</v>
      </c>
      <c r="AH57" s="180" t="s">
        <v>14051</v>
      </c>
      <c r="AI57" s="180" t="s">
        <v>14052</v>
      </c>
      <c r="AJ57" s="1594" t="s">
        <v>14053</v>
      </c>
      <c r="AK57" s="180" t="s">
        <v>14054</v>
      </c>
      <c r="AL57" s="180" t="s">
        <v>14055</v>
      </c>
      <c r="AM57" s="180" t="s">
        <v>14056</v>
      </c>
      <c r="AN57" s="368" t="s">
        <v>14057</v>
      </c>
      <c r="AO57" s="163" t="s">
        <v>7586</v>
      </c>
      <c r="CG57" s="492"/>
    </row>
    <row r="58" s="93" customFormat="1" ht="14.1" customHeight="1" spans="1:85">
      <c r="A58" s="161">
        <f t="shared" si="19"/>
        <v>45</v>
      </c>
      <c r="B58" s="1590" t="s">
        <v>14058</v>
      </c>
      <c r="C58" s="166" t="s">
        <v>14059</v>
      </c>
      <c r="D58" s="173" t="s">
        <v>14060</v>
      </c>
      <c r="E58" s="173"/>
      <c r="F58" s="173" t="s">
        <v>880</v>
      </c>
      <c r="G58" s="180" t="s">
        <v>1533</v>
      </c>
      <c r="H58" s="467" t="s">
        <v>14005</v>
      </c>
      <c r="I58" s="182">
        <v>42079</v>
      </c>
      <c r="J58" s="182">
        <v>42444</v>
      </c>
      <c r="K58" s="182">
        <v>42735</v>
      </c>
      <c r="L58" s="182">
        <v>42794</v>
      </c>
      <c r="M58" s="182">
        <v>42809</v>
      </c>
      <c r="N58" s="182">
        <v>42810</v>
      </c>
      <c r="O58" s="182">
        <v>42886</v>
      </c>
      <c r="P58" s="473"/>
      <c r="Q58" s="182"/>
      <c r="R58" s="182"/>
      <c r="S58" s="182"/>
      <c r="T58" s="182"/>
      <c r="U58" s="182"/>
      <c r="V58" s="182"/>
      <c r="W58" s="182"/>
      <c r="X58" s="477">
        <f ca="1" t="shared" ref="X58:X61" si="21">SUM(O58-NOW())</f>
        <v>-386.38453703704</v>
      </c>
      <c r="Y58" s="182" t="str">
        <f ca="1" t="shared" ref="Y58:Y60" si="22">IF(X58&lt;=46,"WARNING","ACTIVE")</f>
        <v>WARNING</v>
      </c>
      <c r="Z58" s="481">
        <f>150000+3480505</f>
        <v>3630505</v>
      </c>
      <c r="AA58" s="481"/>
      <c r="AB58" s="481"/>
      <c r="AC58" s="481"/>
      <c r="AD58" s="181" t="s">
        <v>14006</v>
      </c>
      <c r="AE58" s="181" t="s">
        <v>14061</v>
      </c>
      <c r="AF58" s="181" t="s">
        <v>13703</v>
      </c>
      <c r="AG58" s="171" t="s">
        <v>14062</v>
      </c>
      <c r="AH58" s="1594" t="s">
        <v>14063</v>
      </c>
      <c r="AI58" s="180" t="s">
        <v>14064</v>
      </c>
      <c r="AJ58" s="1594" t="s">
        <v>14065</v>
      </c>
      <c r="AK58" s="180" t="s">
        <v>14066</v>
      </c>
      <c r="AL58" s="180"/>
      <c r="AM58" s="180" t="s">
        <v>14067</v>
      </c>
      <c r="AN58" s="368" t="s">
        <v>14068</v>
      </c>
      <c r="AO58" s="163" t="s">
        <v>14069</v>
      </c>
      <c r="AP58" s="459" t="s">
        <v>11949</v>
      </c>
      <c r="CG58" s="492"/>
    </row>
    <row r="59" s="93" customFormat="1" ht="14.1" customHeight="1" spans="1:115">
      <c r="A59" s="1590" t="s">
        <v>92</v>
      </c>
      <c r="B59" s="1590" t="s">
        <v>14070</v>
      </c>
      <c r="C59" s="166" t="s">
        <v>14071</v>
      </c>
      <c r="D59" s="173" t="s">
        <v>14072</v>
      </c>
      <c r="E59" s="173"/>
      <c r="F59" s="173" t="s">
        <v>880</v>
      </c>
      <c r="G59" s="180" t="s">
        <v>1533</v>
      </c>
      <c r="H59" s="467" t="s">
        <v>9078</v>
      </c>
      <c r="I59" s="182">
        <v>42101</v>
      </c>
      <c r="J59" s="182">
        <v>42466</v>
      </c>
      <c r="K59" s="182">
        <v>42831</v>
      </c>
      <c r="L59" s="182"/>
      <c r="M59" s="182"/>
      <c r="N59" s="182">
        <v>42832</v>
      </c>
      <c r="O59" s="182">
        <v>43196</v>
      </c>
      <c r="P59" s="473"/>
      <c r="Q59" s="182"/>
      <c r="R59" s="182"/>
      <c r="S59" s="182"/>
      <c r="T59" s="182"/>
      <c r="U59" s="182"/>
      <c r="V59" s="182"/>
      <c r="W59" s="182"/>
      <c r="X59" s="477">
        <f ca="1" t="shared" si="21"/>
        <v>-76.38453703704</v>
      </c>
      <c r="Y59" s="182" t="str">
        <f ca="1" t="shared" si="22"/>
        <v>WARNING</v>
      </c>
      <c r="Z59" s="481">
        <v>3400000</v>
      </c>
      <c r="AA59" s="481"/>
      <c r="AB59" s="481"/>
      <c r="AC59" s="481"/>
      <c r="AD59" s="181" t="s">
        <v>13701</v>
      </c>
      <c r="AE59" s="181" t="s">
        <v>14073</v>
      </c>
      <c r="AF59" s="181" t="s">
        <v>13703</v>
      </c>
      <c r="AG59" s="171" t="s">
        <v>14074</v>
      </c>
      <c r="AH59" s="1594" t="s">
        <v>14075</v>
      </c>
      <c r="AI59" s="180"/>
      <c r="AJ59" s="1594" t="s">
        <v>14076</v>
      </c>
      <c r="AK59" s="180"/>
      <c r="AL59" s="180" t="s">
        <v>14077</v>
      </c>
      <c r="AM59" s="180" t="s">
        <v>14078</v>
      </c>
      <c r="AN59" s="368" t="s">
        <v>14079</v>
      </c>
      <c r="AO59" s="163" t="s">
        <v>14080</v>
      </c>
      <c r="AP59" s="459"/>
      <c r="AQ59" s="459"/>
      <c r="AR59" s="459"/>
      <c r="AS59" s="459"/>
      <c r="AT59" s="459"/>
      <c r="AU59" s="459"/>
      <c r="AV59" s="459"/>
      <c r="AW59" s="459"/>
      <c r="AX59" s="459"/>
      <c r="AY59" s="459"/>
      <c r="AZ59" s="459"/>
      <c r="BA59" s="459"/>
      <c r="BB59" s="459"/>
      <c r="BC59" s="459"/>
      <c r="BD59" s="459"/>
      <c r="BE59" s="459"/>
      <c r="BF59" s="459"/>
      <c r="BG59" s="459"/>
      <c r="BH59" s="459"/>
      <c r="BI59" s="459"/>
      <c r="BJ59" s="459"/>
      <c r="BK59" s="459"/>
      <c r="BL59" s="459"/>
      <c r="BM59" s="459"/>
      <c r="BN59" s="459"/>
      <c r="BO59" s="459"/>
      <c r="BP59" s="459"/>
      <c r="BQ59" s="459"/>
      <c r="BR59" s="459"/>
      <c r="BS59" s="459"/>
      <c r="BT59" s="459"/>
      <c r="BU59" s="459"/>
      <c r="BV59" s="459"/>
      <c r="BW59" s="459"/>
      <c r="BX59" s="459"/>
      <c r="BY59" s="459"/>
      <c r="BZ59" s="459"/>
      <c r="CA59" s="459"/>
      <c r="CB59" s="459"/>
      <c r="CC59" s="459"/>
      <c r="CD59" s="459"/>
      <c r="CE59" s="459"/>
      <c r="CF59" s="459"/>
      <c r="CG59" s="494"/>
      <c r="CH59" s="459"/>
      <c r="CI59" s="459"/>
      <c r="CJ59" s="459"/>
      <c r="CK59" s="459"/>
      <c r="CL59" s="459"/>
      <c r="CM59" s="459"/>
      <c r="CN59" s="459"/>
      <c r="CO59" s="459"/>
      <c r="CP59" s="459"/>
      <c r="CQ59" s="459"/>
      <c r="CR59" s="459"/>
      <c r="CS59" s="459"/>
      <c r="CT59" s="459"/>
      <c r="CU59" s="459"/>
      <c r="CV59" s="459"/>
      <c r="CW59" s="459"/>
      <c r="CX59" s="459"/>
      <c r="CY59" s="459"/>
      <c r="CZ59" s="459"/>
      <c r="DA59" s="459"/>
      <c r="DB59" s="459"/>
      <c r="DC59" s="459"/>
      <c r="DD59" s="459"/>
      <c r="DE59" s="459"/>
      <c r="DF59" s="459"/>
      <c r="DG59" s="459"/>
      <c r="DH59" s="459"/>
      <c r="DI59" s="459"/>
      <c r="DJ59" s="459"/>
      <c r="DK59" s="459">
        <f>238000+260000</f>
        <v>498000</v>
      </c>
    </row>
    <row r="60" s="93" customFormat="1" ht="14.1" customHeight="1" spans="1:85">
      <c r="A60" s="1590" t="s">
        <v>194</v>
      </c>
      <c r="B60" s="1590" t="s">
        <v>14081</v>
      </c>
      <c r="C60" s="166" t="s">
        <v>14082</v>
      </c>
      <c r="D60" s="173" t="s">
        <v>14083</v>
      </c>
      <c r="E60" s="173"/>
      <c r="F60" s="173" t="s">
        <v>44</v>
      </c>
      <c r="G60" s="180" t="s">
        <v>13900</v>
      </c>
      <c r="H60" s="467"/>
      <c r="I60" s="182">
        <v>43122</v>
      </c>
      <c r="J60" s="182">
        <v>43210</v>
      </c>
      <c r="K60" s="182"/>
      <c r="L60" s="182"/>
      <c r="M60" s="182"/>
      <c r="N60" s="472"/>
      <c r="O60" s="472"/>
      <c r="P60" s="473"/>
      <c r="Q60" s="182"/>
      <c r="R60" s="182"/>
      <c r="S60" s="182"/>
      <c r="T60" s="182"/>
      <c r="U60" s="182"/>
      <c r="V60" s="182"/>
      <c r="W60" s="182"/>
      <c r="X60" s="477">
        <f ca="1">SUM(J60-NOW())</f>
        <v>-62.38453703704</v>
      </c>
      <c r="Y60" s="182" t="str">
        <f ca="1" t="shared" si="22"/>
        <v>WARNING</v>
      </c>
      <c r="Z60" s="481">
        <v>1500000</v>
      </c>
      <c r="AA60" s="481"/>
      <c r="AB60" s="481"/>
      <c r="AC60" s="481"/>
      <c r="AD60" s="181"/>
      <c r="AE60" s="181"/>
      <c r="AF60" s="181" t="s">
        <v>112</v>
      </c>
      <c r="AG60" s="171" t="s">
        <v>14084</v>
      </c>
      <c r="AH60" s="180">
        <v>85384254800</v>
      </c>
      <c r="AI60" s="180" t="s">
        <v>14085</v>
      </c>
      <c r="AJ60" s="1594" t="s">
        <v>14086</v>
      </c>
      <c r="AK60" s="180"/>
      <c r="AL60" s="180"/>
      <c r="AM60" s="180"/>
      <c r="AN60" s="86" t="s">
        <v>14087</v>
      </c>
      <c r="AO60" s="489" t="s">
        <v>14088</v>
      </c>
      <c r="CG60" s="492"/>
    </row>
    <row r="61" s="459" customFormat="1" ht="14.1" customHeight="1" spans="1:85">
      <c r="A61" s="1590" t="s">
        <v>78</v>
      </c>
      <c r="B61" s="1590" t="s">
        <v>14089</v>
      </c>
      <c r="C61" s="166" t="s">
        <v>14090</v>
      </c>
      <c r="D61" s="173" t="s">
        <v>14091</v>
      </c>
      <c r="E61" s="173" t="s">
        <v>43</v>
      </c>
      <c r="F61" s="173" t="s">
        <v>254</v>
      </c>
      <c r="G61" s="180" t="s">
        <v>1533</v>
      </c>
      <c r="H61" s="467" t="s">
        <v>13790</v>
      </c>
      <c r="I61" s="182">
        <v>42095</v>
      </c>
      <c r="J61" s="182">
        <v>42643</v>
      </c>
      <c r="K61" s="182">
        <v>42825</v>
      </c>
      <c r="L61" s="182"/>
      <c r="M61" s="182"/>
      <c r="N61" s="182">
        <v>42826</v>
      </c>
      <c r="O61" s="182">
        <v>43190</v>
      </c>
      <c r="P61" s="473"/>
      <c r="Q61" s="182"/>
      <c r="R61" s="182"/>
      <c r="S61" s="182"/>
      <c r="T61" s="182"/>
      <c r="U61" s="182"/>
      <c r="V61" s="182"/>
      <c r="W61" s="182"/>
      <c r="X61" s="477">
        <f ca="1" t="shared" si="21"/>
        <v>-82.38453703704</v>
      </c>
      <c r="Y61" s="182" t="str">
        <f ca="1" t="shared" ref="Y61:Y63" si="23">IF(X61&lt;=46,"WARNING","ACTIVE")</f>
        <v>WARNING</v>
      </c>
      <c r="Z61" s="484">
        <f>3381698*110%</f>
        <v>3719867.8</v>
      </c>
      <c r="AA61" s="481"/>
      <c r="AB61" s="481"/>
      <c r="AC61" s="481"/>
      <c r="AD61" s="181" t="s">
        <v>13701</v>
      </c>
      <c r="AE61" s="181" t="s">
        <v>14092</v>
      </c>
      <c r="AF61" s="181" t="s">
        <v>13703</v>
      </c>
      <c r="AG61" s="171" t="s">
        <v>14093</v>
      </c>
      <c r="AH61" s="180" t="s">
        <v>14094</v>
      </c>
      <c r="AI61" s="180" t="s">
        <v>14095</v>
      </c>
      <c r="AJ61" s="180"/>
      <c r="AK61" s="1594" t="s">
        <v>14096</v>
      </c>
      <c r="AL61" s="180"/>
      <c r="AM61" s="180" t="s">
        <v>14097</v>
      </c>
      <c r="AN61" s="368" t="s">
        <v>14098</v>
      </c>
      <c r="AO61" s="163" t="s">
        <v>14099</v>
      </c>
      <c r="CG61" s="494"/>
    </row>
    <row r="62" s="93" customFormat="1" ht="14.1" customHeight="1" spans="1:85">
      <c r="A62" s="1590" t="s">
        <v>181</v>
      </c>
      <c r="B62" s="1590" t="s">
        <v>14100</v>
      </c>
      <c r="C62" s="166" t="s">
        <v>14101</v>
      </c>
      <c r="D62" s="173" t="s">
        <v>14102</v>
      </c>
      <c r="E62" s="173" t="s">
        <v>125</v>
      </c>
      <c r="F62" s="173" t="s">
        <v>44</v>
      </c>
      <c r="G62" s="180" t="s">
        <v>14103</v>
      </c>
      <c r="H62" s="467" t="s">
        <v>13822</v>
      </c>
      <c r="I62" s="182">
        <v>43122</v>
      </c>
      <c r="J62" s="182">
        <v>43210</v>
      </c>
      <c r="K62" s="471">
        <v>43301</v>
      </c>
      <c r="L62" s="182"/>
      <c r="M62" s="182"/>
      <c r="N62" s="472"/>
      <c r="O62" s="472"/>
      <c r="P62" s="473"/>
      <c r="Q62" s="182"/>
      <c r="R62" s="182"/>
      <c r="S62" s="182"/>
      <c r="T62" s="182"/>
      <c r="U62" s="182"/>
      <c r="V62" s="182"/>
      <c r="W62" s="182"/>
      <c r="X62" s="477">
        <f ca="1">SUM(K62-NOW())</f>
        <v>28.61546296296</v>
      </c>
      <c r="Y62" s="182" t="str">
        <f ca="1" t="shared" si="23"/>
        <v>WARNING</v>
      </c>
      <c r="Z62" s="481">
        <v>1500000</v>
      </c>
      <c r="AA62" s="481"/>
      <c r="AB62" s="481"/>
      <c r="AC62" s="481"/>
      <c r="AD62" s="181"/>
      <c r="AE62" s="181"/>
      <c r="AF62" s="181" t="s">
        <v>112</v>
      </c>
      <c r="AG62" s="171" t="s">
        <v>14104</v>
      </c>
      <c r="AH62" s="180">
        <v>81299353714</v>
      </c>
      <c r="AI62" s="180" t="s">
        <v>14105</v>
      </c>
      <c r="AJ62" s="1594" t="s">
        <v>14106</v>
      </c>
      <c r="AK62" s="180"/>
      <c r="AL62" s="180"/>
      <c r="AM62" s="180"/>
      <c r="AN62" s="86" t="s">
        <v>14107</v>
      </c>
      <c r="AO62" s="163" t="s">
        <v>14108</v>
      </c>
      <c r="CG62" s="492"/>
    </row>
    <row r="63" s="93" customFormat="1" ht="14.1" customHeight="1" spans="1:85">
      <c r="A63" s="1590" t="s">
        <v>357</v>
      </c>
      <c r="B63" s="32"/>
      <c r="C63" s="166" t="s">
        <v>14109</v>
      </c>
      <c r="D63" s="173" t="s">
        <v>14110</v>
      </c>
      <c r="E63" s="173" t="s">
        <v>125</v>
      </c>
      <c r="F63" s="173" t="s">
        <v>44</v>
      </c>
      <c r="G63" s="180" t="s">
        <v>13830</v>
      </c>
      <c r="H63" s="467" t="s">
        <v>13822</v>
      </c>
      <c r="I63" s="182">
        <v>43222</v>
      </c>
      <c r="J63" s="182">
        <v>43343</v>
      </c>
      <c r="K63" s="182" t="s">
        <v>583</v>
      </c>
      <c r="L63" s="182" t="s">
        <v>583</v>
      </c>
      <c r="M63" s="182" t="s">
        <v>583</v>
      </c>
      <c r="N63" s="472" t="s">
        <v>583</v>
      </c>
      <c r="O63" s="472"/>
      <c r="P63" s="473"/>
      <c r="Q63" s="182"/>
      <c r="R63" s="182"/>
      <c r="S63" s="182"/>
      <c r="T63" s="182"/>
      <c r="U63" s="182"/>
      <c r="V63" s="182"/>
      <c r="W63" s="182"/>
      <c r="X63" s="477">
        <f ca="1">SUM(J63-NOW())</f>
        <v>70.61546296296</v>
      </c>
      <c r="Y63" s="182" t="str">
        <f ca="1" t="shared" si="23"/>
        <v>ACTIVE</v>
      </c>
      <c r="Z63" s="481">
        <v>1000000</v>
      </c>
      <c r="AA63" s="481"/>
      <c r="AB63" s="481"/>
      <c r="AC63" s="481"/>
      <c r="AD63" s="181"/>
      <c r="AE63" s="181"/>
      <c r="AF63" s="181"/>
      <c r="AG63" s="171" t="s">
        <v>14111</v>
      </c>
      <c r="AH63" s="1594" t="s">
        <v>14112</v>
      </c>
      <c r="AI63" s="180" t="s">
        <v>14113</v>
      </c>
      <c r="AJ63" s="1594" t="s">
        <v>14114</v>
      </c>
      <c r="AK63" s="180"/>
      <c r="AL63" s="180"/>
      <c r="AM63" s="180"/>
      <c r="AN63" s="86" t="s">
        <v>14115</v>
      </c>
      <c r="AO63" s="163" t="s">
        <v>14116</v>
      </c>
      <c r="CG63" s="492"/>
    </row>
    <row r="64" s="93" customFormat="1" spans="85:85">
      <c r="CG64" s="492"/>
    </row>
    <row r="65" s="93" customFormat="1" spans="85:85">
      <c r="CG65" s="492"/>
    </row>
    <row r="66" s="93" customFormat="1" spans="85:85">
      <c r="CG66" s="492"/>
    </row>
    <row r="67" s="93" customFormat="1" spans="85:85">
      <c r="CG67" s="492"/>
    </row>
    <row r="68" s="93" customFormat="1" spans="85:85">
      <c r="CG68" s="492"/>
    </row>
    <row r="69" s="93" customFormat="1" spans="85:85">
      <c r="CG69" s="492"/>
    </row>
    <row r="70" s="93" customFormat="1" spans="85:85">
      <c r="CG70" s="492"/>
    </row>
    <row r="71" s="93" customFormat="1" spans="85:85">
      <c r="CG71" s="492"/>
    </row>
    <row r="72" s="93" customFormat="1" spans="85:85">
      <c r="CG72" s="492"/>
    </row>
    <row r="73" s="93" customFormat="1" spans="85:85">
      <c r="CG73" s="492"/>
    </row>
    <row r="74" s="93" customFormat="1" spans="85:85">
      <c r="CG74" s="492"/>
    </row>
    <row r="75" s="93" customFormat="1" spans="85:85">
      <c r="CG75" s="492"/>
    </row>
    <row r="76" s="93" customFormat="1" spans="85:85">
      <c r="CG76" s="492"/>
    </row>
    <row r="77" s="93" customFormat="1" spans="85:85">
      <c r="CG77" s="492"/>
    </row>
    <row r="78" s="93" customFormat="1" spans="85:85">
      <c r="CG78" s="492"/>
    </row>
    <row r="79" s="93" customFormat="1" spans="85:85">
      <c r="CG79" s="492"/>
    </row>
    <row r="80" s="93" customFormat="1" spans="85:85">
      <c r="CG80" s="492"/>
    </row>
    <row r="81" s="93" customFormat="1" spans="85:85">
      <c r="CG81" s="492"/>
    </row>
    <row r="82" s="93" customFormat="1" spans="85:85">
      <c r="CG82" s="492"/>
    </row>
    <row r="83" s="93" customFormat="1" spans="85:85">
      <c r="CG83" s="492"/>
    </row>
    <row r="84" s="93" customFormat="1" spans="85:85">
      <c r="CG84" s="492"/>
    </row>
    <row r="85" s="93" customFormat="1" spans="85:85">
      <c r="CG85" s="492"/>
    </row>
    <row r="86" s="93" customFormat="1" spans="85:85">
      <c r="CG86" s="492"/>
    </row>
    <row r="87" s="93" customFormat="1" spans="85:85">
      <c r="CG87" s="492"/>
    </row>
    <row r="88" s="93" customFormat="1" spans="85:85">
      <c r="CG88" s="492"/>
    </row>
    <row r="89" s="93" customFormat="1" spans="85:85">
      <c r="CG89" s="492"/>
    </row>
    <row r="90" s="93" customFormat="1" spans="85:85">
      <c r="CG90" s="492"/>
    </row>
    <row r="91" s="93" customFormat="1" spans="85:85">
      <c r="CG91" s="492"/>
    </row>
    <row r="92" s="93" customFormat="1" spans="85:85">
      <c r="CG92" s="492"/>
    </row>
    <row r="93" s="93" customFormat="1" spans="85:85">
      <c r="CG93" s="492"/>
    </row>
    <row r="94" s="93" customFormat="1" spans="85:85">
      <c r="CG94" s="492"/>
    </row>
    <row r="95" s="93" customFormat="1" spans="85:85">
      <c r="CG95" s="492"/>
    </row>
    <row r="96" s="93" customFormat="1" spans="85:85">
      <c r="CG96" s="492"/>
    </row>
    <row r="97" s="93" customFormat="1" spans="85:85">
      <c r="CG97" s="492"/>
    </row>
    <row r="98" s="93" customFormat="1" spans="85:85">
      <c r="CG98" s="492"/>
    </row>
    <row r="99" s="93" customFormat="1" spans="85:85">
      <c r="CG99" s="492"/>
    </row>
    <row r="100" s="93" customFormat="1" spans="85:85">
      <c r="CG100" s="492"/>
    </row>
    <row r="101" s="93" customFormat="1" spans="85:85">
      <c r="CG101" s="492"/>
    </row>
    <row r="102" s="93" customFormat="1" spans="85:85">
      <c r="CG102" s="492"/>
    </row>
    <row r="103" s="93" customFormat="1" spans="85:85">
      <c r="CG103" s="492"/>
    </row>
    <row r="104" s="93" customFormat="1" spans="85:85">
      <c r="CG104" s="492"/>
    </row>
    <row r="105" s="93" customFormat="1" spans="85:85">
      <c r="CG105" s="492"/>
    </row>
    <row r="106" s="93" customFormat="1" spans="85:85">
      <c r="CG106" s="492"/>
    </row>
    <row r="107" s="93" customFormat="1" spans="85:85">
      <c r="CG107" s="492"/>
    </row>
    <row r="108" s="93" customFormat="1" spans="85:85">
      <c r="CG108" s="492"/>
    </row>
    <row r="109" s="93" customFormat="1" spans="85:85">
      <c r="CG109" s="492"/>
    </row>
    <row r="110" s="93" customFormat="1" spans="85:85">
      <c r="CG110" s="492"/>
    </row>
    <row r="111" s="93" customFormat="1" spans="85:85">
      <c r="CG111" s="492"/>
    </row>
    <row r="112" s="93" customFormat="1" spans="85:85">
      <c r="CG112" s="492"/>
    </row>
    <row r="113" s="93" customFormat="1" spans="85:85">
      <c r="CG113" s="492"/>
    </row>
    <row r="114" s="93" customFormat="1" spans="85:85">
      <c r="CG114" s="492"/>
    </row>
    <row r="115" s="93" customFormat="1" spans="85:85">
      <c r="CG115" s="492"/>
    </row>
    <row r="116" s="93" customFormat="1" spans="85:85">
      <c r="CG116" s="492"/>
    </row>
    <row r="117" s="93" customFormat="1" spans="85:85">
      <c r="CG117" s="492"/>
    </row>
    <row r="118" s="93" customFormat="1" spans="85:85">
      <c r="CG118" s="492"/>
    </row>
    <row r="119" s="93" customFormat="1" spans="85:85">
      <c r="CG119" s="492"/>
    </row>
    <row r="120" s="93" customFormat="1" spans="85:85">
      <c r="CG120" s="492"/>
    </row>
    <row r="121" s="93" customFormat="1" spans="85:85">
      <c r="CG121" s="492"/>
    </row>
    <row r="122" s="93" customFormat="1" spans="85:85">
      <c r="CG122" s="492"/>
    </row>
    <row r="123" s="93" customFormat="1" spans="85:85">
      <c r="CG123" s="492"/>
    </row>
    <row r="124" s="93" customFormat="1" spans="85:85">
      <c r="CG124" s="492"/>
    </row>
    <row r="125" s="93" customFormat="1" spans="85:85">
      <c r="CG125" s="492"/>
    </row>
    <row r="126" s="93" customFormat="1" spans="85:85">
      <c r="CG126" s="492"/>
    </row>
    <row r="127" s="93" customFormat="1" spans="85:85">
      <c r="CG127" s="492"/>
    </row>
    <row r="128" s="93" customFormat="1" spans="85:85">
      <c r="CG128" s="492"/>
    </row>
    <row r="129" s="93" customFormat="1" spans="85:85">
      <c r="CG129" s="492"/>
    </row>
    <row r="130" s="93" customFormat="1" spans="85:85">
      <c r="CG130" s="492"/>
    </row>
    <row r="131" s="93" customFormat="1" spans="85:85">
      <c r="CG131" s="492"/>
    </row>
    <row r="132" s="93" customFormat="1" spans="85:85">
      <c r="CG132" s="492"/>
    </row>
    <row r="133" s="93" customFormat="1" spans="85:85">
      <c r="CG133" s="492"/>
    </row>
    <row r="134" s="93" customFormat="1" spans="85:85">
      <c r="CG134" s="492"/>
    </row>
    <row r="135" s="93" customFormat="1" spans="85:85">
      <c r="CG135" s="492"/>
    </row>
    <row r="136" s="93" customFormat="1" spans="85:85">
      <c r="CG136" s="492"/>
    </row>
  </sheetData>
  <mergeCells count="38">
    <mergeCell ref="A1:C1"/>
    <mergeCell ref="A2:C2"/>
    <mergeCell ref="A3:C3"/>
    <mergeCell ref="A6:C6"/>
    <mergeCell ref="Z6:AF6"/>
    <mergeCell ref="A8:AH8"/>
    <mergeCell ref="A9:AH9"/>
    <mergeCell ref="I12:J12"/>
    <mergeCell ref="K12:M12"/>
    <mergeCell ref="N12:O12"/>
    <mergeCell ref="Q12:R12"/>
    <mergeCell ref="S12:T12"/>
    <mergeCell ref="U12:W12"/>
    <mergeCell ref="A12:A13"/>
    <mergeCell ref="B12:B13"/>
    <mergeCell ref="C12:C13"/>
    <mergeCell ref="D12:D13"/>
    <mergeCell ref="E12:E13"/>
    <mergeCell ref="F12:F13"/>
    <mergeCell ref="G12:G13"/>
    <mergeCell ref="H12:H13"/>
    <mergeCell ref="X12:X13"/>
    <mergeCell ref="Y12:Y13"/>
    <mergeCell ref="Z12:Z13"/>
    <mergeCell ref="AA12:AA13"/>
    <mergeCell ref="AB12:AB13"/>
    <mergeCell ref="AD12:AD13"/>
    <mergeCell ref="AE12:AE13"/>
    <mergeCell ref="AF12:AF13"/>
    <mergeCell ref="AG12:AG13"/>
    <mergeCell ref="AH12:AH13"/>
    <mergeCell ref="AI12:AI13"/>
    <mergeCell ref="AJ12:AJ13"/>
    <mergeCell ref="AK12:AK13"/>
    <mergeCell ref="AL12:AL13"/>
    <mergeCell ref="AM12:AM13"/>
    <mergeCell ref="AN12:AN13"/>
    <mergeCell ref="AO12:AO13"/>
  </mergeCells>
  <conditionalFormatting sqref="X58:Y59;X14:Y21;X48:Y54">
    <cfRule type="expression" dxfId="2109" priority="1" stopIfTrue="1">
      <formula>IF($Y14="warning",TRUE,FALSE)</formula>
    </cfRule>
  </conditionalFormatting>
  <conditionalFormatting sqref="AD58">
    <cfRule type="expression" dxfId="2110" priority="2" stopIfTrue="1">
      <formula>IF(OR(#REF!="not",#REF!="resign",#REF!="resign",#REF!="end",#REF!="terminated",#REF!="permanent"),"TRUE","FALSE")</formula>
    </cfRule>
  </conditionalFormatting>
  <conditionalFormatting sqref="Z58">
    <cfRule type="expression" dxfId="2111" priority="3" stopIfTrue="1">
      <formula>IF(OR(#REF!="not",#REF!="resign",#REF!="resign",#REF!="end",#REF!="terminated",#REF!="permanent"),"TRUE","FALSE")</formula>
    </cfRule>
  </conditionalFormatting>
  <conditionalFormatting sqref="I58">
    <cfRule type="expression" dxfId="2112" priority="4" stopIfTrue="1">
      <formula>IF(OR(#REF!="not",#REF!="resign",#REF!="resign",#REF!="end",#REF!="terminated",#REF!="permanent"),"TRUE","FALSE")</formula>
    </cfRule>
  </conditionalFormatting>
  <conditionalFormatting sqref="B58:C58">
    <cfRule type="expression" dxfId="2113" priority="5" stopIfTrue="1">
      <formula>IF(OR(#REF!="not",#REF!="resign",#REF!="resign",#REF!="end",#REF!="terminated",#REF!="permanent"),"TRUE","FALSE")</formula>
    </cfRule>
  </conditionalFormatting>
  <conditionalFormatting sqref="D58:E58">
    <cfRule type="expression" dxfId="2114" priority="6" stopIfTrue="1">
      <formula>IF(OR(#REF!="not",#REF!="resign",#REF!="resign",#REF!="end",#REF!="terminated",#REF!="permanent"),"TRUE","FALSE")</formula>
    </cfRule>
  </conditionalFormatting>
  <conditionalFormatting sqref="K58">
    <cfRule type="expression" dxfId="2115" priority="7" stopIfTrue="1">
      <formula>IF(OR(#REF!="not",#REF!="resign",#REF!="resign",#REF!="end",#REF!="terminated",#REF!="permanent"),"TRUE","FALSE")</formula>
    </cfRule>
  </conditionalFormatting>
  <conditionalFormatting sqref="K53">
    <cfRule type="expression" dxfId="2116" priority="8" stopIfTrue="1">
      <formula>IF(OR(#REF!="not",#REF!="resign",#REF!="resign",#REF!="end",#REF!="terminated",#REF!="permanent"),"TRUE","FALSE")</formula>
    </cfRule>
  </conditionalFormatting>
  <conditionalFormatting sqref="I53">
    <cfRule type="expression" dxfId="2117" priority="9" stopIfTrue="1">
      <formula>IF(OR(#REF!="not",#REF!="resign",#REF!="resign",#REF!="end",#REF!="terminated",#REF!="permanent"),"TRUE","FALSE")</formula>
    </cfRule>
  </conditionalFormatting>
  <conditionalFormatting sqref="D18:E18">
    <cfRule type="expression" dxfId="2118" priority="10" stopIfTrue="1">
      <formula>IF(OR($BH18="not",$BH18="resign",$BH18="resign",$BH18="end",$BH18="terminated",$BH18="permanent"),"TRUE","FALSE")</formula>
    </cfRule>
  </conditionalFormatting>
  <conditionalFormatting sqref="F17">
    <cfRule type="expression" dxfId="2119" priority="11" stopIfTrue="1">
      <formula>IF(OR($BH17="not",$BH17="resign",$BH17="resign",$BH17="end",$BH17="terminated",$BH17="permanent"),"TRUE","FALSE")</formula>
    </cfRule>
  </conditionalFormatting>
  <conditionalFormatting sqref="I17">
    <cfRule type="expression" dxfId="2120" priority="12" stopIfTrue="1">
      <formula>IF(OR($BH17="not",$BH17="resign",$BH17="resign",$BH17="end",$BH17="terminated",$BH17="permanent"),"TRUE","FALSE")</formula>
    </cfRule>
  </conditionalFormatting>
  <conditionalFormatting sqref="C17">
    <cfRule type="expression" dxfId="2121" priority="13" stopIfTrue="1">
      <formula>IF(OR($BH17="not",$BH17="resign",$BH17="resign",$BH17="end",$BH17="terminated",$BH17="permanent"),"TRUE","FALSE")</formula>
    </cfRule>
  </conditionalFormatting>
  <conditionalFormatting sqref="D17:E17">
    <cfRule type="expression" dxfId="2122" priority="14" stopIfTrue="1">
      <formula>IF(OR($BH17="not",$BH17="resign",$BH17="resign",$BH17="end",$BH17="terminated",$BH17="permanent"),"TRUE","FALSE")</formula>
    </cfRule>
  </conditionalFormatting>
  <conditionalFormatting sqref="K17">
    <cfRule type="expression" dxfId="2123" priority="15" stopIfTrue="1">
      <formula>IF(OR($BH17="not",$BH17="resign",$BH17="resign",$BH17="end",$BH17="terminated",$BH17="permanent"),"TRUE","FALSE")</formula>
    </cfRule>
    <cfRule type="expression" dxfId="2124" priority="16" stopIfTrue="1">
      <formula>IF(OR($BH17="not",$BH17="resign",$BH17="resign",$BH17="end",$BH17="terminated",$BH17="permanent"),"TRUE","FALSE")</formula>
    </cfRule>
  </conditionalFormatting>
  <conditionalFormatting sqref="F17:K17">
    <cfRule type="expression" dxfId="2125" priority="17" stopIfTrue="1">
      <formula>IF(OR($BH17="not",$BH17="resign",$BH17="resign",$BH17="end",$BH17="terminated",$BH17="permanent"),"TRUE","FALSE")</formula>
    </cfRule>
  </conditionalFormatting>
  <conditionalFormatting sqref="F18:F21">
    <cfRule type="expression" dxfId="2126" priority="18" stopIfTrue="1">
      <formula>IF(OR($BH18="not",$BH18="resign",$BH18="resign",$BH18="end",$BH18="terminated",$BH18="permanent"),"TRUE","FALSE")</formula>
    </cfRule>
  </conditionalFormatting>
  <conditionalFormatting sqref="I18">
    <cfRule type="expression" dxfId="2127" priority="19" stopIfTrue="1">
      <formula>IF(OR($BH18="not",$BH18="resign",$BH18="resign",$BH18="end",$BH18="terminated",$BH18="permanent"),"TRUE","FALSE")</formula>
    </cfRule>
  </conditionalFormatting>
  <conditionalFormatting sqref="C18">
    <cfRule type="expression" dxfId="2128" priority="20" stopIfTrue="1">
      <formula>IF(OR($BH18="not",$BH18="resign",$BH18="resign",$BH18="end",$BH18="terminated",$BH18="permanent"),"TRUE","FALSE")</formula>
    </cfRule>
  </conditionalFormatting>
  <conditionalFormatting sqref="K18">
    <cfRule type="expression" dxfId="2129" priority="21" stopIfTrue="1">
      <formula>IF(OR($BH18="not",$BH18="resign",$BH18="resign",$BH18="end",$BH18="terminated",$BH18="permanent"),"TRUE","FALSE")</formula>
    </cfRule>
    <cfRule type="expression" dxfId="2130" priority="22" stopIfTrue="1">
      <formula>IF(OR($BH18="not",$BH18="resign",$BH18="resign",$BH18="end",$BH18="terminated",$BH18="permanent"),"TRUE","FALSE")</formula>
    </cfRule>
    <cfRule type="expression" dxfId="2131" priority="23" stopIfTrue="1">
      <formula>IF(OR($BH18="not",$BH18="resign",$BH18="resign",$BH18="end",$BH18="terminated",$BH18="permanent"),"TRUE","FALSE")</formula>
    </cfRule>
  </conditionalFormatting>
  <conditionalFormatting sqref="F18:K18">
    <cfRule type="expression" dxfId="2132" priority="24" stopIfTrue="1">
      <formula>IF(OR($BH18="not",$BH18="resign",$BH18="resign",$BH18="end",$BH18="terminated",$BH18="permanent"),"TRUE","FALSE")</formula>
    </cfRule>
  </conditionalFormatting>
  <conditionalFormatting sqref="N14">
    <cfRule type="expression" dxfId="2133" priority="25" stopIfTrue="1">
      <formula>IF(OR($BH14="not",$BH14="resign",$BH14="resign",$BH14="end",$BH14="terminated",$BH14="permanent"),"TRUE","FALSE")</formula>
    </cfRule>
  </conditionalFormatting>
  <conditionalFormatting sqref="N15">
    <cfRule type="expression" dxfId="2134" priority="26" stopIfTrue="1">
      <formula>IF(OR($BH15="not",$BH15="resign",$BH15="resign",$BH15="end",$BH15="terminated",$BH15="permanent"),"TRUE","FALSE")</formula>
    </cfRule>
  </conditionalFormatting>
  <conditionalFormatting sqref="N16">
    <cfRule type="expression" dxfId="2135" priority="27" stopIfTrue="1">
      <formula>IF(OR($BH16="not",$BH16="resign",$BH16="resign",$BH16="end",$BH16="terminated",$BH16="permanent"),"TRUE","FALSE")</formula>
    </cfRule>
  </conditionalFormatting>
  <conditionalFormatting sqref="O14:P14">
    <cfRule type="expression" dxfId="2136" priority="28" stopIfTrue="1">
      <formula>IF(OR($BH14="not",$BH14="resign",$BH14="resign",$BH14="end",$BH14="terminated",$BH14="permanent"),"TRUE","FALSE")</formula>
    </cfRule>
  </conditionalFormatting>
  <conditionalFormatting sqref="O15:P15">
    <cfRule type="expression" dxfId="2137" priority="29" stopIfTrue="1">
      <formula>IF(OR($BH15="not",$BH15="resign",$BH15="resign",$BH15="end",$BH15="terminated",$BH15="permanent"),"TRUE","FALSE")</formula>
    </cfRule>
  </conditionalFormatting>
  <conditionalFormatting sqref="O16:P16">
    <cfRule type="expression" dxfId="2138" priority="30" stopIfTrue="1">
      <formula>IF(OR($BH16="not",$BH16="resign",$BH16="resign",$BH16="end",$BH16="terminated",$BH16="permanent"),"TRUE","FALSE")</formula>
    </cfRule>
  </conditionalFormatting>
  <conditionalFormatting sqref="Z21">
    <cfRule type="expression" dxfId="2139" priority="31" stopIfTrue="1">
      <formula>IF(OR($BH21="not",$BH21="resign",$BH21="resign",$BH21="end",$BH21="terminated",$BH21="permanent"),"TRUE","FALSE")</formula>
    </cfRule>
  </conditionalFormatting>
  <conditionalFormatting sqref="AA19:AA21">
    <cfRule type="expression" dxfId="2140" priority="32" stopIfTrue="1">
      <formula>IF(OR($BH19="not",$BH19="resign",$BH19="resign",$BH19="end",$BH19="terminated",$BH19="permanent"),"TRUE","FALSE")</formula>
    </cfRule>
  </conditionalFormatting>
  <conditionalFormatting sqref="I19">
    <cfRule type="expression" dxfId="2141" priority="33" stopIfTrue="1">
      <formula>IF(OR($BH19="not",$BH19="resign",$BH19="resign",$BH19="end",$BH19="terminated",$BH19="permanent"),"TRUE","FALSE")</formula>
    </cfRule>
  </conditionalFormatting>
  <conditionalFormatting sqref="D19:E19">
    <cfRule type="expression" dxfId="2142" priority="34" stopIfTrue="1">
      <formula>IF(OR($BH19="not",$BH19="resign",$BH19="resign",$BH19="end",$BH19="terminated",$BH19="permanent"),"TRUE","FALSE")</formula>
    </cfRule>
  </conditionalFormatting>
  <conditionalFormatting sqref="K19">
    <cfRule type="expression" dxfId="2143" priority="35" stopIfTrue="1">
      <formula>IF(OR($BH19="not",$BH19="resign",$BH19="resign",$BH19="end",$BH19="terminated",$BH19="permanent"),"TRUE","FALSE")</formula>
    </cfRule>
  </conditionalFormatting>
  <conditionalFormatting sqref="I20">
    <cfRule type="expression" dxfId="2144" priority="36" stopIfTrue="1">
      <formula>IF(OR($BH20="not",$BH20="resign",$BH20="resign",$BH20="end",$BH20="terminated",$BH20="permanent"),"TRUE","FALSE")</formula>
    </cfRule>
  </conditionalFormatting>
  <conditionalFormatting sqref="D20:E20">
    <cfRule type="expression" dxfId="2145" priority="37" stopIfTrue="1">
      <formula>IF(OR($BH20="not",$BH20="resign",$BH20="resign",$BH20="end",$BH20="terminated",$BH20="permanent"),"TRUE","FALSE")</formula>
    </cfRule>
  </conditionalFormatting>
  <conditionalFormatting sqref="K20">
    <cfRule type="expression" dxfId="2146" priority="38" stopIfTrue="1">
      <formula>IF(OR($BH20="not",$BH20="resign",$BH20="resign",$BH20="end",$BH20="terminated",$BH20="permanent"),"TRUE","FALSE")</formula>
    </cfRule>
  </conditionalFormatting>
  <conditionalFormatting sqref="I21">
    <cfRule type="expression" dxfId="2147" priority="39" stopIfTrue="1">
      <formula>IF(OR($BH21="not",$BH21="resign",$BH21="resign",$BH21="end",$BH21="terminated",$BH21="permanent"),"TRUE","FALSE")</formula>
    </cfRule>
  </conditionalFormatting>
  <conditionalFormatting sqref="D21:E21">
    <cfRule type="expression" dxfId="2148" priority="40" stopIfTrue="1">
      <formula>IF(OR($BH21="not",$BH21="resign",$BH21="resign",$BH21="end",$BH21="terminated",$BH21="permanent"),"TRUE","FALSE")</formula>
    </cfRule>
  </conditionalFormatting>
  <conditionalFormatting sqref="K21">
    <cfRule type="expression" dxfId="2149" priority="41" stopIfTrue="1">
      <formula>IF(OR($BH21="not",$BH21="resign",$BH21="resign",$BH21="end",$BH21="terminated",$BH21="permanent"),"TRUE","FALSE")</formula>
    </cfRule>
  </conditionalFormatting>
  <conditionalFormatting sqref="L17:M17">
    <cfRule type="expression" dxfId="2150" priority="42" stopIfTrue="1">
      <formula>IF(OR($BH17="not",$BH17="resign",$BH17="resign",$BH17="end",$BH17="terminated",$BH17="permanent"),"TRUE","FALSE")</formula>
    </cfRule>
  </conditionalFormatting>
  <conditionalFormatting sqref="L18:M18">
    <cfRule type="expression" dxfId="2151" priority="43" stopIfTrue="1">
      <formula>IF(OR($BH18="not",$BH18="resign",$BH18="resign",$BH18="end",$BH18="terminated",$BH18="permanent"),"TRUE","FALSE")</formula>
    </cfRule>
  </conditionalFormatting>
  <conditionalFormatting sqref="AM53">
    <cfRule type="expression" dxfId="2152" priority="44" stopIfTrue="1">
      <formula>IF(OR($AE53="not",$AE53="resign",$AE53="resign",$AE53="end",$AE53="terminated",$AE53="permanent"),"TRUE","FALSE")</formula>
    </cfRule>
  </conditionalFormatting>
  <conditionalFormatting sqref="B22:C22">
    <cfRule type="expression" dxfId="2153" priority="45" stopIfTrue="1">
      <formula>IF(OR($BH22="not",$BH22="resign",$BH22="resign",$BH22="end",$BH22="terminated",$BH22="permanent"),"TRUE","FALSE")</formula>
    </cfRule>
  </conditionalFormatting>
  <conditionalFormatting sqref="Z22">
    <cfRule type="expression" dxfId="2154" priority="46" stopIfTrue="1">
      <formula>IF(OR($BH22="not",$BH22="resign",$BH22="resign",$BH22="end",$BH22="terminated",$BH22="permanent"),"TRUE","FALSE")</formula>
    </cfRule>
  </conditionalFormatting>
  <conditionalFormatting sqref="AA22">
    <cfRule type="expression" dxfId="2155" priority="47" stopIfTrue="1">
      <formula>IF(OR($BH22="not",$BH22="resign",$BH22="resign",$BH22="end",$BH22="terminated",$BH22="permanent"),"TRUE","FALSE")</formula>
    </cfRule>
  </conditionalFormatting>
  <conditionalFormatting sqref="F22">
    <cfRule type="expression" dxfId="2156" priority="48" stopIfTrue="1">
      <formula>IF(OR($BH22="not",$BH22="resign",$BH22="resign",$BH22="end",$BH22="terminated",$BH22="permanent"),"TRUE","FALSE")</formula>
    </cfRule>
  </conditionalFormatting>
  <conditionalFormatting sqref="I22">
    <cfRule type="expression" dxfId="2157" priority="49" stopIfTrue="1">
      <formula>IF(OR($BH22="not",$BH22="resign",$BH22="resign",$BH22="end",$BH22="terminated",$BH22="permanent"),"TRUE","FALSE")</formula>
    </cfRule>
  </conditionalFormatting>
  <conditionalFormatting sqref="D22:E22">
    <cfRule type="expression" dxfId="2158" priority="50" stopIfTrue="1">
      <formula>IF(OR($BH22="not",$BH22="resign",$BH22="resign",$BH22="end",$BH22="terminated",$BH22="permanent"),"TRUE","FALSE")</formula>
    </cfRule>
  </conditionalFormatting>
  <conditionalFormatting sqref="K22">
    <cfRule type="expression" dxfId="2159" priority="51" stopIfTrue="1">
      <formula>IF(OR($BH22="not",$BH22="resign",$BH22="resign",$BH22="end",$BH22="terminated",$BH22="permanent"),"TRUE","FALSE")</formula>
    </cfRule>
  </conditionalFormatting>
  <conditionalFormatting sqref="N17:O18">
    <cfRule type="expression" dxfId="2160" priority="52" stopIfTrue="1">
      <formula>IF(OR($BH17="not",$BH17="resign",$BH17="resign",$BH17="end",$BH17="terminated",$BH17="permanent"),"TRUE","FALSE")</formula>
    </cfRule>
  </conditionalFormatting>
  <conditionalFormatting sqref="Q55:AO55">
    <cfRule type="expression" dxfId="2161" priority="53" stopIfTrue="1">
      <formula>IF(OR($BH55="not",$BH55="resign",$BH55="resign",$BH55="end",$BH55="terminated",$BH55="permanent"),"TRUE","FALSE")</formula>
    </cfRule>
  </conditionalFormatting>
  <conditionalFormatting sqref="Q56:AO56">
    <cfRule type="expression" dxfId="2162" priority="54" stopIfTrue="1">
      <formula>IF(OR($BH56="not",$BH56="resign",$BH56="resign",$BH56="end",$BH56="terminated",$BH56="permanent"),"TRUE","FALSE")</formula>
    </cfRule>
  </conditionalFormatting>
  <conditionalFormatting sqref="K20:K21">
    <cfRule type="expression" dxfId="2163" priority="55" stopIfTrue="1">
      <formula>IF(OR($BH20="not",$BH20="resign",$BH20="resign",$BH20="end",$BH20="terminated",$BH20="permanent"),"TRUE","FALSE")</formula>
    </cfRule>
    <cfRule type="expression" dxfId="2164" priority="56" stopIfTrue="1">
      <formula>IF(OR($BH20="not",$BH20="resign",$BH20="resign",$BH20="end",$BH20="terminated",$BH20="permanent"),"TRUE","FALSE")</formula>
    </cfRule>
  </conditionalFormatting>
  <conditionalFormatting sqref="Q57:AO57">
    <cfRule type="expression" dxfId="2165" priority="57" stopIfTrue="1">
      <formula>IF(OR($BH57="not",$BH57="resign",$BH57="resign",$BH57="end",$BH57="terminated",$BH57="permanent"),"TRUE","FALSE")</formula>
    </cfRule>
  </conditionalFormatting>
  <conditionalFormatting sqref="F23:J23">
    <cfRule type="expression" dxfId="2166" priority="58" stopIfTrue="1">
      <formula>IF(OR($BH23="not",$BH23="resign",$BH23="resign",$BH23="end",$BH23="terminated",$BH23="permanent"),"TRUE","FALSE")</formula>
    </cfRule>
  </conditionalFormatting>
  <conditionalFormatting sqref="B23:C23">
    <cfRule type="expression" dxfId="2167" priority="59" stopIfTrue="1">
      <formula>IF(OR($BH23="not",$BH23="resign",$BH23="resign",$BH23="end",$BH23="terminated",$BH23="permanent"),"TRUE","FALSE")</formula>
    </cfRule>
  </conditionalFormatting>
  <conditionalFormatting sqref="Z23">
    <cfRule type="expression" dxfId="2168" priority="60" stopIfTrue="1">
      <formula>IF(OR($BH23="not",$BH23="resign",$BH23="resign",$BH23="end",$BH23="terminated",$BH23="permanent"),"TRUE","FALSE")</formula>
    </cfRule>
  </conditionalFormatting>
  <conditionalFormatting sqref="AA23">
    <cfRule type="expression" dxfId="2169" priority="61" stopIfTrue="1">
      <formula>IF(OR($BH23="not",$BH23="resign",$BH23="resign",$BH23="end",$BH23="terminated",$BH23="permanent"),"TRUE","FALSE")</formula>
    </cfRule>
  </conditionalFormatting>
  <conditionalFormatting sqref="D23:E23">
    <cfRule type="expression" dxfId="2170" priority="62" stopIfTrue="1">
      <formula>IF(OR($BH23="not",$BH23="resign",$BH23="resign",$BH23="end",$BH23="terminated",$BH23="permanent"),"TRUE","FALSE")</formula>
    </cfRule>
  </conditionalFormatting>
  <conditionalFormatting sqref="N58">
    <cfRule type="expression" dxfId="2171" priority="63" stopIfTrue="1">
      <formula>IF(OR(#REF!="not",#REF!="resign",#REF!="resign",#REF!="end",#REF!="terminated",#REF!="permanent"),"TRUE","FALSE")</formula>
    </cfRule>
  </conditionalFormatting>
  <conditionalFormatting sqref="O58">
    <cfRule type="expression" dxfId="2172" priority="64" stopIfTrue="1">
      <formula>IF(OR(#REF!="not",#REF!="resign",#REF!="resign",#REF!="end",#REF!="terminated",#REF!="permanent"),"TRUE","FALSE")</formula>
    </cfRule>
  </conditionalFormatting>
  <conditionalFormatting sqref="AE23">
    <cfRule type="expression" dxfId="2173" priority="65" stopIfTrue="1">
      <formula>IF(OR($BH23="not",$BH23="resign",$BH23="resign",$BH23="end",$BH23="terminated",$BH23="permanent"),"TRUE","FALSE")</formula>
    </cfRule>
  </conditionalFormatting>
  <conditionalFormatting sqref="Q24:W24">
    <cfRule type="expression" dxfId="2174" priority="66" stopIfTrue="1">
      <formula>IF(OR($BH24="not",$BH24="resign",$BH24="resign",$BH24="end",$BH24="terminated",$BH24="permanent"),"TRUE","FALSE")</formula>
    </cfRule>
  </conditionalFormatting>
  <conditionalFormatting sqref="F24:M24">
    <cfRule type="expression" dxfId="2175" priority="67" stopIfTrue="1">
      <formula>IF(OR($BH24="not",$BH24="resign",$BH24="resign",$BH24="end",$BH24="terminated",$BH24="permanent"),"TRUE","FALSE")</formula>
    </cfRule>
  </conditionalFormatting>
  <conditionalFormatting sqref="B24:C24">
    <cfRule type="expression" dxfId="2176" priority="68" stopIfTrue="1">
      <formula>IF(OR($BH24="not",$BH24="resign",$BH24="resign",$BH24="end",$BH24="terminated",$BH24="permanent"),"TRUE","FALSE")</formula>
    </cfRule>
  </conditionalFormatting>
  <conditionalFormatting sqref="Z24">
    <cfRule type="expression" dxfId="2177" priority="69" stopIfTrue="1">
      <formula>IF(OR($BH24="not",$BH24="resign",$BH24="resign",$BH24="end",$BH24="terminated",$BH24="permanent"),"TRUE","FALSE")</formula>
    </cfRule>
  </conditionalFormatting>
  <conditionalFormatting sqref="AA24">
    <cfRule type="expression" dxfId="2178" priority="70" stopIfTrue="1">
      <formula>IF(OR($BH24="not",$BH24="resign",$BH24="resign",$BH24="end",$BH24="terminated",$BH24="permanent"),"TRUE","FALSE")</formula>
    </cfRule>
  </conditionalFormatting>
  <conditionalFormatting sqref="D24:E24">
    <cfRule type="expression" dxfId="2179" priority="71" stopIfTrue="1">
      <formula>IF(OR($BH24="not",$BH24="resign",$BH24="resign",$BH24="end",$BH24="terminated",$BH24="permanent"),"TRUE","FALSE")</formula>
    </cfRule>
  </conditionalFormatting>
  <conditionalFormatting sqref="AE24">
    <cfRule type="expression" dxfId="2180" priority="72" stopIfTrue="1">
      <formula>IF(OR($BH24="not",$BH24="resign",$BH24="resign",$BH24="end",$BH24="terminated",$BH24="permanent"),"TRUE","FALSE")</formula>
    </cfRule>
  </conditionalFormatting>
  <conditionalFormatting sqref="L19">
    <cfRule type="expression" dxfId="2181" priority="73" stopIfTrue="1">
      <formula>IF(OR($BH19="not",$BH19="resign",$BH19="resign",$BH19="end",$BH19="terminated",$BH19="permanent"),"TRUE","FALSE")</formula>
    </cfRule>
  </conditionalFormatting>
  <conditionalFormatting sqref="L20">
    <cfRule type="expression" dxfId="2182" priority="74" stopIfTrue="1">
      <formula>IF(OR($BH20="not",$BH20="resign",$BH20="resign",$BH20="end",$BH20="terminated",$BH20="permanent"),"TRUE","FALSE")</formula>
    </cfRule>
  </conditionalFormatting>
  <conditionalFormatting sqref="L21">
    <cfRule type="expression" dxfId="2183" priority="75" stopIfTrue="1">
      <formula>IF(OR($BH21="not",$BH21="resign",$BH21="resign",$BH21="end",$BH21="terminated",$BH21="permanent"),"TRUE","FALSE")</formula>
    </cfRule>
  </conditionalFormatting>
  <conditionalFormatting sqref="R17:R18">
    <cfRule type="expression" dxfId="2184" priority="76" stopIfTrue="1">
      <formula>IF(OR($BH17="not",$BH17="resign",$BH17="resign",$BH17="end",$BH17="terminated",$BH17="permanent"),"TRUE","FALSE")</formula>
    </cfRule>
  </conditionalFormatting>
  <conditionalFormatting sqref="P17:P18">
    <cfRule type="expression" dxfId="2185" priority="77" stopIfTrue="1">
      <formula>IF(OR($BH17="not",$BH17="resign",$BH17="resign",$BH17="end",$BH17="terminated",$BH17="permanent"),"TRUE","FALSE")</formula>
    </cfRule>
  </conditionalFormatting>
  <conditionalFormatting sqref="Q17:Q18">
    <cfRule type="expression" dxfId="2186" priority="78" stopIfTrue="1">
      <formula>IF(OR($BH17="not",$BH17="resign",$BH17="resign",$BH17="end",$BH17="terminated",$BH17="permanent"),"TRUE","FALSE")</formula>
    </cfRule>
  </conditionalFormatting>
  <conditionalFormatting sqref="T17:T18">
    <cfRule type="expression" dxfId="2187" priority="79" stopIfTrue="1">
      <formula>IF(OR($BH17="not",$BH17="resign",$BH17="resign",$BH17="end",$BH17="terminated",$BH17="permanent"),"TRUE","FALSE")</formula>
    </cfRule>
  </conditionalFormatting>
  <conditionalFormatting sqref="K23">
    <cfRule type="expression" dxfId="2188" priority="80" stopIfTrue="1">
      <formula>IF(OR($BH23="not",$BH23="resign",$BH23="resign",$BH23="end",$BH23="terminated",$BH23="permanent"),"TRUE","FALSE")</formula>
    </cfRule>
  </conditionalFormatting>
  <conditionalFormatting sqref="Z60:AO60;B60">
    <cfRule type="expression" dxfId="2189" priority="81" stopIfTrue="1">
      <formula>IF(OR(#REF!="not",#REF!="resign",#REF!="resign",#REF!="end",#REF!="terminated",#REF!="permanent"),"TRUE","FALSE")</formula>
    </cfRule>
  </conditionalFormatting>
  <conditionalFormatting sqref="Q60:W60">
    <cfRule type="expression" dxfId="2190" priority="82" stopIfTrue="1">
      <formula>IF(OR(#REF!="not",#REF!="resign",#REF!="resign",#REF!="end",#REF!="terminated",#REF!="permanent"),"TRUE","FALSE")</formula>
    </cfRule>
  </conditionalFormatting>
  <conditionalFormatting sqref="F60:M60">
    <cfRule type="expression" dxfId="2191" priority="83" stopIfTrue="1">
      <formula>IF(OR(#REF!="not",#REF!="resign",#REF!="resign",#REF!="end",#REF!="terminated",#REF!="permanent"),"TRUE","FALSE")</formula>
    </cfRule>
  </conditionalFormatting>
  <conditionalFormatting sqref="C60">
    <cfRule type="expression" dxfId="2192" priority="84" stopIfTrue="1">
      <formula>IF(OR(#REF!="not",#REF!="resign",#REF!="resign",#REF!="end",#REF!="terminated",#REF!="permanent"),"TRUE","FALSE")</formula>
    </cfRule>
  </conditionalFormatting>
  <conditionalFormatting sqref="D60:E60">
    <cfRule type="expression" dxfId="2193" priority="85" stopIfTrue="1">
      <formula>IF(OR(#REF!="not",#REF!="resign",#REF!="resign",#REF!="end",#REF!="terminated",#REF!="permanent"),"TRUE","FALSE")</formula>
    </cfRule>
  </conditionalFormatting>
  <conditionalFormatting sqref="X60:Y60">
    <cfRule type="expression" dxfId="2194" priority="86" stopIfTrue="1">
      <formula>IF(OR(#REF!="not",#REF!="resign",#REF!="resign",#REF!="end",#REF!="terminated",#REF!="permanent"),"TRUE","FALSE")</formula>
    </cfRule>
  </conditionalFormatting>
  <conditionalFormatting sqref="AN18">
    <cfRule type="expression" dxfId="2195" priority="87" stopIfTrue="1">
      <formula>IF(OR($BH18="not",$BH18="resign",$BH18="resign",$BH18="end",$BH18="terminated",$BH18="permanent"),"TRUE","FALSE")</formula>
    </cfRule>
  </conditionalFormatting>
  <conditionalFormatting sqref="AA25:AE25">
    <cfRule type="expression" dxfId="2196" priority="88" stopIfTrue="1">
      <formula>IF(OR($BH25="not",$BH25="resign",$BH25="resign",$BH25="end",$BH25="terminated",$BH25="permanent"),"TRUE","FALSE")</formula>
    </cfRule>
  </conditionalFormatting>
  <conditionalFormatting sqref="Z25">
    <cfRule type="expression" dxfId="2197" priority="89" stopIfTrue="1">
      <formula>IF(OR($BH25="not",$BH25="resign",$BH25="resign",$BH25="end",$BH25="terminated",$BH25="permanent"),"TRUE","FALSE")</formula>
    </cfRule>
  </conditionalFormatting>
  <conditionalFormatting sqref="B29:E29">
    <cfRule type="expression" dxfId="2198" priority="90" stopIfTrue="1">
      <formula>IF(OR($BH29="not",$BH29="resign",$BH29="resign",$BH29="end",$BH29="terminated",$BH29="permanent"),"TRUE","FALSE")</formula>
    </cfRule>
  </conditionalFormatting>
  <conditionalFormatting sqref="C30:G30">
    <cfRule type="expression" dxfId="2199" priority="91" stopIfTrue="1">
      <formula>IF(OR($BH30="not",$BH30="resign",$BH30="resign",$BH30="end",$BH30="terminated",$BH30="permanent"),"TRUE","FALSE")</formula>
    </cfRule>
  </conditionalFormatting>
  <conditionalFormatting sqref="C31:G31">
    <cfRule type="expression" dxfId="2200" priority="92" stopIfTrue="1">
      <formula>IF(OR($BH31="not",$BH31="resign",$BH31="resign",$BH31="end",$BH31="terminated",$BH31="permanent"),"TRUE","FALSE")</formula>
    </cfRule>
  </conditionalFormatting>
  <conditionalFormatting sqref="B32:G32">
    <cfRule type="expression" dxfId="2201" priority="93" stopIfTrue="1">
      <formula>IF(OR($BH32="not",$BH32="resign",$BH32="resign",$BH32="end",$BH32="terminated",$BH32="permanent"),"TRUE","FALSE")</formula>
    </cfRule>
  </conditionalFormatting>
  <conditionalFormatting sqref="Z30:Z34">
    <cfRule type="expression" dxfId="2202" priority="94" stopIfTrue="1">
      <formula>IF(OR($BH30="not",$BH30="resign",$BH30="resign",$BH30="end",$BH30="terminated",$BH30="permanent"),"TRUE","FALSE")</formula>
    </cfRule>
  </conditionalFormatting>
  <conditionalFormatting sqref="O22">
    <cfRule type="expression" dxfId="2203" priority="95" stopIfTrue="1">
      <formula>IF(OR($BH22="not",$BH22="resign",$BH22="resign",$BH22="end",$BH22="terminated",$BH22="permanent"),"TRUE","FALSE")</formula>
    </cfRule>
  </conditionalFormatting>
  <conditionalFormatting sqref="N22">
    <cfRule type="expression" dxfId="2204" priority="96" stopIfTrue="1">
      <formula>IF(OR($BH22="not",$BH22="resign",$BH22="resign",$BH22="end",$BH22="terminated",$BH22="permanent"),"TRUE","FALSE")</formula>
    </cfRule>
  </conditionalFormatting>
  <conditionalFormatting sqref="AA33:AO33">
    <cfRule type="expression" dxfId="2205" priority="97" stopIfTrue="1">
      <formula>IF(OR($BH33="not",$BH33="resign",$BH33="resign",$BH33="end",$BH33="terminated",$BH33="permanent"),"TRUE","FALSE")</formula>
    </cfRule>
  </conditionalFormatting>
  <conditionalFormatting sqref="C33:G33">
    <cfRule type="expression" dxfId="2206" priority="98" stopIfTrue="1">
      <formula>IF(OR($BH33="not",$BH33="resign",$BH33="resign",$BH33="end",$BH33="terminated",$BH33="permanent"),"TRUE","FALSE")</formula>
    </cfRule>
  </conditionalFormatting>
  <conditionalFormatting sqref="AA34:AN34">
    <cfRule type="expression" dxfId="2207" priority="99" stopIfTrue="1">
      <formula>IF(OR($BH34="not",$BH34="resign",$BH34="resign",$BH34="end",$BH34="terminated",$BH34="permanent"),"TRUE","FALSE")</formula>
    </cfRule>
  </conditionalFormatting>
  <conditionalFormatting sqref="C34:G34">
    <cfRule type="expression" dxfId="2208" priority="100" stopIfTrue="1">
      <formula>IF(OR($BH34="not",$BH34="resign",$BH34="resign",$BH34="end",$BH34="terminated",$BH34="permanent"),"TRUE","FALSE")</formula>
    </cfRule>
  </conditionalFormatting>
  <conditionalFormatting sqref="H30:H34">
    <cfRule type="expression" dxfId="2209" priority="101" stopIfTrue="1">
      <formula>IF(OR($BH30="not",$BH30="resign",$BH30="resign",$BH30="end",$BH30="terminated",$BH30="permanent"),"TRUE","FALSE")</formula>
    </cfRule>
  </conditionalFormatting>
  <conditionalFormatting sqref="X33:Y33">
    <cfRule type="expression" dxfId="2210" priority="102" stopIfTrue="1">
      <formula>IF(OR($BH33="not",$BH33="resign",$BH33="resign",$BH33="end",$BH33="terminated",$BH33="permanent"),"TRUE","FALSE")</formula>
    </cfRule>
  </conditionalFormatting>
  <conditionalFormatting sqref="B33:B34">
    <cfRule type="expression" dxfId="2211" priority="103" stopIfTrue="1">
      <formula>IF(OR(#REF!="not",#REF!="resign",#REF!="resign",#REF!="end",#REF!="terminated",#REF!="permanent"),"TRUE","FALSE")</formula>
    </cfRule>
  </conditionalFormatting>
  <conditionalFormatting sqref="X61:Y61">
    <cfRule type="expression" dxfId="2212" priority="104" stopIfTrue="1">
      <formula>IF($Y61="warning",TRUE,FALSE)</formula>
    </cfRule>
  </conditionalFormatting>
  <conditionalFormatting sqref="I61">
    <cfRule type="expression" dxfId="2213" priority="105" stopIfTrue="1">
      <formula>IF(OR($BH61="not",$BH61="resign",$BH61="resign",$BH61="end",$BH61="terminated",$BH61="permanent"),"TRUE","FALSE")</formula>
    </cfRule>
  </conditionalFormatting>
  <conditionalFormatting sqref="B61:C61">
    <cfRule type="expression" dxfId="2214" priority="106" stopIfTrue="1">
      <formula>IF(OR($BH61="not",$BH61="resign",$BH61="resign",$BH61="end",$BH61="terminated",$BH61="permanent"),"TRUE","FALSE")</formula>
    </cfRule>
  </conditionalFormatting>
  <conditionalFormatting sqref="D61:E61">
    <cfRule type="expression" dxfId="2215" priority="107" stopIfTrue="1">
      <formula>IF(OR($BH61="not",$BH61="resign",$BH61="resign",$BH61="end",$BH61="terminated",$BH61="permanent"),"TRUE","FALSE")</formula>
    </cfRule>
  </conditionalFormatting>
  <conditionalFormatting sqref="K61">
    <cfRule type="expression" dxfId="2216" priority="108" stopIfTrue="1">
      <formula>IF(OR($BH61="not",$BH61="resign",$BH61="resign",$BH61="end",$BH61="terminated",$BH61="permanent"),"TRUE","FALSE")</formula>
    </cfRule>
  </conditionalFormatting>
  <conditionalFormatting sqref="N61:O61">
    <cfRule type="expression" dxfId="2217" priority="109" stopIfTrue="1">
      <formula>IF(OR($BH61="not",$BH61="resign",$BH61="resign",$BH61="end",$BH61="terminated",$BH61="permanent"),"TRUE","FALSE")</formula>
    </cfRule>
  </conditionalFormatting>
  <conditionalFormatting sqref="Z35">
    <cfRule type="expression" dxfId="2218" priority="110" stopIfTrue="1">
      <formula>IF(OR($BH35="not",$BH35="resign",$BH35="resign",$BH35="end",$BH35="terminated",$BH35="permanent"),"TRUE","FALSE")</formula>
    </cfRule>
  </conditionalFormatting>
  <conditionalFormatting sqref="AA35:AO35">
    <cfRule type="expression" dxfId="2219" priority="111" stopIfTrue="1">
      <formula>IF(OR($BH35="not",$BH35="resign",$BH35="resign",$BH35="end",$BH35="terminated",$BH35="permanent"),"TRUE","FALSE")</formula>
    </cfRule>
  </conditionalFormatting>
  <conditionalFormatting sqref="C35:G35">
    <cfRule type="expression" dxfId="2220" priority="112" stopIfTrue="1">
      <formula>IF(OR($BH35="not",$BH35="resign",$BH35="resign",$BH35="end",$BH35="terminated",$BH35="permanent"),"TRUE","FALSE")</formula>
    </cfRule>
  </conditionalFormatting>
  <conditionalFormatting sqref="Z36">
    <cfRule type="expression" dxfId="2221" priority="113" stopIfTrue="1">
      <formula>IF(OR($BH36="not",$BH36="resign",$BH36="resign",$BH36="end",$BH36="terminated",$BH36="permanent"),"TRUE","FALSE")</formula>
    </cfRule>
  </conditionalFormatting>
  <conditionalFormatting sqref="B35">
    <cfRule type="expression" dxfId="2222" priority="114" stopIfTrue="1">
      <formula>IF(OR(#REF!="not",#REF!="resign",#REF!="resign",#REF!="end",#REF!="terminated",#REF!="permanent"),"TRUE","FALSE")</formula>
    </cfRule>
  </conditionalFormatting>
  <conditionalFormatting sqref="AA36:AO36">
    <cfRule type="expression" dxfId="2223" priority="115" stopIfTrue="1">
      <formula>IF(OR($BH36="not",$BH36="resign",$BH36="resign",$BH36="end",$BH36="terminated",$BH36="permanent"),"TRUE","FALSE")</formula>
    </cfRule>
  </conditionalFormatting>
  <conditionalFormatting sqref="C36:G36">
    <cfRule type="expression" dxfId="2224" priority="116" stopIfTrue="1">
      <formula>IF(OR($BH36="not",$BH36="resign",$BH36="resign",$BH36="end",$BH36="terminated",$BH36="permanent"),"TRUE","FALSE")</formula>
    </cfRule>
  </conditionalFormatting>
  <conditionalFormatting sqref="Z37">
    <cfRule type="expression" dxfId="2225" priority="117" stopIfTrue="1">
      <formula>IF(OR($BH37="not",$BH37="resign",$BH37="resign",$BH37="end",$BH37="terminated",$BH37="permanent"),"TRUE","FALSE")</formula>
    </cfRule>
  </conditionalFormatting>
  <conditionalFormatting sqref="B36">
    <cfRule type="expression" dxfId="2226" priority="118" stopIfTrue="1">
      <formula>IF(OR(#REF!="not",#REF!="resign",#REF!="resign",#REF!="end",#REF!="terminated",#REF!="permanent"),"TRUE","FALSE")</formula>
    </cfRule>
  </conditionalFormatting>
  <conditionalFormatting sqref="AA37:AO37">
    <cfRule type="expression" dxfId="2227" priority="119" stopIfTrue="1">
      <formula>IF(OR($BH37="not",$BH37="resign",$BH37="resign",$BH37="end",$BH37="terminated",$BH37="permanent"),"TRUE","FALSE")</formula>
    </cfRule>
  </conditionalFormatting>
  <conditionalFormatting sqref="C37:G37">
    <cfRule type="expression" dxfId="2228" priority="120" stopIfTrue="1">
      <formula>IF(OR($BH37="not",$BH37="resign",$BH37="resign",$BH37="end",$BH37="terminated",$BH37="permanent"),"TRUE","FALSE")</formula>
    </cfRule>
  </conditionalFormatting>
  <conditionalFormatting sqref="B37">
    <cfRule type="expression" dxfId="2229" priority="121" stopIfTrue="1">
      <formula>IF(OR(#REF!="not",#REF!="resign",#REF!="resign",#REF!="end",#REF!="terminated",#REF!="permanent"),"TRUE","FALSE")</formula>
    </cfRule>
  </conditionalFormatting>
  <conditionalFormatting sqref="H35:H37">
    <cfRule type="expression" dxfId="2230" priority="122" stopIfTrue="1">
      <formula>IF(OR($BH35="not",$BH35="resign",$BH35="resign",$BH35="end",$BH35="terminated",$BH35="permanent"),"TRUE","FALSE")</formula>
    </cfRule>
  </conditionalFormatting>
  <conditionalFormatting sqref="Z38">
    <cfRule type="expression" dxfId="2231" priority="123" stopIfTrue="1">
      <formula>IF(OR($BH38="not",$BH38="resign",$BH38="resign",$BH38="end",$BH38="terminated",$BH38="permanent"),"TRUE","FALSE")</formula>
    </cfRule>
  </conditionalFormatting>
  <conditionalFormatting sqref="AA38:AO38">
    <cfRule type="expression" dxfId="2232" priority="124" stopIfTrue="1">
      <formula>IF(OR($BH38="not",$BH38="resign",$BH38="resign",$BH38="end",$BH38="terminated",$BH38="permanent"),"TRUE","FALSE")</formula>
    </cfRule>
  </conditionalFormatting>
  <conditionalFormatting sqref="C38:G38">
    <cfRule type="expression" dxfId="2233" priority="125" stopIfTrue="1">
      <formula>IF(OR($BH38="not",$BH38="resign",$BH38="resign",$BH38="end",$BH38="terminated",$BH38="permanent"),"TRUE","FALSE")</formula>
    </cfRule>
  </conditionalFormatting>
  <conditionalFormatting sqref="B38">
    <cfRule type="expression" dxfId="2234" priority="126" stopIfTrue="1">
      <formula>IF(OR(#REF!="not",#REF!="resign",#REF!="resign",#REF!="end",#REF!="terminated",#REF!="permanent"),"TRUE","FALSE")</formula>
    </cfRule>
  </conditionalFormatting>
  <conditionalFormatting sqref="Q63:Z63;H63:M63">
    <cfRule type="expression" dxfId="2235" priority="127" stopIfTrue="1">
      <formula>IF(OR(#REF!="not",#REF!="resign",#REF!="resign",#REF!="end",#REF!="terminated",#REF!="permanent"),"TRUE","FALSE")</formula>
    </cfRule>
  </conditionalFormatting>
  <conditionalFormatting sqref="AA63:AO63">
    <cfRule type="expression" dxfId="2236" priority="128" stopIfTrue="1">
      <formula>IF(OR(#REF!="not",#REF!="resign",#REF!="resign",#REF!="end",#REF!="terminated",#REF!="permanent"),"TRUE","FALSE")</formula>
    </cfRule>
  </conditionalFormatting>
  <conditionalFormatting sqref="C63:G63">
    <cfRule type="expression" dxfId="2237" priority="129" stopIfTrue="1">
      <formula>IF(OR(#REF!="not",#REF!="resign",#REF!="resign",#REF!="end",#REF!="terminated",#REF!="permanent"),"TRUE","FALSE")</formula>
    </cfRule>
  </conditionalFormatting>
  <conditionalFormatting sqref="B63">
    <cfRule type="expression" dxfId="2238" priority="130" stopIfTrue="1">
      <formula>IF(OR(#REF!="not",#REF!="resign",#REF!="resign",#REF!="end",#REF!="terminated",#REF!="permanent"),"TRUE","FALSE")</formula>
    </cfRule>
  </conditionalFormatting>
  <conditionalFormatting sqref="Z39">
    <cfRule type="expression" dxfId="2239" priority="131" stopIfTrue="1">
      <formula>IF(OR($BH39="not",$BH39="resign",$BH39="resign",$BH39="end",$BH39="terminated",$BH39="permanent"),"TRUE","FALSE")</formula>
    </cfRule>
  </conditionalFormatting>
  <conditionalFormatting sqref="AA39:AO39">
    <cfRule type="expression" dxfId="2240" priority="132" stopIfTrue="1">
      <formula>IF(OR($BH39="not",$BH39="resign",$BH39="resign",$BH39="end",$BH39="terminated",$BH39="permanent"),"TRUE","FALSE")</formula>
    </cfRule>
  </conditionalFormatting>
  <conditionalFormatting sqref="C39:G39">
    <cfRule type="expression" dxfId="2241" priority="133" stopIfTrue="1">
      <formula>IF(OR($BH39="not",$BH39="resign",$BH39="resign",$BH39="end",$BH39="terminated",$BH39="permanent"),"TRUE","FALSE")</formula>
    </cfRule>
  </conditionalFormatting>
  <conditionalFormatting sqref="B39">
    <cfRule type="expression" dxfId="2242" priority="134" stopIfTrue="1">
      <formula>IF(OR(#REF!="not",#REF!="resign",#REF!="resign",#REF!="end",#REF!="terminated",#REF!="permanent"),"TRUE","FALSE")</formula>
    </cfRule>
  </conditionalFormatting>
  <conditionalFormatting sqref="H39">
    <cfRule type="expression" dxfId="2243" priority="135" stopIfTrue="1">
      <formula>IF(OR($BH39="not",$BH39="resign",$BH39="resign",$BH39="end",$BH39="terminated",$BH39="permanent"),"TRUE","FALSE")</formula>
    </cfRule>
  </conditionalFormatting>
  <conditionalFormatting sqref="B62:M62">
    <cfRule type="expression" dxfId="2244" priority="136" stopIfTrue="1">
      <formula>IF(OR($BH62="not",$BH62="resign",$BH62="resign",$BH62="end",$BH62="terminated",$BH62="permanent"),"TRUE","FALSE")</formula>
    </cfRule>
  </conditionalFormatting>
  <conditionalFormatting sqref="AO34">
    <cfRule type="expression" dxfId="2245" priority="137" stopIfTrue="1">
      <formula>IF(OR($BH34="not",$BH34="resign",$BH34="resign",$BH34="end",$BH34="terminated",$BH34="permanent"),"TRUE","FALSE")</formula>
    </cfRule>
  </conditionalFormatting>
  <conditionalFormatting sqref="Q40:W40;I40:M40">
    <cfRule type="expression" dxfId="2246" priority="138" stopIfTrue="1">
      <formula>IF(OR($BH40="not",$BH40="resign",$BH40="resign",$BH40="end",$BH40="terminated",$BH40="permanent"),"TRUE","FALSE")</formula>
    </cfRule>
  </conditionalFormatting>
  <conditionalFormatting sqref="Z40">
    <cfRule type="expression" dxfId="2247" priority="139" stopIfTrue="1">
      <formula>IF(OR($BH40="not",$BH40="resign",$BH40="resign",$BH40="end",$BH40="terminated",$BH40="permanent"),"TRUE","FALSE")</formula>
    </cfRule>
  </conditionalFormatting>
  <conditionalFormatting sqref="AA40:AO40">
    <cfRule type="expression" dxfId="2248" priority="140" stopIfTrue="1">
      <formula>IF(OR($BH40="not",$BH40="resign",$BH40="resign",$BH40="end",$BH40="terminated",$BH40="permanent"),"TRUE","FALSE")</formula>
    </cfRule>
  </conditionalFormatting>
  <conditionalFormatting sqref="C40:G40">
    <cfRule type="expression" dxfId="2249" priority="141" stopIfTrue="1">
      <formula>IF(OR($BH40="not",$BH40="resign",$BH40="resign",$BH40="end",$BH40="terminated",$BH40="permanent"),"TRUE","FALSE")</formula>
    </cfRule>
  </conditionalFormatting>
  <conditionalFormatting sqref="B40">
    <cfRule type="expression" dxfId="2250" priority="142" stopIfTrue="1">
      <formula>IF(OR(#REF!="not",#REF!="resign",#REF!="resign",#REF!="end",#REF!="terminated",#REF!="permanent"),"TRUE","FALSE")</formula>
    </cfRule>
  </conditionalFormatting>
  <conditionalFormatting sqref="H40">
    <cfRule type="expression" dxfId="2251" priority="143" stopIfTrue="1">
      <formula>IF(OR($BH40="not",$BH40="resign",$BH40="resign",$BH40="end",$BH40="terminated",$BH40="permanent"),"TRUE","FALSE")</formula>
    </cfRule>
  </conditionalFormatting>
  <conditionalFormatting sqref="Q41:W41;I41:M41">
    <cfRule type="expression" dxfId="2252" priority="144" stopIfTrue="1">
      <formula>IF(OR($BH41="not",$BH41="resign",$BH41="resign",$BH41="end",$BH41="terminated",$BH41="permanent"),"TRUE","FALSE")</formula>
    </cfRule>
  </conditionalFormatting>
  <conditionalFormatting sqref="Z41">
    <cfRule type="expression" dxfId="2253" priority="145" stopIfTrue="1">
      <formula>IF(OR($BH41="not",$BH41="resign",$BH41="resign",$BH41="end",$BH41="terminated",$BH41="permanent"),"TRUE","FALSE")</formula>
    </cfRule>
  </conditionalFormatting>
  <conditionalFormatting sqref="AA41:AO41">
    <cfRule type="expression" dxfId="2254" priority="146" stopIfTrue="1">
      <formula>IF(OR($BH41="not",$BH41="resign",$BH41="resign",$BH41="end",$BH41="terminated",$BH41="permanent"),"TRUE","FALSE")</formula>
    </cfRule>
  </conditionalFormatting>
  <conditionalFormatting sqref="C41:G41">
    <cfRule type="expression" dxfId="2255" priority="147" stopIfTrue="1">
      <formula>IF(OR($BH41="not",$BH41="resign",$BH41="resign",$BH41="end",$BH41="terminated",$BH41="permanent"),"TRUE","FALSE")</formula>
    </cfRule>
  </conditionalFormatting>
  <conditionalFormatting sqref="B41">
    <cfRule type="expression" dxfId="2256" priority="148" stopIfTrue="1">
      <formula>IF(OR(#REF!="not",#REF!="resign",#REF!="resign",#REF!="end",#REF!="terminated",#REF!="permanent"),"TRUE","FALSE")</formula>
    </cfRule>
  </conditionalFormatting>
  <conditionalFormatting sqref="Q42:W42;I42:M42">
    <cfRule type="expression" dxfId="2257" priority="149" stopIfTrue="1">
      <formula>IF(OR($BH42="not",$BH42="resign",$BH42="resign",$BH42="end",$BH42="terminated",$BH42="permanent"),"TRUE","FALSE")</formula>
    </cfRule>
  </conditionalFormatting>
  <conditionalFormatting sqref="Z42">
    <cfRule type="expression" dxfId="2258" priority="150" stopIfTrue="1">
      <formula>IF(OR($BH42="not",$BH42="resign",$BH42="resign",$BH42="end",$BH42="terminated",$BH42="permanent"),"TRUE","FALSE")</formula>
    </cfRule>
  </conditionalFormatting>
  <conditionalFormatting sqref="AA42:AO42">
    <cfRule type="expression" dxfId="2259" priority="151" stopIfTrue="1">
      <formula>IF(OR($BH42="not",$BH42="resign",$BH42="resign",$BH42="end",$BH42="terminated",$BH42="permanent"),"TRUE","FALSE")</formula>
    </cfRule>
  </conditionalFormatting>
  <conditionalFormatting sqref="C42:G42">
    <cfRule type="expression" dxfId="2260" priority="152" stopIfTrue="1">
      <formula>IF(OR($BH42="not",$BH42="resign",$BH42="resign",$BH42="end",$BH42="terminated",$BH42="permanent"),"TRUE","FALSE")</formula>
    </cfRule>
  </conditionalFormatting>
  <conditionalFormatting sqref="B42">
    <cfRule type="expression" dxfId="2261" priority="153" stopIfTrue="1">
      <formula>IF(OR(#REF!="not",#REF!="resign",#REF!="resign",#REF!="end",#REF!="terminated",#REF!="permanent"),"TRUE","FALSE")</formula>
    </cfRule>
  </conditionalFormatting>
  <conditionalFormatting sqref="H41:H42">
    <cfRule type="expression" dxfId="2262" priority="154" stopIfTrue="1">
      <formula>IF(OR($BH41="not",$BH41="resign",$BH41="resign",$BH41="end",$BH41="terminated",$BH41="permanent"),"TRUE","FALSE")</formula>
    </cfRule>
  </conditionalFormatting>
  <conditionalFormatting sqref="Q43:W43;I43:M43">
    <cfRule type="expression" dxfId="2263" priority="155" stopIfTrue="1">
      <formula>IF(OR($BH43="not",$BH43="resign",$BH43="resign",$BH43="end",$BH43="terminated",$BH43="permanent"),"TRUE","FALSE")</formula>
    </cfRule>
  </conditionalFormatting>
  <conditionalFormatting sqref="AA43:AO43">
    <cfRule type="expression" dxfId="2264" priority="156" stopIfTrue="1">
      <formula>IF(OR($BH43="not",$BH43="resign",$BH43="resign",$BH43="end",$BH43="terminated",$BH43="permanent"),"TRUE","FALSE")</formula>
    </cfRule>
  </conditionalFormatting>
  <conditionalFormatting sqref="C43:G43">
    <cfRule type="expression" dxfId="2265" priority="157" stopIfTrue="1">
      <formula>IF(OR($BH43="not",$BH43="resign",$BH43="resign",$BH43="end",$BH43="terminated",$BH43="permanent"),"TRUE","FALSE")</formula>
    </cfRule>
  </conditionalFormatting>
  <conditionalFormatting sqref="B43">
    <cfRule type="expression" dxfId="2266" priority="158" stopIfTrue="1">
      <formula>IF(OR(#REF!="not",#REF!="resign",#REF!="resign",#REF!="end",#REF!="terminated",#REF!="permanent"),"TRUE","FALSE")</formula>
    </cfRule>
  </conditionalFormatting>
  <conditionalFormatting sqref="Q44:W44;I44:M44">
    <cfRule type="expression" dxfId="2267" priority="159" stopIfTrue="1">
      <formula>IF(OR($BH44="not",$BH44="resign",$BH44="resign",$BH44="end",$BH44="terminated",$BH44="permanent"),"TRUE","FALSE")</formula>
    </cfRule>
  </conditionalFormatting>
  <conditionalFormatting sqref="C44:G44">
    <cfRule type="expression" dxfId="2268" priority="160" stopIfTrue="1">
      <formula>IF(OR($BH44="not",$BH44="resign",$BH44="resign",$BH44="end",$BH44="terminated",$BH44="permanent"),"TRUE","FALSE")</formula>
    </cfRule>
  </conditionalFormatting>
  <conditionalFormatting sqref="AA44:AO44">
    <cfRule type="expression" dxfId="2269" priority="161" stopIfTrue="1">
      <formula>IF(OR($BH44="not",$BH44="resign",$BH44="resign",$BH44="end",$BH44="terminated",$BH44="permanent"),"TRUE","FALSE")</formula>
    </cfRule>
  </conditionalFormatting>
  <conditionalFormatting sqref="B44">
    <cfRule type="expression" dxfId="2270" priority="162" stopIfTrue="1">
      <formula>IF(OR(#REF!="not",#REF!="resign",#REF!="resign",#REF!="end",#REF!="terminated",#REF!="permanent"),"TRUE","FALSE")</formula>
    </cfRule>
  </conditionalFormatting>
  <conditionalFormatting sqref="Z43">
    <cfRule type="expression" dxfId="2271" priority="163" stopIfTrue="1">
      <formula>IF(OR($BH43="not",$BH43="resign",$BH43="resign",$BH43="end",$BH43="terminated",$BH43="permanent"),"TRUE","FALSE")</formula>
    </cfRule>
  </conditionalFormatting>
  <conditionalFormatting sqref="Z44">
    <cfRule type="expression" dxfId="2272" priority="164" stopIfTrue="1">
      <formula>IF(OR($BH44="not",$BH44="resign",$BH44="resign",$BH44="end",$BH44="terminated",$BH44="permanent"),"TRUE","FALSE")</formula>
    </cfRule>
  </conditionalFormatting>
  <conditionalFormatting sqref="H43:H44">
    <cfRule type="expression" dxfId="2273" priority="165" stopIfTrue="1">
      <formula>IF(OR($BH43="not",$BH43="resign",$BH43="resign",$BH43="end",$BH43="terminated",$BH43="permanent"),"TRUE","FALSE")</formula>
    </cfRule>
  </conditionalFormatting>
  <conditionalFormatting sqref="X45:Y45">
    <cfRule type="expression" dxfId="2274" priority="166" stopIfTrue="1">
      <formula>IF(OR($BH45="not",$BH45="resign",$BH45="resign",$BH45="end",$BH45="terminated",$BH45="permanent"),"TRUE","FALSE")</formula>
    </cfRule>
  </conditionalFormatting>
  <conditionalFormatting sqref="Q45:W45;I45:M45">
    <cfRule type="expression" dxfId="2275" priority="167" stopIfTrue="1">
      <formula>IF(OR($BH45="not",$BH45="resign",$BH45="resign",$BH45="end",$BH45="terminated",$BH45="permanent"),"TRUE","FALSE")</formula>
    </cfRule>
  </conditionalFormatting>
  <conditionalFormatting sqref="C45:G45">
    <cfRule type="expression" dxfId="2276" priority="168" stopIfTrue="1">
      <formula>IF(OR($BH45="not",$BH45="resign",$BH45="resign",$BH45="end",$BH45="terminated",$BH45="permanent"),"TRUE","FALSE")</formula>
    </cfRule>
  </conditionalFormatting>
  <conditionalFormatting sqref="AA45:AO45">
    <cfRule type="expression" dxfId="2277" priority="169" stopIfTrue="1">
      <formula>IF(OR($BH45="not",$BH45="resign",$BH45="resign",$BH45="end",$BH45="terminated",$BH45="permanent"),"TRUE","FALSE")</formula>
    </cfRule>
  </conditionalFormatting>
  <conditionalFormatting sqref="B45">
    <cfRule type="expression" dxfId="2278" priority="170" stopIfTrue="1">
      <formula>IF(OR(#REF!="not",#REF!="resign",#REF!="resign",#REF!="end",#REF!="terminated",#REF!="permanent"),"TRUE","FALSE")</formula>
    </cfRule>
  </conditionalFormatting>
  <conditionalFormatting sqref="Z45">
    <cfRule type="expression" dxfId="2279" priority="171" stopIfTrue="1">
      <formula>IF(OR($BH45="not",$BH45="resign",$BH45="resign",$BH45="end",$BH45="terminated",$BH45="permanent"),"TRUE","FALSE")</formula>
    </cfRule>
  </conditionalFormatting>
  <conditionalFormatting sqref="H45">
    <cfRule type="expression" dxfId="2280" priority="172" stopIfTrue="1">
      <formula>IF(OR($BH45="not",$BH45="resign",$BH45="resign",$BH45="end",$BH45="terminated",$BH45="permanent"),"TRUE","FALSE")</formula>
    </cfRule>
  </conditionalFormatting>
  <conditionalFormatting sqref="X46:Y46">
    <cfRule type="expression" dxfId="2281" priority="173" stopIfTrue="1">
      <formula>IF(OR($BH46="not",$BH46="resign",$BH46="resign",$BH46="end",$BH46="terminated",$BH46="permanent"),"TRUE","FALSE")</formula>
    </cfRule>
  </conditionalFormatting>
  <conditionalFormatting sqref="Q46:W46;I46:M46">
    <cfRule type="expression" dxfId="2282" priority="174" stopIfTrue="1">
      <formula>IF(OR($BH46="not",$BH46="resign",$BH46="resign",$BH46="end",$BH46="terminated",$BH46="permanent"),"TRUE","FALSE")</formula>
    </cfRule>
  </conditionalFormatting>
  <conditionalFormatting sqref="C46:G46">
    <cfRule type="expression" dxfId="2283" priority="175" stopIfTrue="1">
      <formula>IF(OR($BH46="not",$BH46="resign",$BH46="resign",$BH46="end",$BH46="terminated",$BH46="permanent"),"TRUE","FALSE")</formula>
    </cfRule>
  </conditionalFormatting>
  <conditionalFormatting sqref="AA46:AO46">
    <cfRule type="expression" dxfId="2284" priority="176" stopIfTrue="1">
      <formula>IF(OR($BH46="not",$BH46="resign",$BH46="resign",$BH46="end",$BH46="terminated",$BH46="permanent"),"TRUE","FALSE")</formula>
    </cfRule>
  </conditionalFormatting>
  <conditionalFormatting sqref="B46">
    <cfRule type="expression" dxfId="2285" priority="177" stopIfTrue="1">
      <formula>IF(OR(#REF!="not",#REF!="resign",#REF!="resign",#REF!="end",#REF!="terminated",#REF!="permanent"),"TRUE","FALSE")</formula>
    </cfRule>
  </conditionalFormatting>
  <conditionalFormatting sqref="Z46">
    <cfRule type="expression" dxfId="2286" priority="178" stopIfTrue="1">
      <formula>IF(OR($BH46="not",$BH46="resign",$BH46="resign",$BH46="end",$BH46="terminated",$BH46="permanent"),"TRUE","FALSE")</formula>
    </cfRule>
  </conditionalFormatting>
  <conditionalFormatting sqref="H46">
    <cfRule type="expression" dxfId="2287" priority="179" stopIfTrue="1">
      <formula>IF(OR($BH46="not",$BH46="resign",$BH46="resign",$BH46="end",$BH46="terminated",$BH46="permanent"),"TRUE","FALSE")</formula>
    </cfRule>
  </conditionalFormatting>
  <conditionalFormatting sqref="X47:Y47">
    <cfRule type="expression" dxfId="2288" priority="180" stopIfTrue="1">
      <formula>IF(OR($BH47="not",$BH47="resign",$BH47="resign",$BH47="end",$BH47="terminated",$BH47="permanent"),"TRUE","FALSE")</formula>
    </cfRule>
  </conditionalFormatting>
  <conditionalFormatting sqref="Q47:W47;I47:M47">
    <cfRule type="expression" dxfId="2289" priority="181" stopIfTrue="1">
      <formula>IF(OR($BH47="not",$BH47="resign",$BH47="resign",$BH47="end",$BH47="terminated",$BH47="permanent"),"TRUE","FALSE")</formula>
    </cfRule>
  </conditionalFormatting>
  <conditionalFormatting sqref="C47:G47">
    <cfRule type="expression" dxfId="2290" priority="182" stopIfTrue="1">
      <formula>IF(OR($BH47="not",$BH47="resign",$BH47="resign",$BH47="end",$BH47="terminated",$BH47="permanent"),"TRUE","FALSE")</formula>
    </cfRule>
  </conditionalFormatting>
  <conditionalFormatting sqref="AA47:AO47">
    <cfRule type="expression" dxfId="2291" priority="183" stopIfTrue="1">
      <formula>IF(OR($BH47="not",$BH47="resign",$BH47="resign",$BH47="end",$BH47="terminated",$BH47="permanent"),"TRUE","FALSE")</formula>
    </cfRule>
  </conditionalFormatting>
  <conditionalFormatting sqref="B47">
    <cfRule type="expression" dxfId="2292" priority="184" stopIfTrue="1">
      <formula>IF(OR(#REF!="not",#REF!="resign",#REF!="resign",#REF!="end",#REF!="terminated",#REF!="permanent"),"TRUE","FALSE")</formula>
    </cfRule>
  </conditionalFormatting>
  <conditionalFormatting sqref="Z47">
    <cfRule type="expression" dxfId="2293" priority="185" stopIfTrue="1">
      <formula>IF(OR($BH47="not",$BH47="resign",$BH47="resign",$BH47="end",$BH47="terminated",$BH47="permanent"),"TRUE","FALSE")</formula>
    </cfRule>
  </conditionalFormatting>
  <conditionalFormatting sqref="H47">
    <cfRule type="expression" dxfId="2294" priority="186" stopIfTrue="1">
      <formula>IF(OR($BH47="not",$BH47="resign",$BH47="resign",$BH47="end",$BH47="terminated",$BH47="permanent"),"TRUE","FALSE")</formula>
    </cfRule>
  </conditionalFormatting>
  <hyperlinks>
    <hyperlink ref="AN16" location="" display="sutarnoangga93@gmail.com"/>
    <hyperlink ref="AN59" location="" display="sutardjitardji@gmail.com"/>
    <hyperlink ref="AN58" location="" display="ucok1506@gmail.com"/>
    <hyperlink ref="AN54" location="" display="mutiara.amanah62@gmail.com"/>
    <hyperlink ref="AN19" location="" display="FEBRIANDA.86@gmail.com"/>
    <hyperlink ref="AN20" location="" display="achmad.mdlzwise@gmail.com"/>
    <hyperlink ref="AN21" location="" display="ERWINSENDIKO@gmail.com, erwin@corphr.com"/>
    <hyperlink ref="AN22" location="" display="octariayane@gmail.com"/>
    <hyperlink ref="AN23" location="" display="rizkiarmada@yahoo.co.id"/>
    <hyperlink ref="AN24" location="" display="wasistalegowo@gmail.com"/>
    <hyperlink ref="AN17" r:id="rId4" display="untoro.dnp@yahoo.co.id"/>
    <hyperlink ref="AN18" r:id="rId5" display="itbahbaniibrahim@gmail.com"/>
    <hyperlink ref="AN60" r:id="rId6" display="TATA.LUKYTA@GMAIL.COM"/>
    <hyperlink ref="AN25" r:id="rId7" display="billaasyifa@gmail.com"/>
    <hyperlink ref="AN27" r:id="rId8" display="FININRYNTI@GMAIL.COM"/>
    <hyperlink ref="AN28" r:id="rId9" display="NISA.SYARIFA26@GMAIL.COM"/>
    <hyperlink ref="AN26" r:id="rId10" display="PANJAITANYOHANNA19@GMAIL.COM"/>
    <hyperlink ref="AN29" r:id="rId11" display="PEN120397@GMAIL.COM"/>
    <hyperlink ref="AN61" location="" display="iwawatoni@gmail.com"/>
    <hyperlink ref="AN35" r:id="rId12" display="susiscaa@gmail.com"/>
    <hyperlink ref="AN36" r:id="rId13" display="indang.s.n@gmail.com"/>
    <hyperlink ref="AN37" r:id="rId14" display="cicilestari874@gmail.com"/>
    <hyperlink ref="AN38" r:id="rId15" display="dianandiani07@gmail.com"/>
    <hyperlink ref="AN63" r:id="rId16" display="gresyliajimmy@gmail.com"/>
    <hyperlink ref="AN30" r:id="rId17" display="vadheliqbal@gmail.com"/>
    <hyperlink ref="AN33" r:id="rId18" display="p.mega0256@gmail.com"/>
    <hyperlink ref="AN39" r:id="rId19" display="kelvinchristian25@yahoo.co.id"/>
    <hyperlink ref="AN31" r:id="rId20" display="istianarochmah@gmail.com"/>
    <hyperlink ref="AN32" r:id="rId21" display="aminahsaf@gmail.com"/>
    <hyperlink ref="AN34" r:id="rId22" display="egigemilang8@gmail.com"/>
    <hyperlink ref="AN62" r:id="rId23" display="PRILLYPUTRI@GMAIL.COM"/>
    <hyperlink ref="AN40" r:id="rId24" display="rikamisnawati655@gmail.com"/>
    <hyperlink ref="AN41" r:id="rId25" display="david.golung@hotmail.com"/>
    <hyperlink ref="AN42" r:id="rId26" display="silmilathifan@gmail.com; "/>
    <hyperlink ref="AN44" r:id="rId27" display="apriliaayuningputri@gmail.com"/>
    <hyperlink ref="AN43" r:id="rId28" display="ricardobono7@gmail.com"/>
  </hyperlinks>
  <printOptions horizontalCentered="1"/>
  <pageMargins left="0.25" right="0.25" top="1" bottom="1" header="0.5" footer="0.5"/>
  <pageSetup paperSize="9" scale="75" orientation="landscape"/>
  <headerFooter alignWithMargins="0"/>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pageSetUpPr fitToPage="1"/>
  </sheetPr>
  <dimension ref="A1:AN150"/>
  <sheetViews>
    <sheetView workbookViewId="0">
      <pane xSplit="3" ySplit="13" topLeftCell="L32" activePane="bottomRight" state="frozen"/>
      <selection/>
      <selection pane="topRight"/>
      <selection pane="bottomLeft"/>
      <selection pane="bottomRight" activeCell="T16" sqref="T16"/>
    </sheetView>
  </sheetViews>
  <sheetFormatPr defaultColWidth="9" defaultRowHeight="12.95" customHeight="1"/>
  <cols>
    <col min="1" max="1" width="5.425" style="6" customWidth="1"/>
    <col min="2" max="2" width="11.425" style="6" customWidth="1"/>
    <col min="3" max="3" width="18.425" style="6" customWidth="1"/>
    <col min="4" max="4" width="15" style="6" customWidth="1"/>
    <col min="5" max="5" width="6" style="6" customWidth="1"/>
    <col min="6" max="6" width="9.14166666666667" style="6"/>
    <col min="7" max="7" width="16.425" style="6" customWidth="1"/>
    <col min="8" max="8" width="10.7083333333333" style="6" customWidth="1"/>
    <col min="9" max="9" width="10.425" style="6" customWidth="1"/>
    <col min="10" max="21" width="10.8583333333333" style="6" customWidth="1"/>
    <col min="22" max="22" width="10.425" style="6" customWidth="1"/>
    <col min="23" max="26" width="11.1416666666667" style="6" customWidth="1"/>
    <col min="27" max="27" width="38.2833333333333" style="6" customWidth="1"/>
    <col min="28" max="28" width="24.5666666666667" style="6" customWidth="1"/>
    <col min="29" max="29" width="47" style="6" customWidth="1"/>
    <col min="30" max="30" width="12.8583333333333" style="6" customWidth="1"/>
    <col min="31" max="31" width="21.1416666666667" style="6" customWidth="1"/>
    <col min="32" max="32" width="20" style="6" customWidth="1"/>
    <col min="33" max="35" width="15.5666666666667" style="7" customWidth="1"/>
    <col min="36" max="36" width="27.1416666666667" style="426" customWidth="1"/>
    <col min="37" max="37" width="23.8583333333333" style="8" customWidth="1"/>
    <col min="38" max="39" width="9.14166666666667" style="6" customWidth="1"/>
    <col min="40" max="16384" width="9.14166666666667" style="6"/>
  </cols>
  <sheetData>
    <row r="1" s="1" customFormat="1" hidden="1" customHeight="1" spans="1:36">
      <c r="A1" s="9"/>
      <c r="B1" s="9"/>
      <c r="C1" s="9"/>
      <c r="D1" s="9"/>
      <c r="E1" s="9"/>
      <c r="F1" s="9"/>
      <c r="AD1" s="59"/>
      <c r="AG1" s="447" t="s">
        <v>11108</v>
      </c>
      <c r="AH1" s="447"/>
      <c r="AI1" s="447"/>
      <c r="AJ1" s="448"/>
    </row>
    <row r="2" s="1" customFormat="1" hidden="1" customHeight="1" spans="1:36">
      <c r="A2" s="9"/>
      <c r="B2" s="9"/>
      <c r="C2" s="9"/>
      <c r="D2" s="9"/>
      <c r="E2" s="9"/>
      <c r="F2" s="9"/>
      <c r="AD2" s="59"/>
      <c r="AG2" s="449" t="s">
        <v>11109</v>
      </c>
      <c r="AH2" s="449"/>
      <c r="AI2" s="449"/>
      <c r="AJ2" s="450"/>
    </row>
    <row r="3" s="1" customFormat="1" hidden="1" customHeight="1" spans="1:36">
      <c r="A3" s="9"/>
      <c r="B3" s="9"/>
      <c r="C3" s="9"/>
      <c r="D3" s="9"/>
      <c r="E3" s="9"/>
      <c r="F3" s="9"/>
      <c r="AD3" s="59"/>
      <c r="AG3" s="449" t="s">
        <v>11110</v>
      </c>
      <c r="AH3" s="449"/>
      <c r="AI3" s="449"/>
      <c r="AJ3" s="450"/>
    </row>
    <row r="4" s="1" customFormat="1" hidden="1" customHeight="1" spans="1:36">
      <c r="A4" s="9"/>
      <c r="B4" s="9"/>
      <c r="C4" s="9"/>
      <c r="D4" s="9"/>
      <c r="E4" s="9"/>
      <c r="F4" s="9"/>
      <c r="AD4" s="59"/>
      <c r="AG4" s="449" t="s">
        <v>11111</v>
      </c>
      <c r="AH4" s="449"/>
      <c r="AI4" s="449"/>
      <c r="AJ4" s="450"/>
    </row>
    <row r="5" s="1" customFormat="1" hidden="1" customHeight="1" spans="1:36">
      <c r="A5" s="9"/>
      <c r="B5" s="9"/>
      <c r="C5" s="9"/>
      <c r="D5" s="9"/>
      <c r="E5" s="9"/>
      <c r="F5" s="9"/>
      <c r="AG5" s="67"/>
      <c r="AH5" s="67"/>
      <c r="AI5" s="67"/>
      <c r="AJ5" s="5"/>
    </row>
    <row r="6" s="1" customFormat="1" hidden="1" customHeight="1" spans="1:36">
      <c r="A6" s="9"/>
      <c r="B6" s="9"/>
      <c r="C6" s="9"/>
      <c r="D6" s="9"/>
      <c r="E6" s="9"/>
      <c r="F6" s="9"/>
      <c r="AG6" s="67"/>
      <c r="AH6" s="67"/>
      <c r="AI6" s="67"/>
      <c r="AJ6" s="5"/>
    </row>
    <row r="7" s="1" customFormat="1" hidden="1" customHeight="1" spans="3:36">
      <c r="C7" s="9"/>
      <c r="D7" s="9"/>
      <c r="E7" s="9"/>
      <c r="F7" s="9"/>
      <c r="AG7" s="67"/>
      <c r="AH7" s="67"/>
      <c r="AI7" s="67"/>
      <c r="AJ7" s="5"/>
    </row>
    <row r="8" s="1" customFormat="1" customHeight="1" spans="1:36">
      <c r="A8" s="10" t="s">
        <v>7926</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G8" s="67"/>
      <c r="AH8" s="67"/>
      <c r="AI8" s="67"/>
      <c r="AJ8" s="5"/>
    </row>
    <row r="9" s="1" customFormat="1" customHeight="1" spans="1:36">
      <c r="A9" s="10" t="s">
        <v>14117</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G9" s="67"/>
      <c r="AH9" s="67"/>
      <c r="AI9" s="67"/>
      <c r="AJ9" s="5"/>
    </row>
    <row r="10" s="1" customFormat="1" hidden="1" customHeight="1" spans="1:36">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G10" s="67"/>
      <c r="AH10" s="67"/>
      <c r="AI10" s="67"/>
      <c r="AJ10" s="5"/>
    </row>
    <row r="11" s="1" customFormat="1" hidden="1" customHeight="1" spans="3:36">
      <c r="C11" s="9"/>
      <c r="D11" s="9"/>
      <c r="E11" s="9"/>
      <c r="F11" s="9"/>
      <c r="AG11" s="67"/>
      <c r="AH11" s="67"/>
      <c r="AI11" s="67"/>
      <c r="AJ11" s="5"/>
    </row>
    <row r="12" s="1" customFormat="1" customHeight="1" spans="1:37">
      <c r="A12" s="11" t="s">
        <v>0</v>
      </c>
      <c r="B12" s="11" t="s">
        <v>1</v>
      </c>
      <c r="C12" s="11" t="s">
        <v>2</v>
      </c>
      <c r="D12" s="11" t="s">
        <v>3</v>
      </c>
      <c r="E12" s="11" t="s">
        <v>4</v>
      </c>
      <c r="F12" s="11" t="s">
        <v>7929</v>
      </c>
      <c r="G12" s="11" t="s">
        <v>8</v>
      </c>
      <c r="H12" s="33" t="s">
        <v>9</v>
      </c>
      <c r="I12" s="33"/>
      <c r="J12" s="44"/>
      <c r="K12" s="44"/>
      <c r="L12" s="44"/>
      <c r="M12" s="33" t="s">
        <v>11</v>
      </c>
      <c r="N12" s="33"/>
      <c r="O12" s="11"/>
      <c r="P12" s="433" t="s">
        <v>12148</v>
      </c>
      <c r="Q12" s="435"/>
      <c r="R12" s="33" t="s">
        <v>11</v>
      </c>
      <c r="S12" s="33"/>
      <c r="T12" s="11" t="s">
        <v>14</v>
      </c>
      <c r="U12" s="33" t="s">
        <v>15</v>
      </c>
      <c r="V12" s="11" t="s">
        <v>11424</v>
      </c>
      <c r="W12" s="11" t="s">
        <v>14118</v>
      </c>
      <c r="X12" s="11" t="s">
        <v>14119</v>
      </c>
      <c r="Y12" s="442" t="s">
        <v>14120</v>
      </c>
      <c r="Z12" s="442" t="s">
        <v>14121</v>
      </c>
      <c r="AA12" s="11" t="s">
        <v>15</v>
      </c>
      <c r="AB12" s="11" t="s">
        <v>3509</v>
      </c>
      <c r="AC12" s="60" t="s">
        <v>28</v>
      </c>
      <c r="AD12" s="60" t="s">
        <v>11426</v>
      </c>
      <c r="AE12" s="61" t="s">
        <v>11427</v>
      </c>
      <c r="AF12" s="71" t="s">
        <v>32</v>
      </c>
      <c r="AG12" s="70" t="s">
        <v>31</v>
      </c>
      <c r="AH12" s="70" t="s">
        <v>7934</v>
      </c>
      <c r="AI12" s="70" t="s">
        <v>34</v>
      </c>
      <c r="AJ12" s="11" t="s">
        <v>35</v>
      </c>
      <c r="AK12" s="72" t="s">
        <v>36</v>
      </c>
    </row>
    <row r="13" s="1" customFormat="1" customHeight="1" spans="1:37">
      <c r="A13" s="236"/>
      <c r="B13" s="236"/>
      <c r="C13" s="236"/>
      <c r="D13" s="236"/>
      <c r="E13" s="236"/>
      <c r="F13" s="236"/>
      <c r="G13" s="236"/>
      <c r="H13" s="33" t="s">
        <v>37</v>
      </c>
      <c r="I13" s="33" t="s">
        <v>38</v>
      </c>
      <c r="J13" s="33">
        <v>1</v>
      </c>
      <c r="K13" s="33">
        <v>2</v>
      </c>
      <c r="L13" s="33">
        <v>3</v>
      </c>
      <c r="M13" s="33" t="s">
        <v>37</v>
      </c>
      <c r="N13" s="33" t="s">
        <v>38</v>
      </c>
      <c r="O13" s="236">
        <v>1</v>
      </c>
      <c r="P13" s="434" t="s">
        <v>37</v>
      </c>
      <c r="Q13" s="434" t="s">
        <v>38</v>
      </c>
      <c r="R13" s="33" t="s">
        <v>37</v>
      </c>
      <c r="S13" s="33" t="s">
        <v>38</v>
      </c>
      <c r="T13" s="236"/>
      <c r="U13" s="243"/>
      <c r="V13" s="244"/>
      <c r="W13" s="236"/>
      <c r="X13" s="236" t="s">
        <v>14119</v>
      </c>
      <c r="Y13" s="443" t="s">
        <v>14119</v>
      </c>
      <c r="Z13" s="443" t="s">
        <v>14119</v>
      </c>
      <c r="AA13" s="236"/>
      <c r="AB13" s="244"/>
      <c r="AC13" s="247"/>
      <c r="AD13" s="247"/>
      <c r="AE13" s="248"/>
      <c r="AF13" s="249"/>
      <c r="AG13" s="451"/>
      <c r="AH13" s="451"/>
      <c r="AI13" s="451"/>
      <c r="AJ13" s="236"/>
      <c r="AK13" s="256"/>
    </row>
    <row r="14" s="1" customFormat="1" ht="36.75" spans="1:40">
      <c r="A14" s="1612" t="s">
        <v>39</v>
      </c>
      <c r="B14" s="65" t="s">
        <v>14122</v>
      </c>
      <c r="C14" s="237" t="s">
        <v>14123</v>
      </c>
      <c r="D14" s="49" t="s">
        <v>14124</v>
      </c>
      <c r="E14" s="49" t="s">
        <v>125</v>
      </c>
      <c r="F14" s="13" t="s">
        <v>44</v>
      </c>
      <c r="G14" s="65" t="s">
        <v>7940</v>
      </c>
      <c r="H14" s="49">
        <v>41781</v>
      </c>
      <c r="I14" s="49">
        <v>41872</v>
      </c>
      <c r="J14" s="49">
        <v>42124</v>
      </c>
      <c r="K14" s="49">
        <v>42490</v>
      </c>
      <c r="L14" s="49">
        <v>42511</v>
      </c>
      <c r="M14" s="49">
        <v>42512</v>
      </c>
      <c r="N14" s="49">
        <v>42855</v>
      </c>
      <c r="O14" s="49">
        <v>42876</v>
      </c>
      <c r="P14" s="49">
        <v>42877</v>
      </c>
      <c r="Q14" s="49">
        <v>42907</v>
      </c>
      <c r="R14" s="49">
        <v>42908</v>
      </c>
      <c r="S14" s="49">
        <v>43272</v>
      </c>
      <c r="T14" s="48">
        <f ca="1" t="shared" ref="T14:T24" si="0">SUM(S14-NOW())</f>
        <v>-0.384537037039991</v>
      </c>
      <c r="U14" s="436" t="str">
        <f ca="1">IF(T14&lt;=40,"WARNING","ACTIVE")</f>
        <v>WARNING</v>
      </c>
      <c r="V14" s="437">
        <v>3648036</v>
      </c>
      <c r="W14" s="245">
        <v>15000</v>
      </c>
      <c r="X14" s="438">
        <v>15000</v>
      </c>
      <c r="Y14" s="438">
        <v>400000</v>
      </c>
      <c r="Z14" s="438">
        <v>200000</v>
      </c>
      <c r="AA14" s="444" t="s">
        <v>14125</v>
      </c>
      <c r="AB14" s="65" t="s">
        <v>14126</v>
      </c>
      <c r="AC14" s="65" t="s">
        <v>14127</v>
      </c>
      <c r="AD14" s="65" t="s">
        <v>14128</v>
      </c>
      <c r="AE14" s="13" t="s">
        <v>14129</v>
      </c>
      <c r="AF14" s="253" t="s">
        <v>14130</v>
      </c>
      <c r="AG14" s="1619" t="s">
        <v>14131</v>
      </c>
      <c r="AH14" s="253"/>
      <c r="AI14" s="452" t="s">
        <v>14132</v>
      </c>
      <c r="AJ14" s="453" t="s">
        <v>14133</v>
      </c>
      <c r="AK14" s="65"/>
      <c r="AN14" s="79" t="s">
        <v>11949</v>
      </c>
    </row>
    <row r="15" s="1" customFormat="1" ht="22.5" spans="1:40">
      <c r="A15" s="1612" t="s">
        <v>56</v>
      </c>
      <c r="B15" s="65" t="s">
        <v>14134</v>
      </c>
      <c r="C15" s="237" t="s">
        <v>14135</v>
      </c>
      <c r="D15" s="49" t="s">
        <v>14136</v>
      </c>
      <c r="E15" s="49" t="s">
        <v>125</v>
      </c>
      <c r="F15" s="13" t="s">
        <v>44</v>
      </c>
      <c r="G15" s="65" t="s">
        <v>7940</v>
      </c>
      <c r="H15" s="49">
        <v>41785</v>
      </c>
      <c r="I15" s="49">
        <v>41876</v>
      </c>
      <c r="J15" s="49">
        <v>42124</v>
      </c>
      <c r="K15" s="49">
        <v>42490</v>
      </c>
      <c r="L15" s="49">
        <v>42515</v>
      </c>
      <c r="M15" s="49">
        <v>42516</v>
      </c>
      <c r="N15" s="49">
        <v>42855</v>
      </c>
      <c r="O15" s="49">
        <v>42880</v>
      </c>
      <c r="P15" s="49">
        <v>42881</v>
      </c>
      <c r="Q15" s="49">
        <v>42911</v>
      </c>
      <c r="R15" s="49">
        <v>42912</v>
      </c>
      <c r="S15" s="49">
        <v>43276</v>
      </c>
      <c r="T15" s="48">
        <f ca="1" t="shared" si="0"/>
        <v>3.61546296296001</v>
      </c>
      <c r="U15" s="436" t="str">
        <f ca="1" t="shared" ref="U15:U25" si="1">IF(T15&lt;=40,"WARNING","ACTIVE")</f>
        <v>WARNING</v>
      </c>
      <c r="V15" s="437">
        <v>3648036</v>
      </c>
      <c r="W15" s="245">
        <v>15000</v>
      </c>
      <c r="X15" s="438">
        <v>15000</v>
      </c>
      <c r="Y15" s="438"/>
      <c r="Z15" s="438">
        <v>200000</v>
      </c>
      <c r="AA15" s="444" t="s">
        <v>14125</v>
      </c>
      <c r="AB15" s="65" t="s">
        <v>14126</v>
      </c>
      <c r="AC15" s="65" t="s">
        <v>14137</v>
      </c>
      <c r="AD15" s="65" t="s">
        <v>14138</v>
      </c>
      <c r="AE15" s="13" t="s">
        <v>14139</v>
      </c>
      <c r="AF15" s="253"/>
      <c r="AG15" s="1619" t="s">
        <v>14140</v>
      </c>
      <c r="AH15" s="253"/>
      <c r="AI15" s="452" t="s">
        <v>14141</v>
      </c>
      <c r="AJ15" s="453" t="s">
        <v>14142</v>
      </c>
      <c r="AK15" s="65"/>
      <c r="AN15" s="79" t="s">
        <v>11949</v>
      </c>
    </row>
    <row r="16" s="2" customFormat="1" ht="24" spans="1:40">
      <c r="A16" s="1612" t="s">
        <v>68</v>
      </c>
      <c r="B16" s="65" t="s">
        <v>14143</v>
      </c>
      <c r="C16" s="237" t="s">
        <v>14144</v>
      </c>
      <c r="D16" s="49" t="s">
        <v>14145</v>
      </c>
      <c r="E16" s="49" t="s">
        <v>125</v>
      </c>
      <c r="F16" s="13" t="s">
        <v>44</v>
      </c>
      <c r="G16" s="65" t="s">
        <v>14146</v>
      </c>
      <c r="H16" s="49">
        <v>41925</v>
      </c>
      <c r="I16" s="49">
        <v>42016</v>
      </c>
      <c r="J16" s="49">
        <v>42381</v>
      </c>
      <c r="K16" s="49">
        <v>42655</v>
      </c>
      <c r="L16" s="49"/>
      <c r="M16" s="49">
        <v>42656</v>
      </c>
      <c r="N16" s="49">
        <v>42747</v>
      </c>
      <c r="O16" s="49">
        <v>43020</v>
      </c>
      <c r="P16" s="49">
        <v>43021</v>
      </c>
      <c r="Q16" s="49">
        <v>43051</v>
      </c>
      <c r="R16" s="49">
        <v>43052</v>
      </c>
      <c r="S16" s="49">
        <v>43385</v>
      </c>
      <c r="T16" s="48">
        <f ca="1" t="shared" si="0"/>
        <v>112.61546296296</v>
      </c>
      <c r="U16" s="436" t="str">
        <f ca="1" t="shared" si="1"/>
        <v>ACTIVE</v>
      </c>
      <c r="V16" s="437">
        <v>3648036</v>
      </c>
      <c r="W16" s="245">
        <v>15000</v>
      </c>
      <c r="X16" s="438">
        <v>15000</v>
      </c>
      <c r="Y16" s="438"/>
      <c r="Z16" s="438">
        <v>200000</v>
      </c>
      <c r="AA16" s="444" t="s">
        <v>14125</v>
      </c>
      <c r="AB16" s="65" t="s">
        <v>14126</v>
      </c>
      <c r="AC16" s="65" t="s">
        <v>14147</v>
      </c>
      <c r="AD16" s="65" t="s">
        <v>14148</v>
      </c>
      <c r="AE16" s="13" t="s">
        <v>14149</v>
      </c>
      <c r="AF16" s="253" t="s">
        <v>14150</v>
      </c>
      <c r="AG16" s="253" t="s">
        <v>14151</v>
      </c>
      <c r="AH16" s="253"/>
      <c r="AI16" s="452" t="s">
        <v>14152</v>
      </c>
      <c r="AJ16" s="454" t="s">
        <v>14153</v>
      </c>
      <c r="AK16" s="65"/>
      <c r="AN16" s="79" t="s">
        <v>11949</v>
      </c>
    </row>
    <row r="17" s="2" customFormat="1" ht="22.5" spans="1:40">
      <c r="A17" s="1612" t="s">
        <v>78</v>
      </c>
      <c r="B17" s="65" t="s">
        <v>14154</v>
      </c>
      <c r="C17" s="237" t="s">
        <v>14155</v>
      </c>
      <c r="D17" s="49" t="s">
        <v>14156</v>
      </c>
      <c r="E17" s="49" t="s">
        <v>125</v>
      </c>
      <c r="F17" s="13" t="s">
        <v>44</v>
      </c>
      <c r="G17" s="65" t="s">
        <v>7940</v>
      </c>
      <c r="H17" s="49">
        <v>41953</v>
      </c>
      <c r="I17" s="49">
        <v>42044</v>
      </c>
      <c r="J17" s="49">
        <v>42409</v>
      </c>
      <c r="K17" s="49">
        <v>42683</v>
      </c>
      <c r="L17" s="49"/>
      <c r="M17" s="49">
        <v>42684</v>
      </c>
      <c r="N17" s="49">
        <v>42775</v>
      </c>
      <c r="O17" s="49">
        <v>43048</v>
      </c>
      <c r="P17" s="49">
        <v>43049</v>
      </c>
      <c r="Q17" s="49">
        <v>43078</v>
      </c>
      <c r="R17" s="49">
        <v>43079</v>
      </c>
      <c r="S17" s="49">
        <v>43413</v>
      </c>
      <c r="T17" s="48">
        <f ca="1" t="shared" si="0"/>
        <v>140.61546296296</v>
      </c>
      <c r="U17" s="436" t="str">
        <f ca="1" t="shared" si="1"/>
        <v>ACTIVE</v>
      </c>
      <c r="V17" s="437">
        <v>3648036</v>
      </c>
      <c r="W17" s="245">
        <v>15000</v>
      </c>
      <c r="X17" s="438">
        <v>15000</v>
      </c>
      <c r="Y17" s="438"/>
      <c r="Z17" s="438">
        <v>200000</v>
      </c>
      <c r="AA17" s="444" t="s">
        <v>14125</v>
      </c>
      <c r="AB17" s="65" t="s">
        <v>14126</v>
      </c>
      <c r="AC17" s="65" t="s">
        <v>14157</v>
      </c>
      <c r="AD17" s="65" t="s">
        <v>14158</v>
      </c>
      <c r="AE17" s="13" t="s">
        <v>14159</v>
      </c>
      <c r="AF17" s="253"/>
      <c r="AG17" s="253" t="s">
        <v>14160</v>
      </c>
      <c r="AH17" s="253" t="s">
        <v>14161</v>
      </c>
      <c r="AI17" s="452" t="s">
        <v>14162</v>
      </c>
      <c r="AJ17" s="455" t="s">
        <v>14163</v>
      </c>
      <c r="AK17" s="65"/>
      <c r="AN17" s="79" t="s">
        <v>11949</v>
      </c>
    </row>
    <row r="18" s="2" customFormat="1" ht="33.75" spans="1:40">
      <c r="A18" s="1612" t="s">
        <v>92</v>
      </c>
      <c r="B18" s="65" t="s">
        <v>14164</v>
      </c>
      <c r="C18" s="237" t="s">
        <v>14165</v>
      </c>
      <c r="D18" s="49" t="s">
        <v>14166</v>
      </c>
      <c r="E18" s="49" t="s">
        <v>125</v>
      </c>
      <c r="F18" s="13" t="s">
        <v>404</v>
      </c>
      <c r="G18" s="65" t="s">
        <v>7940</v>
      </c>
      <c r="H18" s="49">
        <v>41960</v>
      </c>
      <c r="I18" s="49">
        <v>42324</v>
      </c>
      <c r="J18" s="49">
        <v>42690</v>
      </c>
      <c r="K18" s="49"/>
      <c r="L18" s="49"/>
      <c r="M18" s="49">
        <v>42691</v>
      </c>
      <c r="N18" s="49">
        <v>43055</v>
      </c>
      <c r="O18" s="49"/>
      <c r="P18" s="49">
        <v>43056</v>
      </c>
      <c r="Q18" s="49">
        <v>43085</v>
      </c>
      <c r="R18" s="49">
        <v>43086</v>
      </c>
      <c r="S18" s="49">
        <v>43420</v>
      </c>
      <c r="T18" s="48">
        <f ca="1" t="shared" si="0"/>
        <v>147.61546296296</v>
      </c>
      <c r="U18" s="436" t="str">
        <f ca="1" t="shared" si="1"/>
        <v>ACTIVE</v>
      </c>
      <c r="V18" s="437">
        <v>3648036</v>
      </c>
      <c r="W18" s="245">
        <v>15000</v>
      </c>
      <c r="X18" s="438">
        <v>15000</v>
      </c>
      <c r="Y18" s="438">
        <v>400000</v>
      </c>
      <c r="Z18" s="438">
        <v>200000</v>
      </c>
      <c r="AA18" s="444" t="s">
        <v>14167</v>
      </c>
      <c r="AB18" s="65" t="s">
        <v>14126</v>
      </c>
      <c r="AC18" s="65" t="s">
        <v>14168</v>
      </c>
      <c r="AD18" s="65" t="s">
        <v>14169</v>
      </c>
      <c r="AE18" s="13" t="s">
        <v>14170</v>
      </c>
      <c r="AF18" s="253" t="s">
        <v>14171</v>
      </c>
      <c r="AG18" s="253" t="s">
        <v>14172</v>
      </c>
      <c r="AH18" s="253"/>
      <c r="AI18" s="452" t="s">
        <v>14173</v>
      </c>
      <c r="AJ18" s="454" t="s">
        <v>14174</v>
      </c>
      <c r="AK18" s="65"/>
      <c r="AN18" s="79" t="s">
        <v>11949</v>
      </c>
    </row>
    <row r="19" s="2" customFormat="1" ht="22.5" spans="1:40">
      <c r="A19" s="1612" t="s">
        <v>107</v>
      </c>
      <c r="B19" s="65" t="s">
        <v>14175</v>
      </c>
      <c r="C19" s="237" t="s">
        <v>14176</v>
      </c>
      <c r="D19" s="49" t="s">
        <v>14177</v>
      </c>
      <c r="E19" s="49" t="s">
        <v>125</v>
      </c>
      <c r="F19" s="13" t="s">
        <v>44</v>
      </c>
      <c r="G19" s="65" t="s">
        <v>7940</v>
      </c>
      <c r="H19" s="49">
        <v>42118</v>
      </c>
      <c r="I19" s="49">
        <v>42208</v>
      </c>
      <c r="J19" s="49">
        <v>42574</v>
      </c>
      <c r="K19" s="49">
        <v>42848</v>
      </c>
      <c r="L19" s="49"/>
      <c r="M19" s="49">
        <v>42849</v>
      </c>
      <c r="N19" s="49">
        <v>42939</v>
      </c>
      <c r="O19" s="49">
        <v>43213</v>
      </c>
      <c r="P19" s="49">
        <v>43214</v>
      </c>
      <c r="Q19" s="49">
        <v>43243</v>
      </c>
      <c r="R19" s="49">
        <v>43244</v>
      </c>
      <c r="S19" s="49">
        <v>43304</v>
      </c>
      <c r="T19" s="48">
        <f ca="1" t="shared" si="0"/>
        <v>31.61546296296</v>
      </c>
      <c r="U19" s="436" t="str">
        <f ca="1" t="shared" si="1"/>
        <v>WARNING</v>
      </c>
      <c r="V19" s="437">
        <v>3648036</v>
      </c>
      <c r="W19" s="245">
        <v>15000</v>
      </c>
      <c r="X19" s="438">
        <v>15000</v>
      </c>
      <c r="Y19" s="438"/>
      <c r="Z19" s="438">
        <v>200000</v>
      </c>
      <c r="AA19" s="444" t="s">
        <v>14178</v>
      </c>
      <c r="AB19" s="65" t="s">
        <v>14126</v>
      </c>
      <c r="AC19" s="65" t="s">
        <v>14179</v>
      </c>
      <c r="AD19" s="1612" t="s">
        <v>14180</v>
      </c>
      <c r="AE19" s="13" t="s">
        <v>14181</v>
      </c>
      <c r="AF19" s="253" t="s">
        <v>14182</v>
      </c>
      <c r="AG19" s="253" t="s">
        <v>14183</v>
      </c>
      <c r="AH19" s="253"/>
      <c r="AI19" s="452" t="s">
        <v>14184</v>
      </c>
      <c r="AJ19" s="454" t="s">
        <v>14185</v>
      </c>
      <c r="AK19" s="65"/>
      <c r="AN19" s="2" t="s">
        <v>11949</v>
      </c>
    </row>
    <row r="20" s="2" customFormat="1" ht="22.5" spans="1:37">
      <c r="A20" s="1612" t="s">
        <v>121</v>
      </c>
      <c r="B20" s="65" t="s">
        <v>14186</v>
      </c>
      <c r="C20" s="237" t="s">
        <v>14187</v>
      </c>
      <c r="D20" s="49" t="s">
        <v>14188</v>
      </c>
      <c r="E20" s="49" t="s">
        <v>125</v>
      </c>
      <c r="F20" s="13" t="s">
        <v>44</v>
      </c>
      <c r="G20" s="65" t="s">
        <v>7940</v>
      </c>
      <c r="H20" s="49">
        <v>42257</v>
      </c>
      <c r="I20" s="49">
        <v>42347</v>
      </c>
      <c r="J20" s="49">
        <v>42713</v>
      </c>
      <c r="K20" s="49">
        <v>42987</v>
      </c>
      <c r="L20" s="42"/>
      <c r="M20" s="49">
        <v>42988</v>
      </c>
      <c r="N20" s="49">
        <v>43078</v>
      </c>
      <c r="O20" s="49">
        <v>43352</v>
      </c>
      <c r="P20" s="49">
        <v>43353</v>
      </c>
      <c r="Q20" s="49">
        <v>43382</v>
      </c>
      <c r="R20" s="49">
        <v>43383</v>
      </c>
      <c r="S20" s="49">
        <v>43443</v>
      </c>
      <c r="T20" s="48">
        <f ca="1" t="shared" si="0"/>
        <v>170.61546296296</v>
      </c>
      <c r="U20" s="436" t="str">
        <f ca="1" t="shared" si="1"/>
        <v>ACTIVE</v>
      </c>
      <c r="V20" s="437">
        <v>3648036</v>
      </c>
      <c r="W20" s="245">
        <v>15000</v>
      </c>
      <c r="X20" s="438">
        <v>15000</v>
      </c>
      <c r="Y20" s="438"/>
      <c r="Z20" s="438">
        <v>200000</v>
      </c>
      <c r="AA20" s="444" t="s">
        <v>14178</v>
      </c>
      <c r="AB20" s="65" t="s">
        <v>14126</v>
      </c>
      <c r="AC20" s="65" t="s">
        <v>14189</v>
      </c>
      <c r="AD20" s="65" t="s">
        <v>14190</v>
      </c>
      <c r="AE20" s="13" t="s">
        <v>14191</v>
      </c>
      <c r="AF20" s="253" t="s">
        <v>14192</v>
      </c>
      <c r="AG20" s="456" t="s">
        <v>14193</v>
      </c>
      <c r="AH20" s="456"/>
      <c r="AI20" s="452" t="s">
        <v>14194</v>
      </c>
      <c r="AJ20" s="454" t="s">
        <v>14195</v>
      </c>
      <c r="AK20" s="65"/>
    </row>
    <row r="21" s="2" customFormat="1" ht="24" spans="1:37">
      <c r="A21" s="1612" t="s">
        <v>135</v>
      </c>
      <c r="B21" s="65" t="s">
        <v>14196</v>
      </c>
      <c r="C21" s="237" t="s">
        <v>14197</v>
      </c>
      <c r="D21" s="49" t="s">
        <v>14198</v>
      </c>
      <c r="E21" s="49" t="s">
        <v>125</v>
      </c>
      <c r="F21" s="13" t="s">
        <v>44</v>
      </c>
      <c r="G21" s="65" t="s">
        <v>7940</v>
      </c>
      <c r="H21" s="49">
        <v>42257</v>
      </c>
      <c r="I21" s="49">
        <v>42347</v>
      </c>
      <c r="J21" s="49">
        <v>42713</v>
      </c>
      <c r="K21" s="49">
        <v>42987</v>
      </c>
      <c r="L21" s="42"/>
      <c r="M21" s="49">
        <v>42988</v>
      </c>
      <c r="N21" s="49">
        <v>43078</v>
      </c>
      <c r="O21" s="49">
        <v>43352</v>
      </c>
      <c r="P21" s="49">
        <v>43353</v>
      </c>
      <c r="Q21" s="49">
        <v>43382</v>
      </c>
      <c r="R21" s="49">
        <v>43383</v>
      </c>
      <c r="S21" s="49">
        <v>43443</v>
      </c>
      <c r="T21" s="48">
        <f ca="1" t="shared" si="0"/>
        <v>170.61546296296</v>
      </c>
      <c r="U21" s="436" t="str">
        <f ca="1" t="shared" si="1"/>
        <v>ACTIVE</v>
      </c>
      <c r="V21" s="437">
        <v>3648036</v>
      </c>
      <c r="W21" s="245">
        <v>15000</v>
      </c>
      <c r="X21" s="438">
        <v>15000</v>
      </c>
      <c r="Y21" s="438"/>
      <c r="Z21" s="438">
        <v>200000</v>
      </c>
      <c r="AA21" s="444" t="s">
        <v>14178</v>
      </c>
      <c r="AB21" s="65" t="s">
        <v>14126</v>
      </c>
      <c r="AC21" s="65" t="s">
        <v>14199</v>
      </c>
      <c r="AD21" s="65" t="s">
        <v>14200</v>
      </c>
      <c r="AE21" s="13" t="s">
        <v>14201</v>
      </c>
      <c r="AF21" s="253" t="s">
        <v>14202</v>
      </c>
      <c r="AG21" s="456" t="s">
        <v>14203</v>
      </c>
      <c r="AH21" s="456"/>
      <c r="AI21" s="452" t="s">
        <v>192</v>
      </c>
      <c r="AJ21" s="454" t="s">
        <v>14204</v>
      </c>
      <c r="AK21" s="65"/>
    </row>
    <row r="22" s="2" customFormat="1" ht="24" spans="1:37">
      <c r="A22" s="1612" t="s">
        <v>146</v>
      </c>
      <c r="B22" s="65" t="s">
        <v>14205</v>
      </c>
      <c r="C22" s="237" t="s">
        <v>14206</v>
      </c>
      <c r="D22" s="49" t="s">
        <v>14207</v>
      </c>
      <c r="E22" s="49" t="s">
        <v>125</v>
      </c>
      <c r="F22" s="13" t="s">
        <v>44</v>
      </c>
      <c r="G22" s="65" t="s">
        <v>7940</v>
      </c>
      <c r="H22" s="49">
        <v>42255</v>
      </c>
      <c r="I22" s="49">
        <v>42345</v>
      </c>
      <c r="J22" s="49">
        <v>42711</v>
      </c>
      <c r="K22" s="49">
        <v>42985</v>
      </c>
      <c r="L22" s="42"/>
      <c r="M22" s="49">
        <v>42986</v>
      </c>
      <c r="N22" s="49">
        <v>43076</v>
      </c>
      <c r="O22" s="49">
        <v>43350</v>
      </c>
      <c r="P22" s="49">
        <v>43351</v>
      </c>
      <c r="Q22" s="49">
        <v>43380</v>
      </c>
      <c r="R22" s="49">
        <v>43381</v>
      </c>
      <c r="S22" s="49">
        <v>43441</v>
      </c>
      <c r="T22" s="48">
        <f ca="1" t="shared" si="0"/>
        <v>168.61546296296</v>
      </c>
      <c r="U22" s="436" t="str">
        <f ca="1" t="shared" si="1"/>
        <v>ACTIVE</v>
      </c>
      <c r="V22" s="437">
        <v>3648036</v>
      </c>
      <c r="W22" s="245">
        <v>15000</v>
      </c>
      <c r="X22" s="438">
        <v>15000</v>
      </c>
      <c r="Y22" s="438"/>
      <c r="Z22" s="438">
        <v>200000</v>
      </c>
      <c r="AA22" s="444" t="s">
        <v>14178</v>
      </c>
      <c r="AB22" s="65" t="s">
        <v>14126</v>
      </c>
      <c r="AC22" s="65" t="s">
        <v>14208</v>
      </c>
      <c r="AD22" s="65" t="s">
        <v>14209</v>
      </c>
      <c r="AE22" s="13" t="s">
        <v>14210</v>
      </c>
      <c r="AF22" s="253" t="s">
        <v>2574</v>
      </c>
      <c r="AG22" s="456" t="s">
        <v>14211</v>
      </c>
      <c r="AH22" s="456"/>
      <c r="AI22" s="1620" t="s">
        <v>14212</v>
      </c>
      <c r="AJ22" s="454" t="s">
        <v>14213</v>
      </c>
      <c r="AK22" s="65"/>
    </row>
    <row r="23" s="2" customFormat="1" ht="22.5" spans="1:37">
      <c r="A23" s="1612" t="s">
        <v>157</v>
      </c>
      <c r="B23" s="65" t="s">
        <v>14214</v>
      </c>
      <c r="C23" s="237" t="s">
        <v>14215</v>
      </c>
      <c r="D23" s="49" t="s">
        <v>14216</v>
      </c>
      <c r="E23" s="49" t="s">
        <v>125</v>
      </c>
      <c r="F23" s="13" t="s">
        <v>44</v>
      </c>
      <c r="G23" s="65" t="s">
        <v>7940</v>
      </c>
      <c r="H23" s="49">
        <v>42270</v>
      </c>
      <c r="I23" s="49">
        <v>42360</v>
      </c>
      <c r="J23" s="49">
        <v>42726</v>
      </c>
      <c r="K23" s="49">
        <v>43000</v>
      </c>
      <c r="L23" s="49"/>
      <c r="M23" s="49">
        <v>43001</v>
      </c>
      <c r="N23" s="49">
        <v>43091</v>
      </c>
      <c r="O23" s="49">
        <v>43365</v>
      </c>
      <c r="P23" s="49">
        <v>43366</v>
      </c>
      <c r="Q23" s="49">
        <v>43395</v>
      </c>
      <c r="R23" s="49">
        <v>43396</v>
      </c>
      <c r="S23" s="49">
        <v>43456</v>
      </c>
      <c r="T23" s="48">
        <f ca="1" t="shared" si="0"/>
        <v>183.61546296296</v>
      </c>
      <c r="U23" s="436" t="str">
        <f ca="1" t="shared" si="1"/>
        <v>ACTIVE</v>
      </c>
      <c r="V23" s="437">
        <v>3648036</v>
      </c>
      <c r="W23" s="245">
        <v>15000</v>
      </c>
      <c r="X23" s="438">
        <v>15000</v>
      </c>
      <c r="Y23" s="438"/>
      <c r="Z23" s="438">
        <v>200000</v>
      </c>
      <c r="AA23" s="444" t="s">
        <v>14178</v>
      </c>
      <c r="AB23" s="65" t="s">
        <v>14126</v>
      </c>
      <c r="AC23" s="65" t="s">
        <v>14217</v>
      </c>
      <c r="AD23" s="65" t="s">
        <v>14218</v>
      </c>
      <c r="AE23" s="13" t="s">
        <v>14219</v>
      </c>
      <c r="AF23" s="253" t="s">
        <v>14220</v>
      </c>
      <c r="AG23" s="456" t="s">
        <v>14221</v>
      </c>
      <c r="AH23" s="456" t="s">
        <v>14222</v>
      </c>
      <c r="AI23" s="452" t="s">
        <v>14223</v>
      </c>
      <c r="AJ23" s="454" t="s">
        <v>14224</v>
      </c>
      <c r="AK23" s="65"/>
    </row>
    <row r="24" s="2" customFormat="1" ht="22.5" spans="1:37">
      <c r="A24" s="1612" t="s">
        <v>168</v>
      </c>
      <c r="B24" s="65" t="s">
        <v>14225</v>
      </c>
      <c r="C24" s="237" t="s">
        <v>14226</v>
      </c>
      <c r="D24" s="49" t="s">
        <v>14227</v>
      </c>
      <c r="E24" s="49" t="s">
        <v>125</v>
      </c>
      <c r="F24" s="13" t="s">
        <v>44</v>
      </c>
      <c r="G24" s="65" t="s">
        <v>7940</v>
      </c>
      <c r="H24" s="49">
        <v>42306</v>
      </c>
      <c r="I24" s="49">
        <v>42397</v>
      </c>
      <c r="J24" s="49">
        <v>42763</v>
      </c>
      <c r="K24" s="49">
        <v>43036</v>
      </c>
      <c r="L24" s="49"/>
      <c r="M24" s="49">
        <v>43037</v>
      </c>
      <c r="N24" s="49">
        <v>43128</v>
      </c>
      <c r="O24" s="49">
        <v>43401</v>
      </c>
      <c r="P24" s="49">
        <v>43402</v>
      </c>
      <c r="Q24" s="49">
        <v>43432</v>
      </c>
      <c r="R24" s="49">
        <v>43433</v>
      </c>
      <c r="S24" s="49">
        <v>43493</v>
      </c>
      <c r="T24" s="48">
        <f ca="1" t="shared" si="0"/>
        <v>220.61546296296</v>
      </c>
      <c r="U24" s="436" t="str">
        <f ca="1" t="shared" si="1"/>
        <v>ACTIVE</v>
      </c>
      <c r="V24" s="437">
        <v>3648036</v>
      </c>
      <c r="W24" s="245">
        <v>15000</v>
      </c>
      <c r="X24" s="438">
        <v>15000</v>
      </c>
      <c r="Y24" s="438"/>
      <c r="Z24" s="438">
        <v>200000</v>
      </c>
      <c r="AA24" s="444" t="s">
        <v>14178</v>
      </c>
      <c r="AB24" s="65" t="s">
        <v>14126</v>
      </c>
      <c r="AC24" s="65" t="s">
        <v>14228</v>
      </c>
      <c r="AD24" s="65">
        <v>81289244684</v>
      </c>
      <c r="AE24" s="13" t="s">
        <v>14229</v>
      </c>
      <c r="AF24" s="253" t="s">
        <v>14230</v>
      </c>
      <c r="AG24" s="456" t="s">
        <v>14231</v>
      </c>
      <c r="AH24" s="456"/>
      <c r="AI24" s="452" t="s">
        <v>14232</v>
      </c>
      <c r="AJ24" s="454" t="s">
        <v>14233</v>
      </c>
      <c r="AK24" s="65"/>
    </row>
    <row r="25" s="2" customFormat="1" ht="22.5" spans="1:37">
      <c r="A25" s="1612" t="s">
        <v>181</v>
      </c>
      <c r="B25" s="65" t="s">
        <v>14234</v>
      </c>
      <c r="C25" s="237" t="s">
        <v>14235</v>
      </c>
      <c r="D25" s="49" t="s">
        <v>14236</v>
      </c>
      <c r="E25" s="49" t="s">
        <v>125</v>
      </c>
      <c r="F25" s="13" t="s">
        <v>44</v>
      </c>
      <c r="G25" s="65" t="s">
        <v>7940</v>
      </c>
      <c r="H25" s="49">
        <v>42328</v>
      </c>
      <c r="I25" s="49">
        <v>42419</v>
      </c>
      <c r="J25" s="49">
        <v>42785</v>
      </c>
      <c r="K25" s="49">
        <v>43058</v>
      </c>
      <c r="L25" s="49"/>
      <c r="M25" s="49">
        <v>43059</v>
      </c>
      <c r="N25" s="49">
        <v>43150</v>
      </c>
      <c r="O25" s="151">
        <v>43423</v>
      </c>
      <c r="P25" s="49">
        <v>43424</v>
      </c>
      <c r="Q25" s="151">
        <v>43453</v>
      </c>
      <c r="R25" s="49"/>
      <c r="S25" s="151">
        <v>43515</v>
      </c>
      <c r="T25" s="48">
        <f ca="1">SUM(O25-NOW())</f>
        <v>150.61546296296</v>
      </c>
      <c r="U25" s="436" t="str">
        <f ca="1" t="shared" si="1"/>
        <v>ACTIVE</v>
      </c>
      <c r="V25" s="437">
        <v>3648036</v>
      </c>
      <c r="W25" s="245">
        <v>15000</v>
      </c>
      <c r="X25" s="438">
        <v>15000</v>
      </c>
      <c r="Y25" s="438"/>
      <c r="Z25" s="438">
        <v>200000</v>
      </c>
      <c r="AA25" s="444" t="s">
        <v>14178</v>
      </c>
      <c r="AB25" s="65" t="s">
        <v>14126</v>
      </c>
      <c r="AC25" s="65" t="s">
        <v>14237</v>
      </c>
      <c r="AD25" s="65"/>
      <c r="AE25" s="13" t="s">
        <v>14238</v>
      </c>
      <c r="AF25" s="253" t="s">
        <v>14239</v>
      </c>
      <c r="AG25" s="456" t="s">
        <v>14240</v>
      </c>
      <c r="AH25" s="456"/>
      <c r="AI25" s="452" t="s">
        <v>14241</v>
      </c>
      <c r="AJ25" s="454" t="s">
        <v>14242</v>
      </c>
      <c r="AK25" s="65"/>
    </row>
    <row r="26" s="2" customFormat="1" ht="22.5" spans="1:37">
      <c r="A26" s="1612" t="s">
        <v>194</v>
      </c>
      <c r="B26" s="65" t="s">
        <v>14243</v>
      </c>
      <c r="C26" s="237" t="s">
        <v>14244</v>
      </c>
      <c r="D26" s="49" t="s">
        <v>14245</v>
      </c>
      <c r="E26" s="49" t="s">
        <v>125</v>
      </c>
      <c r="F26" s="13" t="s">
        <v>44</v>
      </c>
      <c r="G26" s="65" t="s">
        <v>7940</v>
      </c>
      <c r="H26" s="49">
        <v>42562</v>
      </c>
      <c r="I26" s="49">
        <v>42653</v>
      </c>
      <c r="J26" s="49">
        <v>43018</v>
      </c>
      <c r="K26" s="49">
        <v>43291</v>
      </c>
      <c r="L26" s="49"/>
      <c r="M26" s="49">
        <v>43292</v>
      </c>
      <c r="N26" s="49">
        <v>43383</v>
      </c>
      <c r="O26" s="49"/>
      <c r="P26" s="49"/>
      <c r="Q26" s="49"/>
      <c r="R26" s="49"/>
      <c r="S26" s="49"/>
      <c r="T26" s="48">
        <f ca="1">SUM(N26-NOW())</f>
        <v>110.61546296296</v>
      </c>
      <c r="U26" s="436" t="str">
        <f ca="1" t="shared" ref="U26:U32" si="2">IF(T26&lt;=40,"WARNING","ACTIVE")</f>
        <v>ACTIVE</v>
      </c>
      <c r="V26" s="437">
        <v>3648036</v>
      </c>
      <c r="W26" s="245">
        <v>15000</v>
      </c>
      <c r="X26" s="438">
        <v>15000</v>
      </c>
      <c r="Y26" s="438"/>
      <c r="Z26" s="438">
        <v>200000</v>
      </c>
      <c r="AA26" s="444" t="s">
        <v>14178</v>
      </c>
      <c r="AB26" s="65" t="s">
        <v>14126</v>
      </c>
      <c r="AC26" s="65" t="s">
        <v>14246</v>
      </c>
      <c r="AD26" s="1612" t="s">
        <v>14247</v>
      </c>
      <c r="AE26" s="13" t="s">
        <v>14248</v>
      </c>
      <c r="AF26" s="253" t="s">
        <v>14249</v>
      </c>
      <c r="AG26" s="456" t="s">
        <v>14250</v>
      </c>
      <c r="AH26" s="456"/>
      <c r="AI26" s="1612" t="s">
        <v>14251</v>
      </c>
      <c r="AJ26" s="454" t="s">
        <v>14252</v>
      </c>
      <c r="AK26" s="65"/>
    </row>
    <row r="27" s="2" customFormat="1" ht="22.5" spans="1:37">
      <c r="A27" s="1612" t="s">
        <v>204</v>
      </c>
      <c r="B27" s="65" t="s">
        <v>14253</v>
      </c>
      <c r="C27" s="237" t="s">
        <v>14254</v>
      </c>
      <c r="D27" s="49" t="s">
        <v>14255</v>
      </c>
      <c r="E27" s="49" t="s">
        <v>125</v>
      </c>
      <c r="F27" s="13" t="s">
        <v>44</v>
      </c>
      <c r="G27" s="65" t="s">
        <v>7940</v>
      </c>
      <c r="H27" s="49">
        <v>42576</v>
      </c>
      <c r="I27" s="49">
        <v>42667</v>
      </c>
      <c r="J27" s="49">
        <v>43032</v>
      </c>
      <c r="K27" s="49">
        <v>43305</v>
      </c>
      <c r="L27" s="49"/>
      <c r="M27" s="49">
        <v>43306</v>
      </c>
      <c r="N27" s="49">
        <v>43397</v>
      </c>
      <c r="O27" s="49"/>
      <c r="P27" s="49"/>
      <c r="Q27" s="49"/>
      <c r="R27" s="49"/>
      <c r="S27" s="49"/>
      <c r="T27" s="48">
        <f ca="1">SUM(N27-NOW())</f>
        <v>124.61546296296</v>
      </c>
      <c r="U27" s="436" t="str">
        <f ca="1" t="shared" si="2"/>
        <v>ACTIVE</v>
      </c>
      <c r="V27" s="437">
        <v>3648036</v>
      </c>
      <c r="W27" s="245">
        <v>15000</v>
      </c>
      <c r="X27" s="438">
        <v>15000</v>
      </c>
      <c r="Y27" s="438"/>
      <c r="Z27" s="438">
        <v>200000</v>
      </c>
      <c r="AA27" s="444" t="s">
        <v>14178</v>
      </c>
      <c r="AB27" s="65" t="s">
        <v>14126</v>
      </c>
      <c r="AC27" s="65" t="s">
        <v>14256</v>
      </c>
      <c r="AD27" s="1612" t="s">
        <v>14257</v>
      </c>
      <c r="AE27" s="13" t="s">
        <v>14258</v>
      </c>
      <c r="AF27" s="253" t="s">
        <v>14259</v>
      </c>
      <c r="AG27" s="1621" t="s">
        <v>14260</v>
      </c>
      <c r="AH27" s="456"/>
      <c r="AI27" s="1608" t="s">
        <v>14261</v>
      </c>
      <c r="AJ27" s="454" t="s">
        <v>14262</v>
      </c>
      <c r="AK27" s="65"/>
    </row>
    <row r="28" s="2" customFormat="1" ht="22.5" spans="1:37">
      <c r="A28" s="1612" t="s">
        <v>215</v>
      </c>
      <c r="B28" s="65" t="s">
        <v>14263</v>
      </c>
      <c r="C28" s="237" t="s">
        <v>14264</v>
      </c>
      <c r="D28" s="49" t="s">
        <v>14265</v>
      </c>
      <c r="E28" s="49" t="s">
        <v>125</v>
      </c>
      <c r="F28" s="13" t="s">
        <v>44</v>
      </c>
      <c r="G28" s="65" t="s">
        <v>7940</v>
      </c>
      <c r="H28" s="49">
        <v>42884</v>
      </c>
      <c r="I28" s="49">
        <v>42975</v>
      </c>
      <c r="J28" s="49">
        <v>43067</v>
      </c>
      <c r="K28" s="49">
        <v>43432</v>
      </c>
      <c r="L28" s="49"/>
      <c r="M28" s="49"/>
      <c r="N28" s="49"/>
      <c r="O28" s="49"/>
      <c r="P28" s="49"/>
      <c r="Q28" s="49"/>
      <c r="R28" s="49"/>
      <c r="S28" s="49"/>
      <c r="T28" s="48">
        <f ca="1">SUM(K28-NOW())</f>
        <v>159.61546296296</v>
      </c>
      <c r="U28" s="436" t="str">
        <f ca="1" t="shared" si="2"/>
        <v>ACTIVE</v>
      </c>
      <c r="V28" s="437">
        <v>3648036</v>
      </c>
      <c r="W28" s="245">
        <v>15000</v>
      </c>
      <c r="X28" s="438">
        <v>15000</v>
      </c>
      <c r="Y28" s="438"/>
      <c r="Z28" s="438">
        <v>200000</v>
      </c>
      <c r="AA28" s="444" t="s">
        <v>14266</v>
      </c>
      <c r="AB28" s="65" t="s">
        <v>14126</v>
      </c>
      <c r="AC28" s="65" t="s">
        <v>14267</v>
      </c>
      <c r="AD28" s="65" t="s">
        <v>14268</v>
      </c>
      <c r="AE28" s="13" t="s">
        <v>14269</v>
      </c>
      <c r="AF28" s="253" t="s">
        <v>14270</v>
      </c>
      <c r="AG28" s="456" t="s">
        <v>14271</v>
      </c>
      <c r="AH28" s="456" t="s">
        <v>14272</v>
      </c>
      <c r="AI28" s="65"/>
      <c r="AJ28" s="454" t="s">
        <v>14273</v>
      </c>
      <c r="AK28" s="65"/>
    </row>
    <row r="29" s="2" customFormat="1" ht="14.1" customHeight="1" spans="1:37">
      <c r="A29" s="1612" t="s">
        <v>229</v>
      </c>
      <c r="B29" s="65" t="s">
        <v>14274</v>
      </c>
      <c r="C29" s="237" t="s">
        <v>14275</v>
      </c>
      <c r="D29" s="49" t="s">
        <v>14276</v>
      </c>
      <c r="E29" s="49" t="s">
        <v>125</v>
      </c>
      <c r="F29" s="13" t="s">
        <v>44</v>
      </c>
      <c r="G29" s="65" t="s">
        <v>7940</v>
      </c>
      <c r="H29" s="49">
        <v>43024</v>
      </c>
      <c r="I29" s="49">
        <v>43115</v>
      </c>
      <c r="J29" s="49">
        <v>43480</v>
      </c>
      <c r="K29" s="49"/>
      <c r="L29" s="49"/>
      <c r="M29" s="49"/>
      <c r="N29" s="49"/>
      <c r="O29" s="49"/>
      <c r="P29" s="49"/>
      <c r="Q29" s="49"/>
      <c r="R29" s="49"/>
      <c r="S29" s="49"/>
      <c r="T29" s="48">
        <f ca="1">SUM(J29-NOW())</f>
        <v>207.61546296296</v>
      </c>
      <c r="U29" s="436" t="str">
        <f ca="1" t="shared" si="2"/>
        <v>ACTIVE</v>
      </c>
      <c r="V29" s="437">
        <v>3648036</v>
      </c>
      <c r="W29" s="245">
        <v>15000</v>
      </c>
      <c r="X29" s="438">
        <v>15000</v>
      </c>
      <c r="Y29" s="438"/>
      <c r="Z29" s="438">
        <v>200000</v>
      </c>
      <c r="AA29" s="444" t="s">
        <v>14266</v>
      </c>
      <c r="AB29" s="65" t="s">
        <v>14126</v>
      </c>
      <c r="AC29" s="65" t="s">
        <v>14277</v>
      </c>
      <c r="AD29" s="65"/>
      <c r="AE29" s="13" t="s">
        <v>14278</v>
      </c>
      <c r="AF29" s="253" t="s">
        <v>14279</v>
      </c>
      <c r="AG29" s="456" t="s">
        <v>14280</v>
      </c>
      <c r="AH29" s="456"/>
      <c r="AI29" s="65"/>
      <c r="AJ29" s="455" t="s">
        <v>14281</v>
      </c>
      <c r="AK29" s="65"/>
    </row>
    <row r="30" s="2" customFormat="1" ht="14.1" customHeight="1" spans="1:37">
      <c r="A30" s="1612" t="s">
        <v>239</v>
      </c>
      <c r="B30" s="65" t="s">
        <v>14282</v>
      </c>
      <c r="C30" s="237" t="s">
        <v>14283</v>
      </c>
      <c r="D30" s="49" t="s">
        <v>14284</v>
      </c>
      <c r="E30" s="49" t="s">
        <v>125</v>
      </c>
      <c r="F30" s="13" t="s">
        <v>44</v>
      </c>
      <c r="G30" s="65" t="s">
        <v>7940</v>
      </c>
      <c r="H30" s="49">
        <v>43024</v>
      </c>
      <c r="I30" s="49">
        <v>43115</v>
      </c>
      <c r="J30" s="49">
        <v>43480</v>
      </c>
      <c r="K30" s="49"/>
      <c r="L30" s="49"/>
      <c r="M30" s="49"/>
      <c r="N30" s="49"/>
      <c r="O30" s="49"/>
      <c r="P30" s="49"/>
      <c r="Q30" s="49"/>
      <c r="R30" s="49"/>
      <c r="S30" s="49"/>
      <c r="T30" s="48">
        <f ca="1">SUM(J30-NOW())</f>
        <v>207.61546296296</v>
      </c>
      <c r="U30" s="436" t="str">
        <f ca="1" t="shared" si="2"/>
        <v>ACTIVE</v>
      </c>
      <c r="V30" s="437">
        <v>3648036</v>
      </c>
      <c r="W30" s="245">
        <v>15000</v>
      </c>
      <c r="X30" s="438">
        <v>15000</v>
      </c>
      <c r="Y30" s="438"/>
      <c r="Z30" s="438">
        <v>200000</v>
      </c>
      <c r="AA30" s="444" t="s">
        <v>14266</v>
      </c>
      <c r="AB30" s="65" t="s">
        <v>14126</v>
      </c>
      <c r="AC30" s="65" t="s">
        <v>14285</v>
      </c>
      <c r="AD30" s="65" t="s">
        <v>14286</v>
      </c>
      <c r="AE30" s="13" t="s">
        <v>14287</v>
      </c>
      <c r="AF30" s="253" t="s">
        <v>14288</v>
      </c>
      <c r="AG30" s="456" t="s">
        <v>14289</v>
      </c>
      <c r="AH30" s="456" t="s">
        <v>14290</v>
      </c>
      <c r="AI30" s="65"/>
      <c r="AJ30" s="455" t="s">
        <v>14291</v>
      </c>
      <c r="AK30" s="65"/>
    </row>
    <row r="31" s="2" customFormat="1" customHeight="1" spans="1:37">
      <c r="A31" s="1612" t="s">
        <v>250</v>
      </c>
      <c r="B31" s="65" t="s">
        <v>8563</v>
      </c>
      <c r="C31" s="237" t="s">
        <v>8564</v>
      </c>
      <c r="D31" s="49" t="s">
        <v>8565</v>
      </c>
      <c r="E31" s="431" t="s">
        <v>125</v>
      </c>
      <c r="F31" s="432" t="s">
        <v>44</v>
      </c>
      <c r="G31" s="65" t="s">
        <v>7940</v>
      </c>
      <c r="H31" s="49">
        <v>43169</v>
      </c>
      <c r="I31" s="49">
        <v>43533</v>
      </c>
      <c r="J31" s="49"/>
      <c r="K31" s="49"/>
      <c r="L31" s="49"/>
      <c r="M31" s="49"/>
      <c r="N31" s="49"/>
      <c r="O31" s="49"/>
      <c r="P31" s="49"/>
      <c r="Q31" s="49"/>
      <c r="R31" s="49"/>
      <c r="S31" s="49"/>
      <c r="T31" s="48">
        <f ca="1" t="shared" ref="T31:T33" si="3">SUM(I31-NOW())</f>
        <v>260.61546296296</v>
      </c>
      <c r="U31" s="436" t="str">
        <f ca="1" t="shared" si="2"/>
        <v>ACTIVE</v>
      </c>
      <c r="V31" s="437">
        <v>3648036</v>
      </c>
      <c r="W31" s="245">
        <v>15000</v>
      </c>
      <c r="X31" s="438">
        <v>15000</v>
      </c>
      <c r="Y31" s="438"/>
      <c r="Z31" s="438">
        <v>200000</v>
      </c>
      <c r="AA31" s="444"/>
      <c r="AB31" s="65" t="s">
        <v>14126</v>
      </c>
      <c r="AC31" s="65" t="s">
        <v>8566</v>
      </c>
      <c r="AD31" s="446" t="s">
        <v>8567</v>
      </c>
      <c r="AE31" s="224" t="s">
        <v>8568</v>
      </c>
      <c r="AF31" s="224" t="s">
        <v>8569</v>
      </c>
      <c r="AG31" s="224" t="s">
        <v>8570</v>
      </c>
      <c r="AH31" s="224" t="s">
        <v>8571</v>
      </c>
      <c r="AI31" s="224" t="s">
        <v>8572</v>
      </c>
      <c r="AJ31" s="229" t="s">
        <v>14292</v>
      </c>
      <c r="AK31" s="65"/>
    </row>
    <row r="32" s="2" customFormat="1" customHeight="1" spans="1:37">
      <c r="A32" s="1612" t="s">
        <v>261</v>
      </c>
      <c r="B32" s="65" t="s">
        <v>14293</v>
      </c>
      <c r="C32" s="237" t="s">
        <v>14294</v>
      </c>
      <c r="D32" s="49" t="s">
        <v>14295</v>
      </c>
      <c r="E32" s="49" t="s">
        <v>125</v>
      </c>
      <c r="F32" s="13" t="s">
        <v>44</v>
      </c>
      <c r="G32" s="65" t="s">
        <v>7940</v>
      </c>
      <c r="H32" s="49">
        <v>43171</v>
      </c>
      <c r="I32" s="49">
        <v>43535</v>
      </c>
      <c r="J32" s="49"/>
      <c r="K32" s="49"/>
      <c r="L32" s="49"/>
      <c r="M32" s="49"/>
      <c r="N32" s="49"/>
      <c r="O32" s="49"/>
      <c r="P32" s="49"/>
      <c r="Q32" s="49"/>
      <c r="R32" s="49"/>
      <c r="S32" s="49"/>
      <c r="T32" s="48">
        <f ca="1" t="shared" si="3"/>
        <v>262.61546296296</v>
      </c>
      <c r="U32" s="436" t="str">
        <f ca="1" t="shared" si="2"/>
        <v>ACTIVE</v>
      </c>
      <c r="V32" s="437">
        <v>3648036</v>
      </c>
      <c r="W32" s="245">
        <v>15000</v>
      </c>
      <c r="X32" s="438">
        <v>15000</v>
      </c>
      <c r="Y32" s="438"/>
      <c r="Z32" s="438">
        <v>200000</v>
      </c>
      <c r="AA32" s="444"/>
      <c r="AB32" s="65" t="s">
        <v>14126</v>
      </c>
      <c r="AC32" s="65" t="s">
        <v>14296</v>
      </c>
      <c r="AD32" s="65">
        <v>8179236171</v>
      </c>
      <c r="AE32" s="13" t="s">
        <v>14297</v>
      </c>
      <c r="AF32" s="253"/>
      <c r="AG32" s="1621" t="s">
        <v>14298</v>
      </c>
      <c r="AH32" s="456"/>
      <c r="AI32" s="65"/>
      <c r="AJ32" s="455" t="s">
        <v>14299</v>
      </c>
      <c r="AK32" s="65"/>
    </row>
    <row r="33" s="2" customFormat="1" customHeight="1" spans="1:37">
      <c r="A33" s="1612" t="s">
        <v>272</v>
      </c>
      <c r="B33" s="65" t="s">
        <v>14300</v>
      </c>
      <c r="C33" s="237" t="s">
        <v>14301</v>
      </c>
      <c r="D33" s="49" t="s">
        <v>14302</v>
      </c>
      <c r="E33" s="49" t="s">
        <v>125</v>
      </c>
      <c r="F33" s="13" t="s">
        <v>44</v>
      </c>
      <c r="G33" s="65" t="s">
        <v>7940</v>
      </c>
      <c r="H33" s="49">
        <v>43234</v>
      </c>
      <c r="I33" s="49">
        <v>43598</v>
      </c>
      <c r="J33" s="49"/>
      <c r="K33" s="49"/>
      <c r="L33" s="49"/>
      <c r="M33" s="49"/>
      <c r="N33" s="49"/>
      <c r="O33" s="49"/>
      <c r="P33" s="49"/>
      <c r="Q33" s="49"/>
      <c r="R33" s="49"/>
      <c r="S33" s="49"/>
      <c r="T33" s="48">
        <f ca="1" t="shared" si="3"/>
        <v>325.61546296296</v>
      </c>
      <c r="U33" s="436" t="str">
        <f ca="1" t="shared" ref="U33" si="4">IF(T33&lt;=40,"WARNING","ACTIVE")</f>
        <v>ACTIVE</v>
      </c>
      <c r="V33" s="437">
        <v>3648036</v>
      </c>
      <c r="W33" s="245">
        <v>15000</v>
      </c>
      <c r="X33" s="438">
        <v>15000</v>
      </c>
      <c r="Y33" s="438"/>
      <c r="Z33" s="438">
        <v>200000</v>
      </c>
      <c r="AA33" s="444"/>
      <c r="AB33" s="65" t="s">
        <v>14126</v>
      </c>
      <c r="AC33" s="65" t="s">
        <v>14303</v>
      </c>
      <c r="AD33" s="65"/>
      <c r="AE33" s="13" t="s">
        <v>14304</v>
      </c>
      <c r="AF33" s="253"/>
      <c r="AG33" s="1621" t="s">
        <v>14305</v>
      </c>
      <c r="AH33" s="1621" t="s">
        <v>14306</v>
      </c>
      <c r="AI33" s="1612" t="s">
        <v>14307</v>
      </c>
      <c r="AJ33" s="455" t="s">
        <v>14308</v>
      </c>
      <c r="AK33" s="65"/>
    </row>
    <row r="34" s="2" customFormat="1" customHeight="1" spans="2:37">
      <c r="B34" s="427"/>
      <c r="C34" s="427"/>
      <c r="E34" s="427"/>
      <c r="F34" s="427"/>
      <c r="G34" s="427"/>
      <c r="H34" s="427"/>
      <c r="I34" s="427"/>
      <c r="J34" s="427"/>
      <c r="K34" s="427"/>
      <c r="L34" s="427"/>
      <c r="M34" s="427"/>
      <c r="N34" s="427"/>
      <c r="O34" s="427"/>
      <c r="P34" s="427"/>
      <c r="Q34" s="427"/>
      <c r="R34" s="427"/>
      <c r="S34" s="427"/>
      <c r="AG34" s="78"/>
      <c r="AH34" s="78"/>
      <c r="AI34" s="78"/>
      <c r="AJ34" s="457"/>
      <c r="AK34" s="79"/>
    </row>
    <row r="35" s="2" customFormat="1" customHeight="1" spans="2:37">
      <c r="B35" s="427"/>
      <c r="C35" s="427"/>
      <c r="D35" s="427"/>
      <c r="E35" s="427"/>
      <c r="F35" s="427"/>
      <c r="G35" s="427"/>
      <c r="H35" s="427"/>
      <c r="I35" s="427"/>
      <c r="J35" s="427"/>
      <c r="K35" s="427"/>
      <c r="L35" s="427"/>
      <c r="M35" s="427"/>
      <c r="N35" s="427"/>
      <c r="O35" s="427"/>
      <c r="P35" s="427"/>
      <c r="Q35" s="427"/>
      <c r="R35" s="427"/>
      <c r="S35" s="427"/>
      <c r="AG35" s="78"/>
      <c r="AH35" s="78"/>
      <c r="AI35" s="78"/>
      <c r="AJ35" s="457"/>
      <c r="AK35" s="79"/>
    </row>
    <row r="36" s="2" customFormat="1" customHeight="1" spans="2:37">
      <c r="B36" s="428"/>
      <c r="C36" s="428"/>
      <c r="D36" s="428"/>
      <c r="E36" s="428"/>
      <c r="F36" s="428"/>
      <c r="G36" s="428"/>
      <c r="H36" s="428"/>
      <c r="I36" s="428"/>
      <c r="J36" s="428"/>
      <c r="K36" s="428"/>
      <c r="L36" s="428"/>
      <c r="M36" s="428"/>
      <c r="N36" s="428"/>
      <c r="O36" s="428"/>
      <c r="P36" s="428"/>
      <c r="Q36" s="428"/>
      <c r="R36" s="428"/>
      <c r="S36" s="428"/>
      <c r="AG36" s="78"/>
      <c r="AH36" s="78"/>
      <c r="AI36" s="78"/>
      <c r="AJ36" s="457"/>
      <c r="AK36" s="79"/>
    </row>
    <row r="37" s="2" customFormat="1" customHeight="1" spans="1:37">
      <c r="A37" s="429" t="s">
        <v>2552</v>
      </c>
      <c r="B37" s="430"/>
      <c r="AG37" s="78"/>
      <c r="AH37" s="78"/>
      <c r="AI37" s="78"/>
      <c r="AJ37" s="457"/>
      <c r="AK37" s="79"/>
    </row>
    <row r="38" s="2" customFormat="1" ht="14.1" customHeight="1" spans="1:37">
      <c r="A38" s="27"/>
      <c r="B38" s="27" t="s">
        <v>14309</v>
      </c>
      <c r="C38" s="238" t="s">
        <v>14310</v>
      </c>
      <c r="D38" s="42" t="s">
        <v>14311</v>
      </c>
      <c r="E38" s="42" t="s">
        <v>125</v>
      </c>
      <c r="F38" s="20" t="s">
        <v>44</v>
      </c>
      <c r="G38" s="27" t="s">
        <v>7940</v>
      </c>
      <c r="H38" s="42">
        <v>42478</v>
      </c>
      <c r="I38" s="42">
        <v>42568</v>
      </c>
      <c r="J38" s="42"/>
      <c r="K38" s="42"/>
      <c r="L38" s="42"/>
      <c r="M38" s="42"/>
      <c r="N38" s="42"/>
      <c r="O38" s="42"/>
      <c r="P38" s="42"/>
      <c r="Q38" s="42"/>
      <c r="R38" s="42"/>
      <c r="S38" s="42"/>
      <c r="T38" s="53">
        <f ca="1">SUM(I38-NOW())</f>
        <v>-704.38453703704</v>
      </c>
      <c r="U38" s="439" t="str">
        <f ca="1" t="shared" ref="U38:U44" si="5">IF(T38&lt;=40,"WARNING","ACTIVE")</f>
        <v>WARNING</v>
      </c>
      <c r="V38" s="440">
        <v>3100000</v>
      </c>
      <c r="W38" s="246">
        <v>15000</v>
      </c>
      <c r="X38" s="441">
        <v>15000</v>
      </c>
      <c r="Y38" s="441"/>
      <c r="Z38" s="441">
        <v>200000</v>
      </c>
      <c r="AA38" s="445"/>
      <c r="AB38" s="27" t="s">
        <v>14126</v>
      </c>
      <c r="AC38" s="27" t="s">
        <v>14312</v>
      </c>
      <c r="AD38" s="27" t="s">
        <v>14313</v>
      </c>
      <c r="AE38" s="20" t="s">
        <v>14314</v>
      </c>
      <c r="AF38" s="254" t="s">
        <v>14315</v>
      </c>
      <c r="AG38" s="255" t="s">
        <v>14316</v>
      </c>
      <c r="AH38" s="255"/>
      <c r="AI38" s="1610" t="s">
        <v>14317</v>
      </c>
      <c r="AJ38" s="259" t="s">
        <v>14318</v>
      </c>
      <c r="AK38" s="27" t="s">
        <v>14319</v>
      </c>
    </row>
    <row r="39" s="2" customFormat="1" ht="14.1" customHeight="1" spans="1:37">
      <c r="A39" s="27">
        <v>9</v>
      </c>
      <c r="B39" s="27" t="s">
        <v>14320</v>
      </c>
      <c r="C39" s="238" t="s">
        <v>14321</v>
      </c>
      <c r="D39" s="42" t="s">
        <v>14322</v>
      </c>
      <c r="E39" s="42" t="s">
        <v>125</v>
      </c>
      <c r="F39" s="20" t="s">
        <v>44</v>
      </c>
      <c r="G39" s="27" t="s">
        <v>7940</v>
      </c>
      <c r="H39" s="42">
        <v>42170</v>
      </c>
      <c r="I39" s="42">
        <v>42261</v>
      </c>
      <c r="J39" s="42">
        <v>42627</v>
      </c>
      <c r="K39" s="42"/>
      <c r="L39" s="42"/>
      <c r="M39" s="42"/>
      <c r="N39" s="42"/>
      <c r="O39" s="42"/>
      <c r="P39" s="42"/>
      <c r="Q39" s="42"/>
      <c r="R39" s="42"/>
      <c r="S39" s="42"/>
      <c r="T39" s="53">
        <f ca="1">SUM(J39-NOW())</f>
        <v>-645.38453703704</v>
      </c>
      <c r="U39" s="439" t="str">
        <f ca="1" t="shared" si="5"/>
        <v>WARNING</v>
      </c>
      <c r="V39" s="440">
        <v>3100000</v>
      </c>
      <c r="W39" s="246">
        <v>15000</v>
      </c>
      <c r="X39" s="441">
        <v>15000</v>
      </c>
      <c r="Y39" s="441"/>
      <c r="Z39" s="441">
        <v>200000</v>
      </c>
      <c r="AA39" s="445"/>
      <c r="AB39" s="27" t="s">
        <v>14126</v>
      </c>
      <c r="AC39" s="27" t="s">
        <v>14323</v>
      </c>
      <c r="AD39" s="27" t="s">
        <v>14324</v>
      </c>
      <c r="AE39" s="20" t="s">
        <v>14325</v>
      </c>
      <c r="AF39" s="254"/>
      <c r="AG39" s="255" t="s">
        <v>14326</v>
      </c>
      <c r="AH39" s="255" t="s">
        <v>14327</v>
      </c>
      <c r="AI39" s="458" t="s">
        <v>14328</v>
      </c>
      <c r="AJ39" s="259" t="s">
        <v>14329</v>
      </c>
      <c r="AK39" s="27" t="s">
        <v>14330</v>
      </c>
    </row>
    <row r="40" s="2" customFormat="1" customHeight="1" spans="1:37">
      <c r="A40" s="1610" t="s">
        <v>215</v>
      </c>
      <c r="B40" s="27" t="s">
        <v>14331</v>
      </c>
      <c r="C40" s="238" t="s">
        <v>14332</v>
      </c>
      <c r="D40" s="42" t="s">
        <v>14333</v>
      </c>
      <c r="E40" s="42" t="s">
        <v>125</v>
      </c>
      <c r="F40" s="20" t="s">
        <v>43</v>
      </c>
      <c r="G40" s="27" t="s">
        <v>7940</v>
      </c>
      <c r="H40" s="42">
        <v>42328</v>
      </c>
      <c r="I40" s="42">
        <v>42419</v>
      </c>
      <c r="J40" s="42">
        <v>42785</v>
      </c>
      <c r="K40" s="42">
        <v>43058</v>
      </c>
      <c r="L40" s="42"/>
      <c r="M40" s="42">
        <v>43059</v>
      </c>
      <c r="N40" s="42">
        <v>43150</v>
      </c>
      <c r="O40" s="42"/>
      <c r="P40" s="42"/>
      <c r="Q40" s="42"/>
      <c r="R40" s="42"/>
      <c r="S40" s="42"/>
      <c r="T40" s="53">
        <f ca="1">SUM(K40-NOW())</f>
        <v>-214.38453703704</v>
      </c>
      <c r="U40" s="439" t="str">
        <f ca="1" t="shared" si="5"/>
        <v>WARNING</v>
      </c>
      <c r="V40" s="440">
        <v>3355750</v>
      </c>
      <c r="W40" s="246">
        <v>15000</v>
      </c>
      <c r="X40" s="441">
        <v>15000</v>
      </c>
      <c r="Y40" s="441"/>
      <c r="Z40" s="441">
        <v>200000</v>
      </c>
      <c r="AA40" s="445" t="s">
        <v>14334</v>
      </c>
      <c r="AB40" s="27" t="s">
        <v>14126</v>
      </c>
      <c r="AC40" s="27" t="s">
        <v>14335</v>
      </c>
      <c r="AD40" s="27" t="s">
        <v>14336</v>
      </c>
      <c r="AE40" s="20" t="s">
        <v>14337</v>
      </c>
      <c r="AF40" s="254" t="s">
        <v>14338</v>
      </c>
      <c r="AG40" s="255" t="s">
        <v>14339</v>
      </c>
      <c r="AH40" s="255" t="s">
        <v>14340</v>
      </c>
      <c r="AI40" s="458" t="s">
        <v>14341</v>
      </c>
      <c r="AJ40" s="259" t="s">
        <v>14342</v>
      </c>
      <c r="AK40" s="27" t="s">
        <v>14343</v>
      </c>
    </row>
    <row r="41" s="2" customFormat="1" customHeight="1" spans="1:37">
      <c r="A41" s="1610" t="s">
        <v>239</v>
      </c>
      <c r="B41" s="27" t="s">
        <v>14344</v>
      </c>
      <c r="C41" s="238" t="s">
        <v>14345</v>
      </c>
      <c r="D41" s="42" t="s">
        <v>14346</v>
      </c>
      <c r="E41" s="42" t="s">
        <v>125</v>
      </c>
      <c r="F41" s="20" t="s">
        <v>44</v>
      </c>
      <c r="G41" s="27" t="s">
        <v>7940</v>
      </c>
      <c r="H41" s="42">
        <v>42333</v>
      </c>
      <c r="I41" s="42">
        <v>42424</v>
      </c>
      <c r="J41" s="42">
        <v>42790</v>
      </c>
      <c r="K41" s="42">
        <v>43063</v>
      </c>
      <c r="L41" s="42"/>
      <c r="M41" s="42">
        <v>43064</v>
      </c>
      <c r="N41" s="42">
        <v>43155</v>
      </c>
      <c r="O41" s="42"/>
      <c r="P41" s="42"/>
      <c r="Q41" s="42"/>
      <c r="R41" s="42"/>
      <c r="S41" s="42"/>
      <c r="T41" s="53">
        <f ca="1">SUM(K41-NOW())</f>
        <v>-209.38453703704</v>
      </c>
      <c r="U41" s="439" t="str">
        <f ca="1" t="shared" si="5"/>
        <v>WARNING</v>
      </c>
      <c r="V41" s="440">
        <v>3355750</v>
      </c>
      <c r="W41" s="246">
        <v>15000</v>
      </c>
      <c r="X41" s="441">
        <v>15000</v>
      </c>
      <c r="Y41" s="441"/>
      <c r="Z41" s="441">
        <v>200000</v>
      </c>
      <c r="AA41" s="445" t="s">
        <v>14334</v>
      </c>
      <c r="AB41" s="27" t="s">
        <v>14126</v>
      </c>
      <c r="AC41" s="27" t="s">
        <v>14347</v>
      </c>
      <c r="AD41" s="27" t="s">
        <v>14348</v>
      </c>
      <c r="AE41" s="20" t="s">
        <v>14349</v>
      </c>
      <c r="AF41" s="254" t="s">
        <v>14350</v>
      </c>
      <c r="AG41" s="255" t="s">
        <v>14351</v>
      </c>
      <c r="AH41" s="255"/>
      <c r="AI41" s="1610" t="s">
        <v>14352</v>
      </c>
      <c r="AJ41" s="259" t="s">
        <v>14353</v>
      </c>
      <c r="AK41" s="27" t="s">
        <v>14354</v>
      </c>
    </row>
    <row r="42" s="2" customFormat="1" customHeight="1" spans="1:37">
      <c r="A42" s="1610" t="s">
        <v>68</v>
      </c>
      <c r="B42" s="27" t="s">
        <v>14355</v>
      </c>
      <c r="C42" s="238" t="s">
        <v>14356</v>
      </c>
      <c r="D42" s="42" t="s">
        <v>14357</v>
      </c>
      <c r="E42" s="42" t="s">
        <v>125</v>
      </c>
      <c r="F42" s="20" t="s">
        <v>44</v>
      </c>
      <c r="G42" s="27" t="s">
        <v>7940</v>
      </c>
      <c r="H42" s="42">
        <v>41822</v>
      </c>
      <c r="I42" s="42">
        <v>41912</v>
      </c>
      <c r="J42" s="42">
        <v>42124</v>
      </c>
      <c r="K42" s="42">
        <v>42490</v>
      </c>
      <c r="L42" s="42">
        <v>42552</v>
      </c>
      <c r="M42" s="42">
        <v>42553</v>
      </c>
      <c r="N42" s="42">
        <v>42855</v>
      </c>
      <c r="O42" s="42">
        <v>42917</v>
      </c>
      <c r="P42" s="42">
        <v>42918</v>
      </c>
      <c r="Q42" s="42">
        <v>42948</v>
      </c>
      <c r="R42" s="42">
        <v>42949</v>
      </c>
      <c r="S42" s="42">
        <v>43313</v>
      </c>
      <c r="T42" s="53">
        <f ca="1">SUM(S42-NOW())</f>
        <v>40.61546296296</v>
      </c>
      <c r="U42" s="439" t="str">
        <f ca="1" t="shared" si="5"/>
        <v>ACTIVE</v>
      </c>
      <c r="V42" s="440">
        <v>3355750</v>
      </c>
      <c r="W42" s="246">
        <v>15000</v>
      </c>
      <c r="X42" s="441">
        <v>15000</v>
      </c>
      <c r="Y42" s="441"/>
      <c r="Z42" s="441">
        <v>200000</v>
      </c>
      <c r="AA42" s="445" t="s">
        <v>14358</v>
      </c>
      <c r="AB42" s="27" t="s">
        <v>14126</v>
      </c>
      <c r="AC42" s="27" t="s">
        <v>14359</v>
      </c>
      <c r="AD42" s="27" t="s">
        <v>14360</v>
      </c>
      <c r="AE42" s="20" t="s">
        <v>14361</v>
      </c>
      <c r="AF42" s="254"/>
      <c r="AG42" s="1622" t="s">
        <v>14362</v>
      </c>
      <c r="AH42" s="1622" t="s">
        <v>14363</v>
      </c>
      <c r="AI42" s="458" t="s">
        <v>14364</v>
      </c>
      <c r="AJ42" s="259" t="s">
        <v>14365</v>
      </c>
      <c r="AK42" s="27" t="s">
        <v>14366</v>
      </c>
    </row>
    <row r="43" s="2" customFormat="1" customHeight="1" spans="1:37">
      <c r="A43" s="1610" t="s">
        <v>135</v>
      </c>
      <c r="B43" s="27" t="s">
        <v>14367</v>
      </c>
      <c r="C43" s="238" t="s">
        <v>14368</v>
      </c>
      <c r="D43" s="42" t="s">
        <v>14369</v>
      </c>
      <c r="E43" s="42" t="s">
        <v>125</v>
      </c>
      <c r="F43" s="20" t="s">
        <v>254</v>
      </c>
      <c r="G43" s="27" t="s">
        <v>7940</v>
      </c>
      <c r="H43" s="42">
        <v>42242</v>
      </c>
      <c r="I43" s="42">
        <v>42333</v>
      </c>
      <c r="J43" s="42">
        <v>42699</v>
      </c>
      <c r="K43" s="42">
        <v>42972</v>
      </c>
      <c r="L43" s="42"/>
      <c r="M43" s="42">
        <v>42973</v>
      </c>
      <c r="N43" s="42">
        <v>43064</v>
      </c>
      <c r="O43" s="42">
        <v>43337</v>
      </c>
      <c r="P43" s="42">
        <v>43338</v>
      </c>
      <c r="Q43" s="42">
        <v>43368</v>
      </c>
      <c r="R43" s="42">
        <v>43369</v>
      </c>
      <c r="S43" s="42">
        <v>43429</v>
      </c>
      <c r="T43" s="53">
        <f ca="1">SUM(S43-NOW())</f>
        <v>156.61546296296</v>
      </c>
      <c r="U43" s="439" t="str">
        <f ca="1" t="shared" si="5"/>
        <v>ACTIVE</v>
      </c>
      <c r="V43" s="440">
        <v>3355750</v>
      </c>
      <c r="W43" s="246">
        <v>15000</v>
      </c>
      <c r="X43" s="441">
        <v>15000</v>
      </c>
      <c r="Y43" s="441"/>
      <c r="Z43" s="441">
        <v>200000</v>
      </c>
      <c r="AA43" s="445" t="s">
        <v>14334</v>
      </c>
      <c r="AB43" s="27" t="s">
        <v>14126</v>
      </c>
      <c r="AC43" s="27" t="s">
        <v>14370</v>
      </c>
      <c r="AD43" s="27" t="s">
        <v>14371</v>
      </c>
      <c r="AE43" s="20" t="s">
        <v>14372</v>
      </c>
      <c r="AF43" s="254">
        <v>0</v>
      </c>
      <c r="AG43" s="255" t="s">
        <v>14373</v>
      </c>
      <c r="AH43" s="255"/>
      <c r="AI43" s="458" t="s">
        <v>14374</v>
      </c>
      <c r="AJ43" s="259" t="s">
        <v>14375</v>
      </c>
      <c r="AK43" s="27" t="s">
        <v>14376</v>
      </c>
    </row>
    <row r="44" s="2" customFormat="1" customHeight="1" spans="1:37">
      <c r="A44" s="1610" t="s">
        <v>215</v>
      </c>
      <c r="B44" s="27" t="s">
        <v>14377</v>
      </c>
      <c r="C44" s="238" t="s">
        <v>14378</v>
      </c>
      <c r="D44" s="42" t="s">
        <v>14379</v>
      </c>
      <c r="E44" s="42" t="s">
        <v>125</v>
      </c>
      <c r="F44" s="20" t="s">
        <v>44</v>
      </c>
      <c r="G44" s="27" t="s">
        <v>7940</v>
      </c>
      <c r="H44" s="42">
        <v>42333</v>
      </c>
      <c r="I44" s="42">
        <v>42425</v>
      </c>
      <c r="J44" s="42">
        <v>42791</v>
      </c>
      <c r="K44" s="42">
        <v>43063</v>
      </c>
      <c r="L44" s="42"/>
      <c r="M44" s="42">
        <v>43064</v>
      </c>
      <c r="N44" s="42">
        <v>43156</v>
      </c>
      <c r="O44" s="42"/>
      <c r="P44" s="42"/>
      <c r="Q44" s="42"/>
      <c r="R44" s="42"/>
      <c r="S44" s="42"/>
      <c r="T44" s="53">
        <f ca="1">SUM(N44-NOW())</f>
        <v>-116.38453703704</v>
      </c>
      <c r="U44" s="439" t="str">
        <f ca="1" t="shared" si="5"/>
        <v>WARNING</v>
      </c>
      <c r="V44" s="440">
        <v>3648036</v>
      </c>
      <c r="W44" s="246">
        <v>15000</v>
      </c>
      <c r="X44" s="441">
        <v>15000</v>
      </c>
      <c r="Y44" s="441"/>
      <c r="Z44" s="441">
        <v>200000</v>
      </c>
      <c r="AA44" s="445" t="s">
        <v>14178</v>
      </c>
      <c r="AB44" s="27" t="s">
        <v>14126</v>
      </c>
      <c r="AC44" s="27" t="s">
        <v>14380</v>
      </c>
      <c r="AD44" s="27" t="s">
        <v>14381</v>
      </c>
      <c r="AE44" s="20" t="s">
        <v>14382</v>
      </c>
      <c r="AF44" s="254" t="s">
        <v>2574</v>
      </c>
      <c r="AG44" s="255" t="s">
        <v>14383</v>
      </c>
      <c r="AH44" s="255"/>
      <c r="AI44" s="458" t="s">
        <v>14384</v>
      </c>
      <c r="AJ44" s="259" t="s">
        <v>14385</v>
      </c>
      <c r="AK44" s="27" t="s">
        <v>14386</v>
      </c>
    </row>
    <row r="45" s="3" customFormat="1" ht="22.5" spans="1:37">
      <c r="A45" s="1610" t="s">
        <v>121</v>
      </c>
      <c r="B45" s="27" t="s">
        <v>14387</v>
      </c>
      <c r="C45" s="238" t="s">
        <v>14388</v>
      </c>
      <c r="D45" s="42" t="s">
        <v>14389</v>
      </c>
      <c r="E45" s="42" t="s">
        <v>125</v>
      </c>
      <c r="F45" s="20" t="s">
        <v>44</v>
      </c>
      <c r="G45" s="27" t="s">
        <v>7940</v>
      </c>
      <c r="H45" s="42">
        <v>42228</v>
      </c>
      <c r="I45" s="42">
        <v>42319</v>
      </c>
      <c r="J45" s="42">
        <v>42685</v>
      </c>
      <c r="K45" s="42">
        <v>42958</v>
      </c>
      <c r="L45" s="42"/>
      <c r="M45" s="42">
        <v>42959</v>
      </c>
      <c r="N45" s="42">
        <v>43050</v>
      </c>
      <c r="O45" s="42">
        <v>43323</v>
      </c>
      <c r="P45" s="42">
        <v>43324</v>
      </c>
      <c r="Q45" s="42">
        <v>43354</v>
      </c>
      <c r="R45" s="42">
        <v>43355</v>
      </c>
      <c r="S45" s="42">
        <v>43415</v>
      </c>
      <c r="T45" s="53">
        <f ca="1" t="shared" ref="T45" si="6">SUM(S45-NOW())</f>
        <v>142.61546296296</v>
      </c>
      <c r="U45" s="439" t="str">
        <f ca="1" t="shared" ref="U45:U46" si="7">IF(T45&lt;=40,"WARNING","ACTIVE")</f>
        <v>ACTIVE</v>
      </c>
      <c r="V45" s="440">
        <v>3648036</v>
      </c>
      <c r="W45" s="246">
        <v>15000</v>
      </c>
      <c r="X45" s="441">
        <v>15000</v>
      </c>
      <c r="Y45" s="441"/>
      <c r="Z45" s="441">
        <v>200000</v>
      </c>
      <c r="AA45" s="445" t="s">
        <v>14178</v>
      </c>
      <c r="AB45" s="27" t="s">
        <v>14126</v>
      </c>
      <c r="AC45" s="27" t="s">
        <v>14390</v>
      </c>
      <c r="AD45" s="27" t="s">
        <v>14391</v>
      </c>
      <c r="AE45" s="20" t="s">
        <v>14392</v>
      </c>
      <c r="AF45" s="254" t="s">
        <v>14393</v>
      </c>
      <c r="AG45" s="255" t="s">
        <v>14394</v>
      </c>
      <c r="AH45" s="255"/>
      <c r="AI45" s="1610" t="s">
        <v>14395</v>
      </c>
      <c r="AJ45" s="259" t="s">
        <v>14396</v>
      </c>
      <c r="AK45" s="27" t="s">
        <v>4601</v>
      </c>
    </row>
    <row r="46" s="3" customFormat="1" ht="24" spans="1:37">
      <c r="A46" s="1610" t="s">
        <v>250</v>
      </c>
      <c r="B46" s="27" t="s">
        <v>14397</v>
      </c>
      <c r="C46" s="238" t="s">
        <v>14398</v>
      </c>
      <c r="D46" s="42" t="s">
        <v>14399</v>
      </c>
      <c r="E46" s="42" t="s">
        <v>125</v>
      </c>
      <c r="F46" s="20" t="s">
        <v>44</v>
      </c>
      <c r="G46" s="27" t="s">
        <v>7940</v>
      </c>
      <c r="H46" s="42">
        <v>42576</v>
      </c>
      <c r="I46" s="42">
        <v>42667</v>
      </c>
      <c r="J46" s="42">
        <v>43032</v>
      </c>
      <c r="K46" s="42">
        <v>43305</v>
      </c>
      <c r="L46" s="42"/>
      <c r="M46" s="42">
        <v>43306</v>
      </c>
      <c r="N46" s="42">
        <v>43397</v>
      </c>
      <c r="O46" s="42"/>
      <c r="P46" s="42"/>
      <c r="Q46" s="42"/>
      <c r="R46" s="42"/>
      <c r="S46" s="42"/>
      <c r="T46" s="53">
        <f ca="1">SUM(N46-NOW())</f>
        <v>124.61546296296</v>
      </c>
      <c r="U46" s="439" t="str">
        <f ca="1" t="shared" si="7"/>
        <v>ACTIVE</v>
      </c>
      <c r="V46" s="440">
        <v>3648036</v>
      </c>
      <c r="W46" s="246">
        <v>15000</v>
      </c>
      <c r="X46" s="441">
        <v>15000</v>
      </c>
      <c r="Y46" s="441"/>
      <c r="Z46" s="441">
        <v>200000</v>
      </c>
      <c r="AA46" s="445" t="s">
        <v>14178</v>
      </c>
      <c r="AB46" s="27" t="s">
        <v>14126</v>
      </c>
      <c r="AC46" s="27" t="s">
        <v>14400</v>
      </c>
      <c r="AD46" s="1610" t="s">
        <v>14401</v>
      </c>
      <c r="AE46" s="20" t="s">
        <v>14402</v>
      </c>
      <c r="AF46" s="254"/>
      <c r="AG46" s="1623" t="s">
        <v>14403</v>
      </c>
      <c r="AH46" s="1623" t="s">
        <v>14404</v>
      </c>
      <c r="AI46" s="1610" t="s">
        <v>14405</v>
      </c>
      <c r="AJ46" s="259" t="s">
        <v>14406</v>
      </c>
      <c r="AK46" s="27" t="s">
        <v>14407</v>
      </c>
    </row>
    <row r="47" s="2" customFormat="1" customHeight="1" spans="33:37">
      <c r="AG47" s="78"/>
      <c r="AH47" s="78"/>
      <c r="AI47" s="78"/>
      <c r="AJ47" s="457"/>
      <c r="AK47" s="79"/>
    </row>
    <row r="48" s="2" customFormat="1" customHeight="1" spans="33:37">
      <c r="AG48" s="78"/>
      <c r="AH48" s="78"/>
      <c r="AI48" s="78"/>
      <c r="AJ48" s="457"/>
      <c r="AK48" s="79"/>
    </row>
    <row r="49" s="2" customFormat="1" customHeight="1" spans="33:37">
      <c r="AG49" s="78"/>
      <c r="AH49" s="78"/>
      <c r="AI49" s="78"/>
      <c r="AJ49" s="457"/>
      <c r="AK49" s="79"/>
    </row>
    <row r="50" s="2" customFormat="1" customHeight="1" spans="33:37">
      <c r="AG50" s="78"/>
      <c r="AH50" s="78"/>
      <c r="AI50" s="78"/>
      <c r="AJ50" s="457"/>
      <c r="AK50" s="79"/>
    </row>
    <row r="51" s="2" customFormat="1" customHeight="1" spans="33:37">
      <c r="AG51" s="78"/>
      <c r="AH51" s="78"/>
      <c r="AI51" s="78"/>
      <c r="AJ51" s="457"/>
      <c r="AK51" s="79"/>
    </row>
    <row r="52" s="2" customFormat="1" customHeight="1" spans="33:37">
      <c r="AG52" s="78"/>
      <c r="AH52" s="78"/>
      <c r="AI52" s="78"/>
      <c r="AJ52" s="457"/>
      <c r="AK52" s="79"/>
    </row>
    <row r="53" s="2" customFormat="1" customHeight="1" spans="33:37">
      <c r="AG53" s="78"/>
      <c r="AH53" s="78"/>
      <c r="AI53" s="78"/>
      <c r="AJ53" s="457"/>
      <c r="AK53" s="79"/>
    </row>
    <row r="54" s="2" customFormat="1" customHeight="1" spans="33:37">
      <c r="AG54" s="78"/>
      <c r="AH54" s="78"/>
      <c r="AI54" s="78"/>
      <c r="AJ54" s="457"/>
      <c r="AK54" s="79"/>
    </row>
    <row r="55" s="2" customFormat="1" customHeight="1" spans="33:37">
      <c r="AG55" s="78"/>
      <c r="AH55" s="78"/>
      <c r="AI55" s="78"/>
      <c r="AJ55" s="457"/>
      <c r="AK55" s="79"/>
    </row>
    <row r="56" s="2" customFormat="1" customHeight="1" spans="33:37">
      <c r="AG56" s="78"/>
      <c r="AH56" s="78"/>
      <c r="AI56" s="78"/>
      <c r="AJ56" s="457"/>
      <c r="AK56" s="79"/>
    </row>
    <row r="57" s="2" customFormat="1" customHeight="1" spans="33:37">
      <c r="AG57" s="78"/>
      <c r="AH57" s="78"/>
      <c r="AI57" s="78"/>
      <c r="AJ57" s="457"/>
      <c r="AK57" s="79"/>
    </row>
    <row r="58" s="2" customFormat="1" customHeight="1" spans="33:37">
      <c r="AG58" s="78"/>
      <c r="AH58" s="78"/>
      <c r="AI58" s="78"/>
      <c r="AJ58" s="457"/>
      <c r="AK58" s="79"/>
    </row>
    <row r="59" s="2" customFormat="1" customHeight="1" spans="33:37">
      <c r="AG59" s="78"/>
      <c r="AH59" s="78"/>
      <c r="AI59" s="78"/>
      <c r="AJ59" s="457"/>
      <c r="AK59" s="79"/>
    </row>
    <row r="60" s="2" customFormat="1" customHeight="1" spans="33:37">
      <c r="AG60" s="78"/>
      <c r="AH60" s="78"/>
      <c r="AI60" s="78"/>
      <c r="AJ60" s="457"/>
      <c r="AK60" s="79"/>
    </row>
    <row r="61" s="2" customFormat="1" customHeight="1" spans="33:37">
      <c r="AG61" s="78"/>
      <c r="AH61" s="78"/>
      <c r="AI61" s="78"/>
      <c r="AJ61" s="457"/>
      <c r="AK61" s="79"/>
    </row>
    <row r="62" s="2" customFormat="1" customHeight="1" spans="33:37">
      <c r="AG62" s="78"/>
      <c r="AH62" s="78"/>
      <c r="AI62" s="78"/>
      <c r="AJ62" s="457"/>
      <c r="AK62" s="79"/>
    </row>
    <row r="63" s="2" customFormat="1" customHeight="1" spans="33:37">
      <c r="AG63" s="78"/>
      <c r="AH63" s="78"/>
      <c r="AI63" s="78"/>
      <c r="AJ63" s="457"/>
      <c r="AK63" s="79"/>
    </row>
    <row r="64" s="2" customFormat="1" customHeight="1" spans="33:37">
      <c r="AG64" s="78"/>
      <c r="AH64" s="78"/>
      <c r="AI64" s="78"/>
      <c r="AJ64" s="457"/>
      <c r="AK64" s="79"/>
    </row>
    <row r="65" s="2" customFormat="1" customHeight="1" spans="33:37">
      <c r="AG65" s="78"/>
      <c r="AH65" s="78"/>
      <c r="AI65" s="78"/>
      <c r="AJ65" s="457"/>
      <c r="AK65" s="79"/>
    </row>
    <row r="66" s="2" customFormat="1" customHeight="1" spans="33:37">
      <c r="AG66" s="78"/>
      <c r="AH66" s="78"/>
      <c r="AI66" s="78"/>
      <c r="AJ66" s="457"/>
      <c r="AK66" s="79"/>
    </row>
    <row r="67" s="2" customFormat="1" customHeight="1" spans="33:37">
      <c r="AG67" s="78"/>
      <c r="AH67" s="78"/>
      <c r="AI67" s="78"/>
      <c r="AJ67" s="457"/>
      <c r="AK67" s="79"/>
    </row>
    <row r="68" s="2" customFormat="1" customHeight="1" spans="33:37">
      <c r="AG68" s="78"/>
      <c r="AH68" s="78"/>
      <c r="AI68" s="78"/>
      <c r="AJ68" s="457"/>
      <c r="AK68" s="79"/>
    </row>
    <row r="69" s="2" customFormat="1" customHeight="1" spans="33:37">
      <c r="AG69" s="78"/>
      <c r="AH69" s="78"/>
      <c r="AI69" s="78"/>
      <c r="AJ69" s="457"/>
      <c r="AK69" s="79"/>
    </row>
    <row r="70" s="2" customFormat="1" customHeight="1" spans="33:37">
      <c r="AG70" s="78"/>
      <c r="AH70" s="78"/>
      <c r="AI70" s="78"/>
      <c r="AJ70" s="457"/>
      <c r="AK70" s="79"/>
    </row>
    <row r="71" s="2" customFormat="1" customHeight="1" spans="33:37">
      <c r="AG71" s="78"/>
      <c r="AH71" s="78"/>
      <c r="AI71" s="78"/>
      <c r="AJ71" s="457"/>
      <c r="AK71" s="79"/>
    </row>
    <row r="72" s="2" customFormat="1" customHeight="1" spans="33:37">
      <c r="AG72" s="78"/>
      <c r="AH72" s="78"/>
      <c r="AI72" s="78"/>
      <c r="AJ72" s="457"/>
      <c r="AK72" s="79"/>
    </row>
    <row r="73" s="2" customFormat="1" customHeight="1" spans="33:37">
      <c r="AG73" s="78"/>
      <c r="AH73" s="78"/>
      <c r="AI73" s="78"/>
      <c r="AJ73" s="457"/>
      <c r="AK73" s="79"/>
    </row>
    <row r="74" s="2" customFormat="1" customHeight="1" spans="33:37">
      <c r="AG74" s="78"/>
      <c r="AH74" s="78"/>
      <c r="AI74" s="78"/>
      <c r="AJ74" s="457"/>
      <c r="AK74" s="79"/>
    </row>
    <row r="75" s="2" customFormat="1" customHeight="1" spans="33:37">
      <c r="AG75" s="78"/>
      <c r="AH75" s="78"/>
      <c r="AI75" s="78"/>
      <c r="AJ75" s="457"/>
      <c r="AK75" s="79"/>
    </row>
    <row r="76" s="2" customFormat="1" customHeight="1" spans="33:37">
      <c r="AG76" s="78"/>
      <c r="AH76" s="78"/>
      <c r="AI76" s="78"/>
      <c r="AJ76" s="457"/>
      <c r="AK76" s="79"/>
    </row>
    <row r="77" s="2" customFormat="1" customHeight="1" spans="33:37">
      <c r="AG77" s="78"/>
      <c r="AH77" s="78"/>
      <c r="AI77" s="78"/>
      <c r="AJ77" s="457"/>
      <c r="AK77" s="79"/>
    </row>
    <row r="78" s="2" customFormat="1" customHeight="1" spans="33:37">
      <c r="AG78" s="78"/>
      <c r="AH78" s="78"/>
      <c r="AI78" s="78"/>
      <c r="AJ78" s="457"/>
      <c r="AK78" s="79"/>
    </row>
    <row r="79" s="2" customFormat="1" customHeight="1" spans="33:37">
      <c r="AG79" s="78"/>
      <c r="AH79" s="78"/>
      <c r="AI79" s="78"/>
      <c r="AJ79" s="457"/>
      <c r="AK79" s="79"/>
    </row>
    <row r="80" s="2" customFormat="1" customHeight="1" spans="33:37">
      <c r="AG80" s="78"/>
      <c r="AH80" s="78"/>
      <c r="AI80" s="78"/>
      <c r="AJ80" s="457"/>
      <c r="AK80" s="79"/>
    </row>
    <row r="81" s="2" customFormat="1" customHeight="1" spans="33:37">
      <c r="AG81" s="78"/>
      <c r="AH81" s="78"/>
      <c r="AI81" s="78"/>
      <c r="AJ81" s="457"/>
      <c r="AK81" s="79"/>
    </row>
    <row r="82" s="2" customFormat="1" customHeight="1" spans="33:37">
      <c r="AG82" s="78"/>
      <c r="AH82" s="78"/>
      <c r="AI82" s="78"/>
      <c r="AJ82" s="457"/>
      <c r="AK82" s="79"/>
    </row>
    <row r="83" s="2" customFormat="1" customHeight="1" spans="33:37">
      <c r="AG83" s="78"/>
      <c r="AH83" s="78"/>
      <c r="AI83" s="78"/>
      <c r="AJ83" s="457"/>
      <c r="AK83" s="79"/>
    </row>
    <row r="84" s="2" customFormat="1" customHeight="1" spans="33:37">
      <c r="AG84" s="78"/>
      <c r="AH84" s="78"/>
      <c r="AI84" s="78"/>
      <c r="AJ84" s="457"/>
      <c r="AK84" s="79"/>
    </row>
    <row r="85" s="2" customFormat="1" customHeight="1" spans="33:37">
      <c r="AG85" s="78"/>
      <c r="AH85" s="78"/>
      <c r="AI85" s="78"/>
      <c r="AJ85" s="457"/>
      <c r="AK85" s="79"/>
    </row>
    <row r="86" s="2" customFormat="1" customHeight="1" spans="33:37">
      <c r="AG86" s="78"/>
      <c r="AH86" s="78"/>
      <c r="AI86" s="78"/>
      <c r="AJ86" s="457"/>
      <c r="AK86" s="79"/>
    </row>
    <row r="87" s="2" customFormat="1" customHeight="1" spans="33:37">
      <c r="AG87" s="78"/>
      <c r="AH87" s="78"/>
      <c r="AI87" s="78"/>
      <c r="AJ87" s="457"/>
      <c r="AK87" s="79"/>
    </row>
    <row r="88" s="2" customFormat="1" customHeight="1" spans="33:37">
      <c r="AG88" s="78"/>
      <c r="AH88" s="78"/>
      <c r="AI88" s="78"/>
      <c r="AJ88" s="457"/>
      <c r="AK88" s="79"/>
    </row>
    <row r="89" s="2" customFormat="1" customHeight="1" spans="33:37">
      <c r="AG89" s="78"/>
      <c r="AH89" s="78"/>
      <c r="AI89" s="78"/>
      <c r="AJ89" s="457"/>
      <c r="AK89" s="79"/>
    </row>
    <row r="90" s="2" customFormat="1" customHeight="1" spans="33:37">
      <c r="AG90" s="78"/>
      <c r="AH90" s="78"/>
      <c r="AI90" s="78"/>
      <c r="AJ90" s="457"/>
      <c r="AK90" s="79"/>
    </row>
    <row r="91" s="2" customFormat="1" customHeight="1" spans="33:37">
      <c r="AG91" s="78"/>
      <c r="AH91" s="78"/>
      <c r="AI91" s="78"/>
      <c r="AJ91" s="457"/>
      <c r="AK91" s="79"/>
    </row>
    <row r="92" s="2" customFormat="1" customHeight="1" spans="33:37">
      <c r="AG92" s="78"/>
      <c r="AH92" s="78"/>
      <c r="AI92" s="78"/>
      <c r="AJ92" s="457"/>
      <c r="AK92" s="79"/>
    </row>
    <row r="93" s="2" customFormat="1" customHeight="1" spans="33:37">
      <c r="AG93" s="78"/>
      <c r="AH93" s="78"/>
      <c r="AI93" s="78"/>
      <c r="AJ93" s="457"/>
      <c r="AK93" s="79"/>
    </row>
    <row r="94" s="2" customFormat="1" customHeight="1" spans="33:37">
      <c r="AG94" s="78"/>
      <c r="AH94" s="78"/>
      <c r="AI94" s="78"/>
      <c r="AJ94" s="457"/>
      <c r="AK94" s="79"/>
    </row>
    <row r="95" s="2" customFormat="1" customHeight="1" spans="33:37">
      <c r="AG95" s="78"/>
      <c r="AH95" s="78"/>
      <c r="AI95" s="78"/>
      <c r="AJ95" s="457"/>
      <c r="AK95" s="79"/>
    </row>
    <row r="96" s="2" customFormat="1" customHeight="1" spans="33:37">
      <c r="AG96" s="78"/>
      <c r="AH96" s="78"/>
      <c r="AI96" s="78"/>
      <c r="AJ96" s="457"/>
      <c r="AK96" s="79"/>
    </row>
    <row r="97" s="2" customFormat="1" customHeight="1" spans="33:37">
      <c r="AG97" s="78"/>
      <c r="AH97" s="78"/>
      <c r="AI97" s="78"/>
      <c r="AJ97" s="457"/>
      <c r="AK97" s="79"/>
    </row>
    <row r="98" s="2" customFormat="1" customHeight="1" spans="33:37">
      <c r="AG98" s="78"/>
      <c r="AH98" s="78"/>
      <c r="AI98" s="78"/>
      <c r="AJ98" s="457"/>
      <c r="AK98" s="79"/>
    </row>
    <row r="99" s="2" customFormat="1" customHeight="1" spans="33:37">
      <c r="AG99" s="78"/>
      <c r="AH99" s="78"/>
      <c r="AI99" s="78"/>
      <c r="AJ99" s="457"/>
      <c r="AK99" s="79"/>
    </row>
    <row r="100" s="2" customFormat="1" customHeight="1" spans="33:37">
      <c r="AG100" s="78"/>
      <c r="AH100" s="78"/>
      <c r="AI100" s="78"/>
      <c r="AJ100" s="457"/>
      <c r="AK100" s="79"/>
    </row>
    <row r="101" s="2" customFormat="1" customHeight="1" spans="33:37">
      <c r="AG101" s="78"/>
      <c r="AH101" s="78"/>
      <c r="AI101" s="78"/>
      <c r="AJ101" s="457"/>
      <c r="AK101" s="79"/>
    </row>
    <row r="102" s="2" customFormat="1" customHeight="1" spans="33:37">
      <c r="AG102" s="78"/>
      <c r="AH102" s="78"/>
      <c r="AI102" s="78"/>
      <c r="AJ102" s="457"/>
      <c r="AK102" s="79"/>
    </row>
    <row r="103" s="2" customFormat="1" customHeight="1" spans="33:37">
      <c r="AG103" s="78"/>
      <c r="AH103" s="78"/>
      <c r="AI103" s="78"/>
      <c r="AJ103" s="457"/>
      <c r="AK103" s="79"/>
    </row>
    <row r="104" s="2" customFormat="1" customHeight="1" spans="33:37">
      <c r="AG104" s="78"/>
      <c r="AH104" s="78"/>
      <c r="AI104" s="78"/>
      <c r="AJ104" s="457"/>
      <c r="AK104" s="79"/>
    </row>
    <row r="105" s="2" customFormat="1" customHeight="1" spans="33:37">
      <c r="AG105" s="78"/>
      <c r="AH105" s="78"/>
      <c r="AI105" s="78"/>
      <c r="AJ105" s="457"/>
      <c r="AK105" s="79"/>
    </row>
    <row r="106" s="2" customFormat="1" customHeight="1" spans="33:37">
      <c r="AG106" s="78"/>
      <c r="AH106" s="78"/>
      <c r="AI106" s="78"/>
      <c r="AJ106" s="457"/>
      <c r="AK106" s="79"/>
    </row>
    <row r="107" s="2" customFormat="1" customHeight="1" spans="33:37">
      <c r="AG107" s="78"/>
      <c r="AH107" s="78"/>
      <c r="AI107" s="78"/>
      <c r="AJ107" s="457"/>
      <c r="AK107" s="79"/>
    </row>
    <row r="108" s="2" customFormat="1" customHeight="1" spans="33:37">
      <c r="AG108" s="78"/>
      <c r="AH108" s="78"/>
      <c r="AI108" s="78"/>
      <c r="AJ108" s="457"/>
      <c r="AK108" s="79"/>
    </row>
    <row r="109" s="2" customFormat="1" customHeight="1" spans="33:37">
      <c r="AG109" s="78"/>
      <c r="AH109" s="78"/>
      <c r="AI109" s="78"/>
      <c r="AJ109" s="457"/>
      <c r="AK109" s="79"/>
    </row>
    <row r="110" s="2" customFormat="1" customHeight="1" spans="33:37">
      <c r="AG110" s="78"/>
      <c r="AH110" s="78"/>
      <c r="AI110" s="78"/>
      <c r="AJ110" s="457"/>
      <c r="AK110" s="79"/>
    </row>
    <row r="111" s="2" customFormat="1" customHeight="1" spans="33:37">
      <c r="AG111" s="78"/>
      <c r="AH111" s="78"/>
      <c r="AI111" s="78"/>
      <c r="AJ111" s="457"/>
      <c r="AK111" s="79"/>
    </row>
    <row r="112" s="2" customFormat="1" customHeight="1" spans="33:37">
      <c r="AG112" s="78"/>
      <c r="AH112" s="78"/>
      <c r="AI112" s="78"/>
      <c r="AJ112" s="457"/>
      <c r="AK112" s="79"/>
    </row>
    <row r="113" s="2" customFormat="1" customHeight="1" spans="33:37">
      <c r="AG113" s="78"/>
      <c r="AH113" s="78"/>
      <c r="AI113" s="78"/>
      <c r="AJ113" s="457"/>
      <c r="AK113" s="79"/>
    </row>
    <row r="114" s="2" customFormat="1" customHeight="1" spans="33:37">
      <c r="AG114" s="78"/>
      <c r="AH114" s="78"/>
      <c r="AI114" s="78"/>
      <c r="AJ114" s="457"/>
      <c r="AK114" s="79"/>
    </row>
    <row r="115" s="2" customFormat="1" customHeight="1" spans="33:37">
      <c r="AG115" s="78"/>
      <c r="AH115" s="78"/>
      <c r="AI115" s="78"/>
      <c r="AJ115" s="457"/>
      <c r="AK115" s="79"/>
    </row>
    <row r="116" s="2" customFormat="1" customHeight="1" spans="33:37">
      <c r="AG116" s="78"/>
      <c r="AH116" s="78"/>
      <c r="AI116" s="78"/>
      <c r="AJ116" s="457"/>
      <c r="AK116" s="79"/>
    </row>
    <row r="117" s="2" customFormat="1" customHeight="1" spans="33:37">
      <c r="AG117" s="78"/>
      <c r="AH117" s="78"/>
      <c r="AI117" s="78"/>
      <c r="AJ117" s="457"/>
      <c r="AK117" s="79"/>
    </row>
    <row r="118" s="2" customFormat="1" customHeight="1" spans="33:37">
      <c r="AG118" s="78"/>
      <c r="AH118" s="78"/>
      <c r="AI118" s="78"/>
      <c r="AJ118" s="457"/>
      <c r="AK118" s="79"/>
    </row>
    <row r="119" s="2" customFormat="1" customHeight="1" spans="33:37">
      <c r="AG119" s="78"/>
      <c r="AH119" s="78"/>
      <c r="AI119" s="78"/>
      <c r="AJ119" s="457"/>
      <c r="AK119" s="79"/>
    </row>
    <row r="120" s="2" customFormat="1" customHeight="1" spans="33:37">
      <c r="AG120" s="78"/>
      <c r="AH120" s="78"/>
      <c r="AI120" s="78"/>
      <c r="AJ120" s="457"/>
      <c r="AK120" s="79"/>
    </row>
    <row r="121" s="2" customFormat="1" customHeight="1" spans="33:37">
      <c r="AG121" s="78"/>
      <c r="AH121" s="78"/>
      <c r="AI121" s="78"/>
      <c r="AJ121" s="457"/>
      <c r="AK121" s="79"/>
    </row>
    <row r="122" s="2" customFormat="1" customHeight="1" spans="33:37">
      <c r="AG122" s="78"/>
      <c r="AH122" s="78"/>
      <c r="AI122" s="78"/>
      <c r="AJ122" s="457"/>
      <c r="AK122" s="79"/>
    </row>
    <row r="123" s="2" customFormat="1" customHeight="1" spans="33:37">
      <c r="AG123" s="78"/>
      <c r="AH123" s="78"/>
      <c r="AI123" s="78"/>
      <c r="AJ123" s="457"/>
      <c r="AK123" s="79"/>
    </row>
    <row r="124" s="2" customFormat="1" customHeight="1" spans="33:37">
      <c r="AG124" s="78"/>
      <c r="AH124" s="78"/>
      <c r="AI124" s="78"/>
      <c r="AJ124" s="457"/>
      <c r="AK124" s="79"/>
    </row>
    <row r="125" s="2" customFormat="1" customHeight="1" spans="33:37">
      <c r="AG125" s="78"/>
      <c r="AH125" s="78"/>
      <c r="AI125" s="78"/>
      <c r="AJ125" s="457"/>
      <c r="AK125" s="79"/>
    </row>
    <row r="126" s="2" customFormat="1" customHeight="1" spans="33:37">
      <c r="AG126" s="78"/>
      <c r="AH126" s="78"/>
      <c r="AI126" s="78"/>
      <c r="AJ126" s="457"/>
      <c r="AK126" s="79"/>
    </row>
    <row r="127" s="2" customFormat="1" customHeight="1" spans="33:37">
      <c r="AG127" s="78"/>
      <c r="AH127" s="78"/>
      <c r="AI127" s="78"/>
      <c r="AJ127" s="457"/>
      <c r="AK127" s="79"/>
    </row>
    <row r="128" s="2" customFormat="1" customHeight="1" spans="33:37">
      <c r="AG128" s="78"/>
      <c r="AH128" s="78"/>
      <c r="AI128" s="78"/>
      <c r="AJ128" s="457"/>
      <c r="AK128" s="79"/>
    </row>
    <row r="129" s="2" customFormat="1" customHeight="1" spans="33:37">
      <c r="AG129" s="78"/>
      <c r="AH129" s="78"/>
      <c r="AI129" s="78"/>
      <c r="AJ129" s="457"/>
      <c r="AK129" s="79"/>
    </row>
    <row r="130" s="2" customFormat="1" customHeight="1" spans="33:37">
      <c r="AG130" s="78"/>
      <c r="AH130" s="78"/>
      <c r="AI130" s="78"/>
      <c r="AJ130" s="457"/>
      <c r="AK130" s="79"/>
    </row>
    <row r="131" s="2" customFormat="1" customHeight="1" spans="33:37">
      <c r="AG131" s="78"/>
      <c r="AH131" s="78"/>
      <c r="AI131" s="78"/>
      <c r="AJ131" s="457"/>
      <c r="AK131" s="79"/>
    </row>
    <row r="132" s="2" customFormat="1" customHeight="1" spans="33:37">
      <c r="AG132" s="78"/>
      <c r="AH132" s="78"/>
      <c r="AI132" s="78"/>
      <c r="AJ132" s="457"/>
      <c r="AK132" s="79"/>
    </row>
    <row r="133" s="2" customFormat="1" customHeight="1" spans="33:37">
      <c r="AG133" s="78"/>
      <c r="AH133" s="78"/>
      <c r="AI133" s="78"/>
      <c r="AJ133" s="457"/>
      <c r="AK133" s="79"/>
    </row>
    <row r="134" s="2" customFormat="1" customHeight="1" spans="33:37">
      <c r="AG134" s="78"/>
      <c r="AH134" s="78"/>
      <c r="AI134" s="78"/>
      <c r="AJ134" s="457"/>
      <c r="AK134" s="79"/>
    </row>
    <row r="135" s="2" customFormat="1" customHeight="1" spans="33:37">
      <c r="AG135" s="78"/>
      <c r="AH135" s="78"/>
      <c r="AI135" s="78"/>
      <c r="AJ135" s="457"/>
      <c r="AK135" s="79"/>
    </row>
    <row r="136" s="2" customFormat="1" customHeight="1" spans="33:37">
      <c r="AG136" s="78"/>
      <c r="AH136" s="78"/>
      <c r="AI136" s="78"/>
      <c r="AJ136" s="457"/>
      <c r="AK136" s="79"/>
    </row>
    <row r="137" s="2" customFormat="1" customHeight="1" spans="33:37">
      <c r="AG137" s="78"/>
      <c r="AH137" s="78"/>
      <c r="AI137" s="78"/>
      <c r="AJ137" s="457"/>
      <c r="AK137" s="79"/>
    </row>
    <row r="138" s="2" customFormat="1" customHeight="1" spans="33:37">
      <c r="AG138" s="78"/>
      <c r="AH138" s="78"/>
      <c r="AI138" s="78"/>
      <c r="AJ138" s="457"/>
      <c r="AK138" s="79"/>
    </row>
    <row r="139" s="2" customFormat="1" customHeight="1" spans="33:37">
      <c r="AG139" s="78"/>
      <c r="AH139" s="78"/>
      <c r="AI139" s="78"/>
      <c r="AJ139" s="457"/>
      <c r="AK139" s="79"/>
    </row>
    <row r="140" s="2" customFormat="1" customHeight="1" spans="33:37">
      <c r="AG140" s="78"/>
      <c r="AH140" s="78"/>
      <c r="AI140" s="78"/>
      <c r="AJ140" s="457"/>
      <c r="AK140" s="79"/>
    </row>
    <row r="141" s="2" customFormat="1" customHeight="1" spans="33:37">
      <c r="AG141" s="78"/>
      <c r="AH141" s="78"/>
      <c r="AI141" s="78"/>
      <c r="AJ141" s="457"/>
      <c r="AK141" s="79"/>
    </row>
    <row r="142" s="2" customFormat="1" customHeight="1" spans="33:37">
      <c r="AG142" s="78"/>
      <c r="AH142" s="78"/>
      <c r="AI142" s="78"/>
      <c r="AJ142" s="457"/>
      <c r="AK142" s="79"/>
    </row>
    <row r="143" s="2" customFormat="1" customHeight="1" spans="33:37">
      <c r="AG143" s="78"/>
      <c r="AH143" s="78"/>
      <c r="AI143" s="78"/>
      <c r="AJ143" s="457"/>
      <c r="AK143" s="79"/>
    </row>
    <row r="144" s="2" customFormat="1" customHeight="1" spans="33:37">
      <c r="AG144" s="78"/>
      <c r="AH144" s="78"/>
      <c r="AI144" s="78"/>
      <c r="AJ144" s="457"/>
      <c r="AK144" s="79"/>
    </row>
    <row r="145" s="2" customFormat="1" customHeight="1" spans="33:37">
      <c r="AG145" s="78"/>
      <c r="AH145" s="78"/>
      <c r="AI145" s="78"/>
      <c r="AJ145" s="457"/>
      <c r="AK145" s="79"/>
    </row>
    <row r="146" s="2" customFormat="1" customHeight="1" spans="33:37">
      <c r="AG146" s="78"/>
      <c r="AH146" s="78"/>
      <c r="AI146" s="78"/>
      <c r="AJ146" s="457"/>
      <c r="AK146" s="79"/>
    </row>
    <row r="147" s="2" customFormat="1" customHeight="1" spans="33:37">
      <c r="AG147" s="78"/>
      <c r="AH147" s="78"/>
      <c r="AI147" s="78"/>
      <c r="AJ147" s="457"/>
      <c r="AK147" s="79"/>
    </row>
    <row r="148" s="2" customFormat="1" customHeight="1" spans="33:37">
      <c r="AG148" s="78"/>
      <c r="AH148" s="78"/>
      <c r="AI148" s="78"/>
      <c r="AJ148" s="457"/>
      <c r="AK148" s="79"/>
    </row>
    <row r="149" s="2" customFormat="1" customHeight="1" spans="33:37">
      <c r="AG149" s="78"/>
      <c r="AH149" s="78"/>
      <c r="AI149" s="78"/>
      <c r="AJ149" s="457"/>
      <c r="AK149" s="79"/>
    </row>
    <row r="150" s="2" customFormat="1" customHeight="1" spans="33:37">
      <c r="AG150" s="78"/>
      <c r="AH150" s="78"/>
      <c r="AI150" s="78"/>
      <c r="AJ150" s="457"/>
      <c r="AK150" s="79"/>
    </row>
  </sheetData>
  <mergeCells count="37">
    <mergeCell ref="A1:C1"/>
    <mergeCell ref="A2:C2"/>
    <mergeCell ref="A3:C3"/>
    <mergeCell ref="A6:C6"/>
    <mergeCell ref="V6:AB6"/>
    <mergeCell ref="A8:AD8"/>
    <mergeCell ref="A9:AD9"/>
    <mergeCell ref="H12:I12"/>
    <mergeCell ref="M12:N12"/>
    <mergeCell ref="P12:Q12"/>
    <mergeCell ref="R12:S12"/>
    <mergeCell ref="A37:B37"/>
    <mergeCell ref="A12:A13"/>
    <mergeCell ref="B12:B13"/>
    <mergeCell ref="C12:C13"/>
    <mergeCell ref="D12:D13"/>
    <mergeCell ref="E12:E13"/>
    <mergeCell ref="F12:F13"/>
    <mergeCell ref="G12:G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s>
  <conditionalFormatting sqref="U14">
    <cfRule type="expression" dxfId="2295" priority="1" stopIfTrue="1">
      <formula>IF($V14="warning",TRUE,FALSE)</formula>
    </cfRule>
  </conditionalFormatting>
  <conditionalFormatting sqref="V14:V30">
    <cfRule type="expression" dxfId="2296" priority="2" stopIfTrue="1">
      <formula>IF(OR($BD14="not",$BD14="resign",$BD14="resign",$BD14="end",$BD14="terminated",$BD14="permanent"),"TRUE","FALSE")</formula>
    </cfRule>
  </conditionalFormatting>
  <conditionalFormatting sqref="U38">
    <cfRule type="expression" dxfId="2297" priority="3" stopIfTrue="1">
      <formula>IF(OR(#REF!="not",#REF!="resign",#REF!="resign",#REF!="end",#REF!="terminated",#REF!="permanent"),"TRUE","FALSE")</formula>
    </cfRule>
  </conditionalFormatting>
  <conditionalFormatting sqref="V38">
    <cfRule type="expression" dxfId="2298" priority="4" stopIfTrue="1">
      <formula>IF(OR(#REF!="not",#REF!="resign",#REF!="resign",#REF!="end",#REF!="terminated",#REF!="permanent"),"TRUE","FALSE")</formula>
    </cfRule>
  </conditionalFormatting>
  <conditionalFormatting sqref="U39">
    <cfRule type="expression" dxfId="2299" priority="5" stopIfTrue="1">
      <formula>IF(OR($BA39="not",$BA39="resign",$BA39="resign",$BA39="end",$BA39="terminated",$BA39="permanent"),"TRUE","FALSE")</formula>
    </cfRule>
  </conditionalFormatting>
  <conditionalFormatting sqref="V39">
    <cfRule type="expression" dxfId="2300" priority="6" stopIfTrue="1">
      <formula>IF(OR($BD39="not",$BD39="resign",$BD39="resign",$BD39="end",$BD39="terminated",$BD39="permanent"),"TRUE","FALSE")</formula>
    </cfRule>
  </conditionalFormatting>
  <conditionalFormatting sqref="U40">
    <cfRule type="expression" dxfId="2301" priority="7" stopIfTrue="1">
      <formula>IF(OR(#REF!="not",#REF!="resign",#REF!="resign",#REF!="end",#REF!="terminated",#REF!="permanent"),"TRUE","FALSE")</formula>
    </cfRule>
  </conditionalFormatting>
  <conditionalFormatting sqref="V40">
    <cfRule type="expression" dxfId="2302" priority="8" stopIfTrue="1">
      <formula>IF(OR(#REF!="not",#REF!="resign",#REF!="resign",#REF!="end",#REF!="terminated",#REF!="permanent"),"TRUE","FALSE")</formula>
    </cfRule>
  </conditionalFormatting>
  <conditionalFormatting sqref="U41">
    <cfRule type="expression" dxfId="2303" priority="9" stopIfTrue="1">
      <formula>NOT(ISERROR(SEARCH("warning",U41)))</formula>
    </cfRule>
    <cfRule type="expression" dxfId="2304" priority="10" stopIfTrue="1">
      <formula>IF(OR($BA41="not",$BA41="resign",$BA41="resign",$BA41="end",$BA41="terminated",$BA41="permanent"),"TRUE","FALSE")</formula>
    </cfRule>
  </conditionalFormatting>
  <conditionalFormatting sqref="V41">
    <cfRule type="expression" dxfId="2305" priority="11" stopIfTrue="1">
      <formula>IF(OR($BD41="not",$BD41="resign",$BD41="resign",$BD41="end",$BD41="terminated",$BD41="permanent"),"TRUE","FALSE")</formula>
    </cfRule>
  </conditionalFormatting>
  <conditionalFormatting sqref="U42">
    <cfRule type="expression" dxfId="2306" priority="12" stopIfTrue="1">
      <formula>NOT(ISERROR(SEARCH("warning",U42)))</formula>
    </cfRule>
    <cfRule type="expression" dxfId="2307" priority="13" stopIfTrue="1">
      <formula>IF(OR(#REF!="not",#REF!="resign",#REF!="resign",#REF!="end",#REF!="terminated",#REF!="permanent"),"TRUE","FALSE")</formula>
    </cfRule>
  </conditionalFormatting>
  <conditionalFormatting sqref="V42">
    <cfRule type="expression" dxfId="2308" priority="14" stopIfTrue="1">
      <formula>IF(OR(#REF!="not",#REF!="resign",#REF!="resign",#REF!="end",#REF!="terminated",#REF!="permanent"),"TRUE","FALSE")</formula>
    </cfRule>
  </conditionalFormatting>
  <conditionalFormatting sqref="U43">
    <cfRule type="expression" dxfId="2309" priority="15" stopIfTrue="1">
      <formula>NOT(ISERROR(SEARCH("warning",U43)))</formula>
    </cfRule>
    <cfRule type="expression" dxfId="2310" priority="16" stopIfTrue="1">
      <formula>IF(OR(#REF!="not",#REF!="resign",#REF!="resign",#REF!="end",#REF!="terminated",#REF!="permanent"),"TRUE","FALSE")</formula>
    </cfRule>
  </conditionalFormatting>
  <conditionalFormatting sqref="V43">
    <cfRule type="expression" dxfId="2311" priority="17" stopIfTrue="1">
      <formula>IF(OR(#REF!="not",#REF!="resign",#REF!="resign",#REF!="end",#REF!="terminated",#REF!="permanent"),"TRUE","FALSE")</formula>
    </cfRule>
  </conditionalFormatting>
  <conditionalFormatting sqref="U44">
    <cfRule type="expression" dxfId="2312" priority="18" stopIfTrue="1">
      <formula>NOT(ISERROR(SEARCH("warning",U44)))</formula>
    </cfRule>
    <cfRule type="expression" dxfId="2313" priority="19" stopIfTrue="1">
      <formula>IF(OR(#REF!="not",#REF!="resign",#REF!="resign",#REF!="end",#REF!="terminated",#REF!="permanent"),"TRUE","FALSE")</formula>
    </cfRule>
  </conditionalFormatting>
  <conditionalFormatting sqref="V44">
    <cfRule type="expression" dxfId="2314" priority="20" stopIfTrue="1">
      <formula>IF(OR(#REF!="not",#REF!="resign",#REF!="resign",#REF!="end",#REF!="terminated",#REF!="permanent"),"TRUE","FALSE")</formula>
    </cfRule>
  </conditionalFormatting>
  <conditionalFormatting sqref="V31:V32">
    <cfRule type="expression" dxfId="2315" priority="21" stopIfTrue="1">
      <formula>IF(OR($BD31="not",$BD31="resign",$BD31="resign",$BD31="end",$BD31="terminated",$BD31="permanent"),"TRUE","FALSE")</formula>
    </cfRule>
  </conditionalFormatting>
  <conditionalFormatting sqref="U45">
    <cfRule type="expression" dxfId="2316" priority="22" stopIfTrue="1">
      <formula>NOT(ISERROR(SEARCH("warning",U45)))</formula>
    </cfRule>
    <cfRule type="expression" dxfId="2317" priority="23" stopIfTrue="1">
      <formula>IF(OR($BA45="not",$BA45="resign",$BA45="resign",$BA45="end",$BA45="terminated",$BA45="permanent"),"TRUE","FALSE")</formula>
    </cfRule>
  </conditionalFormatting>
  <conditionalFormatting sqref="V45">
    <cfRule type="expression" dxfId="2318" priority="24" stopIfTrue="1">
      <formula>IF(OR($BD45="not",$BD45="resign",$BD45="resign",$BD45="end",$BD45="terminated",$BD45="permanent"),"TRUE","FALSE")</formula>
    </cfRule>
  </conditionalFormatting>
  <conditionalFormatting sqref="U46">
    <cfRule type="expression" dxfId="2319" priority="25" stopIfTrue="1">
      <formula>NOT(ISERROR(SEARCH("warning",U46)))</formula>
    </cfRule>
    <cfRule type="expression" dxfId="2320" priority="26" stopIfTrue="1">
      <formula>IF(OR($BA46="not",$BA46="resign",$BA46="resign",$BA46="end",$BA46="terminated",$BA46="permanent"),"TRUE","FALSE")</formula>
    </cfRule>
  </conditionalFormatting>
  <conditionalFormatting sqref="V46">
    <cfRule type="expression" dxfId="2321" priority="27" stopIfTrue="1">
      <formula>IF(OR($BD46="not",$BD46="resign",$BD46="resign",$BD46="end",$BD46="terminated",$BD46="permanent"),"TRUE","FALSE")</formula>
    </cfRule>
  </conditionalFormatting>
  <conditionalFormatting sqref="V33">
    <cfRule type="expression" dxfId="2322" priority="28" stopIfTrue="1">
      <formula>IF(OR($BD33="not",$BD33="resign",$BD33="resign",$BD33="end",$BD33="terminated",$BD33="permanent"),"TRUE","FALSE")</formula>
    </cfRule>
  </conditionalFormatting>
  <hyperlinks>
    <hyperlink ref="AJ14" location="" display="dierry21@yahoo.com, errymaluvhachi@gmail.com; erryma21@gmail.com"/>
    <hyperlink ref="AJ15" location="" display="rozma.chuaby@gmail.com"/>
    <hyperlink ref="AJ42" location="" display="silvanamauly88@gmail.com, silvanamauly@yahoo.com"/>
    <hyperlink ref="AJ16" location="" display="novaaryanie@ymail.com; novaaryanie@gmail.com"/>
    <hyperlink ref="AJ18" location="" display="dhe.ieya86@gmail.com"/>
    <hyperlink ref="AJ19" location="" display="nurrahma_c@yahoo.com"/>
    <hyperlink ref="AJ21" location="" display="putrialvia@gmail.com; Putrialvid27@gmail.com"/>
    <hyperlink ref="AJ20" location="" display="zhinoel.ainy@gmail.com"/>
    <hyperlink ref="AJ23" location="" display="leni.ajeng.m48@gmail.com"/>
    <hyperlink ref="AJ40" location="" display="dhisya2285@yahoo.com"/>
    <hyperlink ref="AJ25" location="" display="dewiarifin1987@gmail.com"/>
    <hyperlink ref="AJ44" location="" display="ra.sartik@gmail.com"/>
    <hyperlink ref="AJ24" location="" display="indri.kece86@yahoo.com"/>
    <hyperlink ref="AJ22" location="" display="vennyuniast@yahoo.com; vennyunia@gmail.com"/>
    <hyperlink ref="AJ38" location="" display="MIAPURWANTI90@YAHOO.COM"/>
    <hyperlink ref="AJ26" location="" display="mnurmayanti@gmail.com"/>
    <hyperlink ref="AJ27" location="" display=" mayanih1013@gmail.com"/>
    <hyperlink ref="AJ39" location="" display="sarah.haris@rocketmail.com"/>
    <hyperlink ref="AJ28" location="" display="anantahiska@gmail.com       "/>
    <hyperlink ref="AJ41" location="" display="kusumawardanys@gmail.com"/>
    <hyperlink ref="AJ29" location="" display="risatrividya11@gmail.com"/>
    <hyperlink ref="AJ30" location="" display="fnurseptinanda@gmail.com"/>
    <hyperlink ref="AJ31" location="" display="FERANDAINTAN@YAHOO.COM; ferandaintank@yahoo.com"/>
    <hyperlink ref="AJ32" r:id="rId4" display="AURELIAUSHA@GMAIL.COM"/>
    <hyperlink ref="AJ45" location="" display="vivioktafiaa@gmail.com"/>
    <hyperlink ref="AJ46" location="" display="marlisaseptiani@gmail.com"/>
    <hyperlink ref="AJ17" r:id="rId5" display="watirasna75@gmail.com"/>
    <hyperlink ref="AJ33" r:id="rId6" display="fanteraregina@gmail.com"/>
  </hyperlinks>
  <printOptions horizontalCentered="1"/>
  <pageMargins left="0" right="0" top="0" bottom="0" header="0.5" footer="0.5"/>
  <pageSetup paperSize="9" scale="25" orientation="landscape"/>
  <headerFooter alignWithMargins="0"/>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4:AX222"/>
  <sheetViews>
    <sheetView topLeftCell="A4" workbookViewId="0">
      <pane xSplit="4" ySplit="2" topLeftCell="K64" activePane="bottomRight" state="frozen"/>
      <selection/>
      <selection pane="topRight"/>
      <selection pane="bottomLeft"/>
      <selection pane="bottomRight" activeCell="S74" sqref="S74"/>
    </sheetView>
  </sheetViews>
  <sheetFormatPr defaultColWidth="9" defaultRowHeight="12.75"/>
  <cols>
    <col min="1" max="1" width="4.425" style="264" customWidth="1"/>
    <col min="2" max="2" width="10" style="264" customWidth="1"/>
    <col min="3" max="3" width="33.425" style="264" customWidth="1"/>
    <col min="4" max="4" width="27" style="264" customWidth="1"/>
    <col min="5" max="5" width="6.56666666666667" style="264" customWidth="1"/>
    <col min="6" max="6" width="12" style="264" customWidth="1"/>
    <col min="7" max="7" width="3.56666666666667" style="264" customWidth="1"/>
    <col min="8" max="8" width="6.70833333333333" style="264" customWidth="1"/>
    <col min="9" max="9" width="8.85833333333333" style="264" customWidth="1"/>
    <col min="10" max="10" width="18.1416666666667" style="264" customWidth="1"/>
    <col min="11" max="11" width="21.1416666666667" style="265" customWidth="1"/>
    <col min="12" max="12" width="13.7083333333333" style="266" customWidth="1"/>
    <col min="13" max="13" width="12.1416666666667" style="264" customWidth="1"/>
    <col min="14" max="14" width="13.2833333333333" style="264" customWidth="1"/>
    <col min="15" max="16" width="8.56666666666667" style="264" customWidth="1"/>
    <col min="17" max="17" width="8.28333333333333" style="264" customWidth="1"/>
    <col min="18" max="18" width="8.28333333333333" style="260" customWidth="1"/>
    <col min="19" max="22" width="8.56666666666667" style="264" customWidth="1"/>
    <col min="23" max="23" width="8.14166666666667" style="264" customWidth="1"/>
    <col min="24" max="24" width="11" style="264" customWidth="1"/>
    <col min="25" max="25" width="12.5666666666667" style="267" customWidth="1"/>
    <col min="26" max="26" width="9.85833333333333" style="267" customWidth="1"/>
    <col min="27" max="27" width="13.425" style="267" customWidth="1"/>
    <col min="28" max="28" width="15.2833333333333" style="267" customWidth="1"/>
    <col min="29" max="29" width="10.425" style="267" customWidth="1"/>
    <col min="30" max="30" width="11.1416666666667" style="267" customWidth="1"/>
    <col min="31" max="31" width="12.5666666666667" style="267" customWidth="1"/>
    <col min="32" max="32" width="11.1416666666667" style="267" customWidth="1"/>
    <col min="33" max="33" width="7.85833333333333" style="264" customWidth="1"/>
    <col min="34" max="34" width="25.425" style="264" customWidth="1"/>
    <col min="35" max="35" width="33.425" style="264" customWidth="1"/>
    <col min="36" max="36" width="49.1416666666667" style="264" customWidth="1"/>
    <col min="37" max="37" width="12.5666666666667" style="268" customWidth="1"/>
    <col min="38" max="38" width="17.8583333333333" style="268" customWidth="1"/>
    <col min="39" max="39" width="16.7083333333333" style="268" customWidth="1"/>
    <col min="40" max="40" width="18.8583333333333" style="268" customWidth="1"/>
    <col min="41" max="41" width="15.5666666666667" style="268" customWidth="1"/>
    <col min="42" max="42" width="16.8583333333333" style="268" customWidth="1"/>
    <col min="43" max="43" width="30.8583333333333" style="264" customWidth="1"/>
    <col min="44" max="44" width="24.7083333333333" style="269" customWidth="1"/>
    <col min="45" max="45" width="44.2833333333333" style="264" customWidth="1"/>
    <col min="46" max="46" width="10.425" style="260" customWidth="1"/>
    <col min="47" max="47" width="14.2833333333333" style="270" customWidth="1"/>
    <col min="48" max="48" width="14.2833333333333" style="271" customWidth="1"/>
    <col min="49" max="16384" width="9.14166666666667" style="264"/>
  </cols>
  <sheetData>
    <row r="4" ht="16.5" customHeight="1" spans="1:45">
      <c r="A4" s="272" t="s">
        <v>0</v>
      </c>
      <c r="B4" s="272" t="s">
        <v>1</v>
      </c>
      <c r="C4" s="272" t="s">
        <v>2</v>
      </c>
      <c r="D4" s="272" t="s">
        <v>3</v>
      </c>
      <c r="E4" s="283" t="s">
        <v>14408</v>
      </c>
      <c r="F4" s="283" t="s">
        <v>14409</v>
      </c>
      <c r="G4" s="272" t="s">
        <v>4</v>
      </c>
      <c r="H4" s="272" t="s">
        <v>7929</v>
      </c>
      <c r="I4" s="272" t="s">
        <v>6</v>
      </c>
      <c r="J4" s="272" t="s">
        <v>8</v>
      </c>
      <c r="K4" s="272" t="s">
        <v>8242</v>
      </c>
      <c r="L4" s="299" t="s">
        <v>14410</v>
      </c>
      <c r="M4" s="309" t="s">
        <v>9</v>
      </c>
      <c r="N4" s="310"/>
      <c r="O4" s="309" t="s">
        <v>14411</v>
      </c>
      <c r="P4" s="311"/>
      <c r="Q4" s="311"/>
      <c r="R4" s="310"/>
      <c r="S4" s="309" t="s">
        <v>11</v>
      </c>
      <c r="T4" s="310"/>
      <c r="U4" s="321"/>
      <c r="V4" s="321"/>
      <c r="W4" s="272" t="s">
        <v>14</v>
      </c>
      <c r="X4" s="312" t="s">
        <v>15</v>
      </c>
      <c r="Y4" s="328" t="s">
        <v>16</v>
      </c>
      <c r="Z4" s="328" t="s">
        <v>14412</v>
      </c>
      <c r="AA4" s="328" t="s">
        <v>13380</v>
      </c>
      <c r="AB4" s="329" t="s">
        <v>14413</v>
      </c>
      <c r="AC4" s="328" t="s">
        <v>14414</v>
      </c>
      <c r="AD4" s="329" t="s">
        <v>14415</v>
      </c>
      <c r="AE4" s="328" t="s">
        <v>14416</v>
      </c>
      <c r="AF4" s="328" t="s">
        <v>14417</v>
      </c>
      <c r="AG4" s="272" t="s">
        <v>14418</v>
      </c>
      <c r="AH4" s="272" t="s">
        <v>3509</v>
      </c>
      <c r="AI4" s="272" t="s">
        <v>15</v>
      </c>
      <c r="AJ4" s="344" t="s">
        <v>28</v>
      </c>
      <c r="AK4" s="352" t="s">
        <v>29</v>
      </c>
      <c r="AL4" s="353" t="s">
        <v>30</v>
      </c>
      <c r="AM4" s="354" t="s">
        <v>32</v>
      </c>
      <c r="AN4" s="354" t="s">
        <v>31</v>
      </c>
      <c r="AO4" s="354" t="s">
        <v>33</v>
      </c>
      <c r="AP4" s="354" t="s">
        <v>34</v>
      </c>
      <c r="AQ4" s="361" t="s">
        <v>12150</v>
      </c>
      <c r="AR4" s="362" t="s">
        <v>36</v>
      </c>
      <c r="AS4" s="376"/>
    </row>
    <row r="5" ht="22.5" spans="1:47">
      <c r="A5" s="273"/>
      <c r="B5" s="273"/>
      <c r="C5" s="273"/>
      <c r="D5" s="273"/>
      <c r="E5" s="284" t="s">
        <v>14419</v>
      </c>
      <c r="F5" s="284"/>
      <c r="G5" s="273"/>
      <c r="H5" s="273"/>
      <c r="I5" s="273"/>
      <c r="J5" s="273"/>
      <c r="K5" s="273"/>
      <c r="L5" s="300"/>
      <c r="M5" s="312" t="s">
        <v>37</v>
      </c>
      <c r="N5" s="312" t="s">
        <v>38</v>
      </c>
      <c r="O5" s="312">
        <v>1</v>
      </c>
      <c r="P5" s="312">
        <v>2</v>
      </c>
      <c r="Q5" s="312">
        <v>3</v>
      </c>
      <c r="R5" s="312">
        <v>4</v>
      </c>
      <c r="S5" s="312" t="s">
        <v>37</v>
      </c>
      <c r="T5" s="312" t="s">
        <v>38</v>
      </c>
      <c r="U5" s="273">
        <v>1</v>
      </c>
      <c r="V5" s="273">
        <v>2</v>
      </c>
      <c r="W5" s="273"/>
      <c r="X5" s="322"/>
      <c r="Y5" s="330"/>
      <c r="Z5" s="330"/>
      <c r="AA5" s="330"/>
      <c r="AB5" s="331"/>
      <c r="AC5" s="330"/>
      <c r="AD5" s="331"/>
      <c r="AE5" s="330"/>
      <c r="AF5" s="330"/>
      <c r="AG5" s="273"/>
      <c r="AH5" s="345"/>
      <c r="AI5" s="345"/>
      <c r="AJ5" s="346"/>
      <c r="AK5" s="355"/>
      <c r="AL5" s="356"/>
      <c r="AM5" s="357"/>
      <c r="AN5" s="357"/>
      <c r="AO5" s="357"/>
      <c r="AP5" s="357"/>
      <c r="AQ5" s="363"/>
      <c r="AR5" s="364"/>
      <c r="AS5" s="376"/>
      <c r="AT5" s="263" t="s">
        <v>14420</v>
      </c>
      <c r="AU5" s="270" t="s">
        <v>14421</v>
      </c>
    </row>
    <row r="6" s="260" customFormat="1" ht="21.75" spans="1:49">
      <c r="A6" s="1624" t="s">
        <v>39</v>
      </c>
      <c r="B6" s="1624" t="s">
        <v>14422</v>
      </c>
      <c r="C6" s="275" t="s">
        <v>14423</v>
      </c>
      <c r="D6" s="276" t="s">
        <v>14424</v>
      </c>
      <c r="E6" s="285">
        <v>31</v>
      </c>
      <c r="F6" s="286" t="s">
        <v>14425</v>
      </c>
      <c r="G6" s="287" t="s">
        <v>125</v>
      </c>
      <c r="H6" s="288" t="s">
        <v>60</v>
      </c>
      <c r="I6" s="288" t="s">
        <v>3528</v>
      </c>
      <c r="J6" s="301" t="s">
        <v>14426</v>
      </c>
      <c r="K6" s="302" t="s">
        <v>14427</v>
      </c>
      <c r="L6" s="303"/>
      <c r="M6" s="313">
        <v>42191</v>
      </c>
      <c r="N6" s="313">
        <v>42556</v>
      </c>
      <c r="O6" s="313">
        <v>42740</v>
      </c>
      <c r="P6" s="313">
        <v>42837</v>
      </c>
      <c r="Q6" s="313">
        <v>42921</v>
      </c>
      <c r="R6" s="313"/>
      <c r="S6" s="313">
        <v>42922</v>
      </c>
      <c r="T6" s="313">
        <v>43202</v>
      </c>
      <c r="U6" s="314">
        <v>43286</v>
      </c>
      <c r="V6" s="314" t="s">
        <v>604</v>
      </c>
      <c r="W6" s="323">
        <f ca="1">SUM(U6-NOW())</f>
        <v>13.61546296296</v>
      </c>
      <c r="X6" s="324" t="str">
        <f ca="1" t="shared" ref="X6:X25" si="0">IF(W6&lt;=46,"WARNING","ACTIVE")</f>
        <v>WARNING</v>
      </c>
      <c r="Y6" s="332">
        <f>6825000*102.5%</f>
        <v>6995625</v>
      </c>
      <c r="Z6" s="333">
        <v>220000</v>
      </c>
      <c r="AA6" s="333"/>
      <c r="AB6" s="333"/>
      <c r="AC6" s="333"/>
      <c r="AD6" s="333"/>
      <c r="AE6" s="333"/>
      <c r="AF6" s="333"/>
      <c r="AG6" s="347" t="s">
        <v>48</v>
      </c>
      <c r="AH6" s="347" t="s">
        <v>14428</v>
      </c>
      <c r="AI6" s="348" t="s">
        <v>14429</v>
      </c>
      <c r="AJ6" s="301" t="s">
        <v>14430</v>
      </c>
      <c r="AK6" s="1625" t="s">
        <v>14431</v>
      </c>
      <c r="AL6" s="358" t="s">
        <v>14432</v>
      </c>
      <c r="AM6" s="358" t="s">
        <v>14433</v>
      </c>
      <c r="AN6" s="358" t="s">
        <v>14434</v>
      </c>
      <c r="AO6" s="358">
        <v>10025931311</v>
      </c>
      <c r="AP6" s="1625" t="s">
        <v>14435</v>
      </c>
      <c r="AQ6" s="365" t="s">
        <v>14436</v>
      </c>
      <c r="AR6" s="366"/>
      <c r="AS6" s="376" t="s">
        <v>14437</v>
      </c>
      <c r="AT6" s="377">
        <f>VLOOKUP(C6,[4]Sheet1!$B$6:$Y$67,23,0)</f>
        <v>2.5</v>
      </c>
      <c r="AU6" s="378">
        <f>VLOOKUP(C6,[4]Sheet1!$B$6:$Y$67,24,0)</f>
        <v>6995625</v>
      </c>
      <c r="AV6" s="378">
        <f>Y6*102.5%</f>
        <v>7170515.625</v>
      </c>
      <c r="AW6" s="387">
        <f>AV6-AU6</f>
        <v>174890.624999998</v>
      </c>
    </row>
    <row r="7" s="260" customFormat="1" ht="24" spans="1:49">
      <c r="A7" s="1624" t="s">
        <v>56</v>
      </c>
      <c r="B7" s="1624" t="s">
        <v>14438</v>
      </c>
      <c r="C7" s="275" t="s">
        <v>14439</v>
      </c>
      <c r="D7" s="276" t="s">
        <v>14440</v>
      </c>
      <c r="E7" s="285">
        <v>33</v>
      </c>
      <c r="F7" s="286" t="s">
        <v>14441</v>
      </c>
      <c r="G7" s="287" t="s">
        <v>125</v>
      </c>
      <c r="H7" s="288" t="s">
        <v>254</v>
      </c>
      <c r="I7" s="288" t="s">
        <v>3528</v>
      </c>
      <c r="J7" s="301" t="s">
        <v>7940</v>
      </c>
      <c r="K7" s="304" t="s">
        <v>14442</v>
      </c>
      <c r="L7" s="303"/>
      <c r="M7" s="313">
        <v>42275</v>
      </c>
      <c r="N7" s="313">
        <v>42365</v>
      </c>
      <c r="O7" s="313">
        <v>42548</v>
      </c>
      <c r="P7" s="313">
        <v>42913</v>
      </c>
      <c r="Q7" s="313">
        <v>43005</v>
      </c>
      <c r="R7" s="313"/>
      <c r="S7" s="313">
        <v>43006</v>
      </c>
      <c r="T7" s="313">
        <v>43278</v>
      </c>
      <c r="U7" s="314" t="s">
        <v>604</v>
      </c>
      <c r="V7" s="313"/>
      <c r="W7" s="323">
        <f ca="1">SUM(T7-NOW())</f>
        <v>5.61546296296001</v>
      </c>
      <c r="X7" s="324" t="str">
        <f ca="1" t="shared" si="0"/>
        <v>WARNING</v>
      </c>
      <c r="Y7" s="333">
        <f>4320000*104%</f>
        <v>4492800</v>
      </c>
      <c r="Z7" s="333">
        <v>220000</v>
      </c>
      <c r="AA7" s="333" t="s">
        <v>583</v>
      </c>
      <c r="AB7" s="333" t="s">
        <v>583</v>
      </c>
      <c r="AC7" s="333"/>
      <c r="AD7" s="333"/>
      <c r="AE7" s="333"/>
      <c r="AF7" s="333"/>
      <c r="AG7" s="347" t="s">
        <v>48</v>
      </c>
      <c r="AH7" s="347" t="s">
        <v>14428</v>
      </c>
      <c r="AI7" s="348" t="s">
        <v>14443</v>
      </c>
      <c r="AJ7" s="301" t="s">
        <v>14444</v>
      </c>
      <c r="AK7" s="1625" t="s">
        <v>14445</v>
      </c>
      <c r="AL7" s="358" t="s">
        <v>14446</v>
      </c>
      <c r="AM7" s="358" t="s">
        <v>14447</v>
      </c>
      <c r="AN7" s="358" t="s">
        <v>14448</v>
      </c>
      <c r="AO7" s="358">
        <v>0</v>
      </c>
      <c r="AP7" s="1625" t="s">
        <v>14449</v>
      </c>
      <c r="AQ7" s="365" t="s">
        <v>14450</v>
      </c>
      <c r="AR7" s="366"/>
      <c r="AS7" s="376" t="s">
        <v>14451</v>
      </c>
      <c r="AT7" s="377">
        <f>VLOOKUP(C7,[4]Sheet1!$B$6:$Y$67,23,0)</f>
        <v>4</v>
      </c>
      <c r="AU7" s="378">
        <f>VLOOKUP(C7,[4]Sheet1!$B$6:$Y$67,24,0)</f>
        <v>4492800</v>
      </c>
      <c r="AV7" s="378">
        <f>Y7*104%</f>
        <v>4672512</v>
      </c>
      <c r="AW7" s="387">
        <f>AV7-AU7</f>
        <v>179712</v>
      </c>
    </row>
    <row r="8" s="260" customFormat="1" ht="31.5" spans="1:48">
      <c r="A8" s="1624" t="s">
        <v>68</v>
      </c>
      <c r="B8" s="1624" t="s">
        <v>14452</v>
      </c>
      <c r="C8" s="275" t="s">
        <v>14453</v>
      </c>
      <c r="D8" s="276" t="s">
        <v>14454</v>
      </c>
      <c r="E8" s="285">
        <v>25</v>
      </c>
      <c r="F8" s="286" t="s">
        <v>14455</v>
      </c>
      <c r="G8" s="287" t="s">
        <v>43</v>
      </c>
      <c r="H8" s="288" t="s">
        <v>44</v>
      </c>
      <c r="I8" s="288" t="s">
        <v>3528</v>
      </c>
      <c r="J8" s="301" t="s">
        <v>14456</v>
      </c>
      <c r="K8" s="305" t="s">
        <v>14457</v>
      </c>
      <c r="L8" s="303"/>
      <c r="M8" s="313">
        <v>42338</v>
      </c>
      <c r="N8" s="313">
        <v>42519</v>
      </c>
      <c r="O8" s="313">
        <v>42884</v>
      </c>
      <c r="P8" s="313">
        <v>43068</v>
      </c>
      <c r="Q8" s="313"/>
      <c r="R8" s="313"/>
      <c r="S8" s="313">
        <v>43069</v>
      </c>
      <c r="T8" s="313">
        <v>43249</v>
      </c>
      <c r="U8" s="314" t="s">
        <v>604</v>
      </c>
      <c r="V8" s="314">
        <v>43433</v>
      </c>
      <c r="W8" s="323">
        <f ca="1" t="shared" ref="W8:W10" si="1">SUM(V8-NOW())</f>
        <v>160.61546296296</v>
      </c>
      <c r="X8" s="324" t="str">
        <f ca="1" t="shared" si="0"/>
        <v>ACTIVE</v>
      </c>
      <c r="Y8" s="332">
        <f>7864500*103.5%</f>
        <v>8139757.5</v>
      </c>
      <c r="Z8" s="333">
        <v>440000</v>
      </c>
      <c r="AA8" s="333">
        <v>750000</v>
      </c>
      <c r="AB8" s="333">
        <v>150000</v>
      </c>
      <c r="AC8" s="333"/>
      <c r="AD8" s="333"/>
      <c r="AE8" s="333"/>
      <c r="AF8" s="333"/>
      <c r="AG8" s="347" t="s">
        <v>48</v>
      </c>
      <c r="AH8" s="347" t="s">
        <v>14458</v>
      </c>
      <c r="AI8" s="348" t="s">
        <v>14459</v>
      </c>
      <c r="AJ8" s="301" t="s">
        <v>14460</v>
      </c>
      <c r="AK8" s="1625" t="s">
        <v>14461</v>
      </c>
      <c r="AL8" s="358" t="s">
        <v>14462</v>
      </c>
      <c r="AM8" s="358" t="s">
        <v>14463</v>
      </c>
      <c r="AN8" s="358" t="s">
        <v>14464</v>
      </c>
      <c r="AO8" s="358">
        <v>13027106155</v>
      </c>
      <c r="AP8" s="1625" t="s">
        <v>14465</v>
      </c>
      <c r="AQ8" s="365" t="s">
        <v>14466</v>
      </c>
      <c r="AR8" s="366"/>
      <c r="AS8" s="376" t="s">
        <v>14467</v>
      </c>
      <c r="AT8" s="377">
        <f>VLOOKUP(C8,[4]Sheet1!$B$6:$Y$67,23,0)</f>
        <v>3.5</v>
      </c>
      <c r="AU8" s="378">
        <f>VLOOKUP(C8,[4]Sheet1!$B$6:$Y$67,24,0)</f>
        <v>8139757.5</v>
      </c>
      <c r="AV8" s="378"/>
    </row>
    <row r="9" s="260" customFormat="1" ht="31.5" spans="1:49">
      <c r="A9" s="1624" t="s">
        <v>78</v>
      </c>
      <c r="B9" s="1624" t="s">
        <v>14468</v>
      </c>
      <c r="C9" s="275" t="s">
        <v>14469</v>
      </c>
      <c r="D9" s="276" t="s">
        <v>14470</v>
      </c>
      <c r="E9" s="285">
        <v>25</v>
      </c>
      <c r="F9" s="286" t="s">
        <v>14471</v>
      </c>
      <c r="G9" s="287" t="s">
        <v>125</v>
      </c>
      <c r="H9" s="288" t="s">
        <v>44</v>
      </c>
      <c r="I9" s="288" t="s">
        <v>3528</v>
      </c>
      <c r="J9" s="301" t="s">
        <v>14472</v>
      </c>
      <c r="K9" s="305" t="s">
        <v>14473</v>
      </c>
      <c r="L9" s="303"/>
      <c r="M9" s="313">
        <v>42338</v>
      </c>
      <c r="N9" s="313">
        <v>42519</v>
      </c>
      <c r="O9" s="313">
        <v>42884</v>
      </c>
      <c r="P9" s="313">
        <v>43068</v>
      </c>
      <c r="Q9" s="313"/>
      <c r="R9" s="313"/>
      <c r="S9" s="313">
        <v>43069</v>
      </c>
      <c r="T9" s="313">
        <v>43249</v>
      </c>
      <c r="U9" s="314" t="s">
        <v>604</v>
      </c>
      <c r="V9" s="314">
        <v>43433</v>
      </c>
      <c r="W9" s="323">
        <f ca="1" t="shared" si="1"/>
        <v>160.61546296296</v>
      </c>
      <c r="X9" s="324" t="str">
        <f ca="1" t="shared" si="0"/>
        <v>ACTIVE</v>
      </c>
      <c r="Y9" s="332">
        <f>4119500*104%</f>
        <v>4284280</v>
      </c>
      <c r="Z9" s="333">
        <v>220000</v>
      </c>
      <c r="AA9" s="333" t="s">
        <v>583</v>
      </c>
      <c r="AB9" s="333"/>
      <c r="AC9" s="333"/>
      <c r="AD9" s="333"/>
      <c r="AE9" s="333"/>
      <c r="AF9" s="333"/>
      <c r="AG9" s="347" t="s">
        <v>48</v>
      </c>
      <c r="AH9" s="347" t="s">
        <v>14428</v>
      </c>
      <c r="AI9" s="348" t="s">
        <v>14474</v>
      </c>
      <c r="AJ9" s="301" t="s">
        <v>14475</v>
      </c>
      <c r="AK9" s="1625" t="s">
        <v>14476</v>
      </c>
      <c r="AL9" s="358" t="s">
        <v>14477</v>
      </c>
      <c r="AM9" s="358" t="s">
        <v>14478</v>
      </c>
      <c r="AN9" s="358" t="s">
        <v>14479</v>
      </c>
      <c r="AO9" s="358">
        <v>12003347122</v>
      </c>
      <c r="AP9" s="1625" t="s">
        <v>14480</v>
      </c>
      <c r="AQ9" s="365" t="s">
        <v>14481</v>
      </c>
      <c r="AR9" s="366"/>
      <c r="AS9" s="379" t="s">
        <v>14482</v>
      </c>
      <c r="AT9" s="377">
        <f>VLOOKUP(C9,[4]Sheet1!$B$6:$Y$67,23,0)</f>
        <v>4</v>
      </c>
      <c r="AU9" s="378">
        <f>VLOOKUP(C9,[4]Sheet1!$B$6:$Y$67,24,0)</f>
        <v>4284280</v>
      </c>
      <c r="AV9" s="378">
        <f t="shared" ref="AV9:AV56" si="2">Y9*104%</f>
        <v>4455651.2</v>
      </c>
      <c r="AW9" s="387">
        <f t="shared" ref="AW9:AW21" si="3">AV9-AU9</f>
        <v>171371.199999999</v>
      </c>
    </row>
    <row r="10" s="260" customFormat="1" ht="21" spans="1:49">
      <c r="A10" s="1624" t="s">
        <v>92</v>
      </c>
      <c r="B10" s="1624" t="s">
        <v>14483</v>
      </c>
      <c r="C10" s="275" t="s">
        <v>14484</v>
      </c>
      <c r="D10" s="276" t="s">
        <v>14485</v>
      </c>
      <c r="E10" s="285">
        <v>35</v>
      </c>
      <c r="F10" s="286" t="s">
        <v>14486</v>
      </c>
      <c r="G10" s="287" t="s">
        <v>43</v>
      </c>
      <c r="H10" s="288" t="s">
        <v>44</v>
      </c>
      <c r="I10" s="288" t="s">
        <v>3528</v>
      </c>
      <c r="J10" s="301" t="s">
        <v>14487</v>
      </c>
      <c r="K10" s="305" t="s">
        <v>14488</v>
      </c>
      <c r="L10" s="303"/>
      <c r="M10" s="313">
        <v>42340</v>
      </c>
      <c r="N10" s="313">
        <v>42430</v>
      </c>
      <c r="O10" s="313">
        <v>42795</v>
      </c>
      <c r="P10" s="313">
        <v>43070</v>
      </c>
      <c r="Q10" s="313"/>
      <c r="R10" s="313"/>
      <c r="S10" s="313">
        <v>43071</v>
      </c>
      <c r="T10" s="313">
        <v>43160</v>
      </c>
      <c r="U10" s="313">
        <v>43252</v>
      </c>
      <c r="V10" s="314">
        <v>43344</v>
      </c>
      <c r="W10" s="323">
        <f ca="1" t="shared" si="1"/>
        <v>71.61546296296</v>
      </c>
      <c r="X10" s="324" t="str">
        <f ca="1" t="shared" si="0"/>
        <v>ACTIVE</v>
      </c>
      <c r="Y10" s="333">
        <v>3587430</v>
      </c>
      <c r="Z10" s="333">
        <v>220000</v>
      </c>
      <c r="AA10" s="333"/>
      <c r="AB10" s="333"/>
      <c r="AC10" s="333"/>
      <c r="AD10" s="333"/>
      <c r="AE10" s="333"/>
      <c r="AF10" s="333"/>
      <c r="AG10" s="347" t="s">
        <v>48</v>
      </c>
      <c r="AH10" s="347" t="s">
        <v>11917</v>
      </c>
      <c r="AI10" s="347" t="s">
        <v>14489</v>
      </c>
      <c r="AJ10" s="301" t="s">
        <v>14490</v>
      </c>
      <c r="AK10" s="1625" t="s">
        <v>14491</v>
      </c>
      <c r="AL10" s="358" t="s">
        <v>14492</v>
      </c>
      <c r="AM10" s="358" t="s">
        <v>14493</v>
      </c>
      <c r="AN10" s="358" t="s">
        <v>14494</v>
      </c>
      <c r="AO10" s="358">
        <v>14004567038</v>
      </c>
      <c r="AP10" s="1625" t="s">
        <v>14495</v>
      </c>
      <c r="AQ10" s="365" t="s">
        <v>14496</v>
      </c>
      <c r="AR10" s="366"/>
      <c r="AS10" s="376" t="s">
        <v>14497</v>
      </c>
      <c r="AT10" s="377">
        <f>VLOOKUP(C10,[4]Sheet1!$B$6:$Y$67,23,0)</f>
        <v>4</v>
      </c>
      <c r="AU10" s="378">
        <f>VLOOKUP(C10,[4]Sheet1!$B$6:$Y$67,24,0)</f>
        <v>3432000</v>
      </c>
      <c r="AV10" s="378">
        <f t="shared" si="2"/>
        <v>3730927.2</v>
      </c>
      <c r="AW10" s="388" t="s">
        <v>14498</v>
      </c>
    </row>
    <row r="11" s="260" customFormat="1" ht="21" spans="1:49">
      <c r="A11" s="1624" t="s">
        <v>107</v>
      </c>
      <c r="B11" s="1624" t="s">
        <v>14499</v>
      </c>
      <c r="C11" s="275" t="s">
        <v>14500</v>
      </c>
      <c r="D11" s="276" t="s">
        <v>14501</v>
      </c>
      <c r="E11" s="285">
        <v>37</v>
      </c>
      <c r="F11" s="286" t="s">
        <v>14502</v>
      </c>
      <c r="G11" s="287" t="s">
        <v>43</v>
      </c>
      <c r="H11" s="288" t="s">
        <v>254</v>
      </c>
      <c r="I11" s="288" t="s">
        <v>3528</v>
      </c>
      <c r="J11" s="301" t="s">
        <v>8197</v>
      </c>
      <c r="K11" s="305" t="s">
        <v>14503</v>
      </c>
      <c r="L11" s="303"/>
      <c r="M11" s="313">
        <v>42422</v>
      </c>
      <c r="N11" s="313">
        <v>42787</v>
      </c>
      <c r="O11" s="313">
        <v>43152</v>
      </c>
      <c r="P11" s="313"/>
      <c r="Q11" s="313"/>
      <c r="R11" s="313"/>
      <c r="S11" s="313">
        <v>43153</v>
      </c>
      <c r="T11" s="314">
        <v>43202</v>
      </c>
      <c r="U11" s="313">
        <v>43517</v>
      </c>
      <c r="V11" s="314" t="s">
        <v>604</v>
      </c>
      <c r="W11" s="323">
        <f ca="1">SUM(U11-NOW())</f>
        <v>244.61546296296</v>
      </c>
      <c r="X11" s="324" t="str">
        <f ca="1" t="shared" si="0"/>
        <v>ACTIVE</v>
      </c>
      <c r="Y11" s="332">
        <f>15400000*103.5%</f>
        <v>15939000</v>
      </c>
      <c r="Z11" s="333">
        <v>400000</v>
      </c>
      <c r="AA11" s="333">
        <v>750000</v>
      </c>
      <c r="AB11" s="333"/>
      <c r="AC11" s="333"/>
      <c r="AD11" s="333"/>
      <c r="AE11" s="333"/>
      <c r="AF11" s="333"/>
      <c r="AG11" s="347" t="s">
        <v>112</v>
      </c>
      <c r="AH11" s="347" t="s">
        <v>14458</v>
      </c>
      <c r="AI11" s="348" t="s">
        <v>14504</v>
      </c>
      <c r="AJ11" s="301" t="s">
        <v>14505</v>
      </c>
      <c r="AK11" s="1625" t="s">
        <v>14506</v>
      </c>
      <c r="AL11" s="358" t="s">
        <v>14507</v>
      </c>
      <c r="AM11" s="358" t="s">
        <v>14508</v>
      </c>
      <c r="AN11" s="358" t="s">
        <v>14509</v>
      </c>
      <c r="AO11" s="358"/>
      <c r="AP11" s="1625" t="s">
        <v>14510</v>
      </c>
      <c r="AQ11" s="365" t="s">
        <v>14511</v>
      </c>
      <c r="AR11" s="366"/>
      <c r="AS11" s="376" t="s">
        <v>14512</v>
      </c>
      <c r="AT11" s="377">
        <f>VLOOKUP(C11,[4]Sheet1!$B$6:$Y$67,23,0)</f>
        <v>3.5</v>
      </c>
      <c r="AU11" s="378">
        <f>VLOOKUP(C11,[4]Sheet1!$B$6:$Y$67,24,0)</f>
        <v>15939000</v>
      </c>
      <c r="AV11" s="378">
        <f t="shared" ref="AV11:AV14" si="4">Y11*103.5%</f>
        <v>16496865</v>
      </c>
      <c r="AW11" s="387">
        <f t="shared" si="3"/>
        <v>557864.999999994</v>
      </c>
    </row>
    <row r="12" s="260" customFormat="1" ht="42" spans="1:49">
      <c r="A12" s="1624" t="s">
        <v>121</v>
      </c>
      <c r="B12" s="1624" t="s">
        <v>14513</v>
      </c>
      <c r="C12" s="275" t="s">
        <v>14514</v>
      </c>
      <c r="D12" s="276" t="s">
        <v>14515</v>
      </c>
      <c r="E12" s="285">
        <v>32</v>
      </c>
      <c r="F12" s="286" t="s">
        <v>14516</v>
      </c>
      <c r="G12" s="287" t="s">
        <v>43</v>
      </c>
      <c r="H12" s="288" t="s">
        <v>404</v>
      </c>
      <c r="I12" s="288" t="s">
        <v>3528</v>
      </c>
      <c r="J12" s="301" t="s">
        <v>14517</v>
      </c>
      <c r="K12" s="304" t="s">
        <v>14518</v>
      </c>
      <c r="L12" s="303"/>
      <c r="M12" s="313">
        <v>42439</v>
      </c>
      <c r="N12" s="313">
        <v>42803</v>
      </c>
      <c r="O12" s="313">
        <v>43168</v>
      </c>
      <c r="P12" s="313"/>
      <c r="Q12" s="313"/>
      <c r="R12" s="313"/>
      <c r="S12" s="313">
        <v>43169</v>
      </c>
      <c r="T12" s="314">
        <v>43202</v>
      </c>
      <c r="U12" s="313">
        <v>43533</v>
      </c>
      <c r="V12" s="314" t="s">
        <v>604</v>
      </c>
      <c r="W12" s="323">
        <f ca="1">SUM(U12-NOW())</f>
        <v>260.61546296296</v>
      </c>
      <c r="X12" s="324" t="str">
        <f ca="1" t="shared" si="0"/>
        <v>ACTIVE</v>
      </c>
      <c r="Y12" s="332">
        <f>11000000*103.5%</f>
        <v>11385000</v>
      </c>
      <c r="Z12" s="333">
        <v>220000</v>
      </c>
      <c r="AA12" s="333"/>
      <c r="AB12" s="333"/>
      <c r="AC12" s="333"/>
      <c r="AD12" s="333"/>
      <c r="AE12" s="333"/>
      <c r="AF12" s="333"/>
      <c r="AG12" s="347" t="s">
        <v>112</v>
      </c>
      <c r="AH12" s="347" t="s">
        <v>14458</v>
      </c>
      <c r="AI12" s="348" t="s">
        <v>14519</v>
      </c>
      <c r="AJ12" s="301" t="s">
        <v>14520</v>
      </c>
      <c r="AK12" s="1625" t="s">
        <v>14521</v>
      </c>
      <c r="AL12" s="358" t="s">
        <v>14522</v>
      </c>
      <c r="AM12" s="358" t="s">
        <v>14523</v>
      </c>
      <c r="AN12" s="358" t="s">
        <v>14524</v>
      </c>
      <c r="AO12" s="358"/>
      <c r="AP12" s="1625" t="s">
        <v>14525</v>
      </c>
      <c r="AQ12" s="365" t="s">
        <v>14526</v>
      </c>
      <c r="AR12" s="366"/>
      <c r="AS12" s="376" t="s">
        <v>14527</v>
      </c>
      <c r="AT12" s="377">
        <f>VLOOKUP(C12,[4]Sheet1!$B$6:$Y$67,23,0)</f>
        <v>3.5</v>
      </c>
      <c r="AU12" s="378">
        <f>VLOOKUP(C12,[4]Sheet1!$B$6:$Y$67,24,0)</f>
        <v>11385000</v>
      </c>
      <c r="AV12" s="378">
        <f t="shared" si="4"/>
        <v>11783475</v>
      </c>
      <c r="AW12" s="387">
        <f t="shared" si="3"/>
        <v>398475</v>
      </c>
    </row>
    <row r="13" s="260" customFormat="1" ht="21" spans="1:49">
      <c r="A13" s="1624" t="s">
        <v>135</v>
      </c>
      <c r="B13" s="1624" t="s">
        <v>14528</v>
      </c>
      <c r="C13" s="275" t="s">
        <v>14529</v>
      </c>
      <c r="D13" s="276" t="s">
        <v>14530</v>
      </c>
      <c r="E13" s="285">
        <v>24</v>
      </c>
      <c r="F13" s="286" t="s">
        <v>14531</v>
      </c>
      <c r="G13" s="287" t="s">
        <v>43</v>
      </c>
      <c r="H13" s="288" t="s">
        <v>44</v>
      </c>
      <c r="I13" s="288" t="s">
        <v>3528</v>
      </c>
      <c r="J13" s="301" t="s">
        <v>14532</v>
      </c>
      <c r="K13" s="305" t="s">
        <v>14533</v>
      </c>
      <c r="L13" s="303"/>
      <c r="M13" s="313">
        <v>42569</v>
      </c>
      <c r="N13" s="313">
        <v>42933</v>
      </c>
      <c r="O13" s="313">
        <v>43202</v>
      </c>
      <c r="P13" s="313">
        <v>43298</v>
      </c>
      <c r="Q13" s="313"/>
      <c r="R13" s="313"/>
      <c r="S13" s="313">
        <v>43299</v>
      </c>
      <c r="T13" s="313">
        <v>43567</v>
      </c>
      <c r="U13" s="313" t="s">
        <v>604</v>
      </c>
      <c r="V13" s="313"/>
      <c r="W13" s="323">
        <f ca="1" t="shared" ref="W13:W17" si="5">SUM(T13-NOW())</f>
        <v>294.61546296296</v>
      </c>
      <c r="X13" s="324" t="str">
        <f ca="1" t="shared" si="0"/>
        <v>ACTIVE</v>
      </c>
      <c r="Y13" s="333">
        <f>6000000*104%</f>
        <v>6240000</v>
      </c>
      <c r="Z13" s="333">
        <v>220000</v>
      </c>
      <c r="AA13" s="333" t="s">
        <v>583</v>
      </c>
      <c r="AB13" s="333" t="s">
        <v>583</v>
      </c>
      <c r="AC13" s="333"/>
      <c r="AD13" s="333"/>
      <c r="AE13" s="333"/>
      <c r="AF13" s="333"/>
      <c r="AG13" s="347" t="s">
        <v>48</v>
      </c>
      <c r="AH13" s="347" t="s">
        <v>11917</v>
      </c>
      <c r="AI13" s="348" t="s">
        <v>14534</v>
      </c>
      <c r="AJ13" s="301" t="s">
        <v>14535</v>
      </c>
      <c r="AK13" s="1625" t="s">
        <v>14536</v>
      </c>
      <c r="AL13" s="358" t="s">
        <v>14537</v>
      </c>
      <c r="AM13" s="358" t="s">
        <v>14538</v>
      </c>
      <c r="AN13" s="358" t="s">
        <v>14539</v>
      </c>
      <c r="AO13" s="358"/>
      <c r="AP13" s="1625" t="s">
        <v>14540</v>
      </c>
      <c r="AQ13" s="367" t="s">
        <v>14541</v>
      </c>
      <c r="AR13" s="366"/>
      <c r="AS13" s="376" t="s">
        <v>11954</v>
      </c>
      <c r="AT13" s="377">
        <f>VLOOKUP(C13,[4]Sheet1!$B$6:$Y$67,23,0)</f>
        <v>4</v>
      </c>
      <c r="AU13" s="378">
        <f>VLOOKUP(C13,[4]Sheet1!$B$6:$Y$67,24,0)</f>
        <v>6240000</v>
      </c>
      <c r="AV13" s="378">
        <f t="shared" si="2"/>
        <v>6489600</v>
      </c>
      <c r="AW13" s="387">
        <f t="shared" si="3"/>
        <v>249600</v>
      </c>
    </row>
    <row r="14" s="260" customFormat="1" ht="21" spans="1:49">
      <c r="A14" s="1624" t="s">
        <v>146</v>
      </c>
      <c r="B14" s="1624" t="s">
        <v>14542</v>
      </c>
      <c r="C14" s="275" t="s">
        <v>14543</v>
      </c>
      <c r="D14" s="276" t="s">
        <v>14544</v>
      </c>
      <c r="E14" s="285">
        <v>39</v>
      </c>
      <c r="F14" s="286" t="s">
        <v>1110</v>
      </c>
      <c r="G14" s="287" t="s">
        <v>43</v>
      </c>
      <c r="H14" s="288" t="s">
        <v>404</v>
      </c>
      <c r="I14" s="288" t="s">
        <v>3528</v>
      </c>
      <c r="J14" s="301" t="s">
        <v>14545</v>
      </c>
      <c r="K14" s="305" t="s">
        <v>14546</v>
      </c>
      <c r="L14" s="303"/>
      <c r="M14" s="313">
        <v>42569</v>
      </c>
      <c r="N14" s="313">
        <v>42752</v>
      </c>
      <c r="O14" s="313">
        <v>42837</v>
      </c>
      <c r="P14" s="313">
        <v>43201</v>
      </c>
      <c r="Q14" s="313">
        <v>43298</v>
      </c>
      <c r="R14" s="313"/>
      <c r="S14" s="313">
        <v>43299</v>
      </c>
      <c r="T14" s="313">
        <v>43390</v>
      </c>
      <c r="U14" s="314" t="s">
        <v>604</v>
      </c>
      <c r="V14" s="313"/>
      <c r="W14" s="323">
        <f ca="1" t="shared" si="5"/>
        <v>117.61546296296</v>
      </c>
      <c r="X14" s="324" t="str">
        <f ca="1" t="shared" si="0"/>
        <v>ACTIVE</v>
      </c>
      <c r="Y14" s="332">
        <f>7500000*103.5%</f>
        <v>7762500</v>
      </c>
      <c r="Z14" s="333">
        <v>220000</v>
      </c>
      <c r="AA14" s="333" t="s">
        <v>583</v>
      </c>
      <c r="AB14" s="333" t="s">
        <v>583</v>
      </c>
      <c r="AC14" s="333"/>
      <c r="AD14" s="333"/>
      <c r="AE14" s="333"/>
      <c r="AF14" s="333"/>
      <c r="AG14" s="347" t="s">
        <v>48</v>
      </c>
      <c r="AH14" s="347" t="s">
        <v>11917</v>
      </c>
      <c r="AI14" s="348" t="s">
        <v>14547</v>
      </c>
      <c r="AJ14" s="301" t="s">
        <v>14548</v>
      </c>
      <c r="AK14" s="1625" t="s">
        <v>14549</v>
      </c>
      <c r="AL14" s="358" t="s">
        <v>14550</v>
      </c>
      <c r="AM14" s="358" t="s">
        <v>14551</v>
      </c>
      <c r="AN14" s="358" t="s">
        <v>14552</v>
      </c>
      <c r="AO14" s="358"/>
      <c r="AP14" s="1625" t="s">
        <v>14553</v>
      </c>
      <c r="AQ14" s="365" t="s">
        <v>14554</v>
      </c>
      <c r="AR14" s="366"/>
      <c r="AS14" s="376" t="s">
        <v>14555</v>
      </c>
      <c r="AT14" s="377">
        <f>VLOOKUP(C14,[4]Sheet1!$B$6:$Y$67,23,0)</f>
        <v>3.5</v>
      </c>
      <c r="AU14" s="378">
        <f>VLOOKUP(C14,[4]Sheet1!$B$6:$Y$67,24,0)</f>
        <v>7762500</v>
      </c>
      <c r="AV14" s="378">
        <f t="shared" si="4"/>
        <v>8034187.5</v>
      </c>
      <c r="AW14" s="387">
        <f t="shared" si="3"/>
        <v>271687.499999998</v>
      </c>
    </row>
    <row r="15" s="260" customFormat="1" ht="21" spans="1:49">
      <c r="A15" s="1624" t="s">
        <v>157</v>
      </c>
      <c r="B15" s="1624" t="s">
        <v>14556</v>
      </c>
      <c r="C15" s="275" t="s">
        <v>14557</v>
      </c>
      <c r="D15" s="276" t="s">
        <v>14558</v>
      </c>
      <c r="E15" s="285">
        <v>31</v>
      </c>
      <c r="F15" s="286" t="s">
        <v>14559</v>
      </c>
      <c r="G15" s="287" t="s">
        <v>43</v>
      </c>
      <c r="H15" s="289" t="s">
        <v>254</v>
      </c>
      <c r="I15" s="288" t="s">
        <v>3528</v>
      </c>
      <c r="J15" s="301" t="s">
        <v>14560</v>
      </c>
      <c r="K15" s="305" t="s">
        <v>14561</v>
      </c>
      <c r="L15" s="303"/>
      <c r="M15" s="313">
        <v>42646</v>
      </c>
      <c r="N15" s="313">
        <v>43010</v>
      </c>
      <c r="O15" s="313">
        <v>43202</v>
      </c>
      <c r="P15" s="313">
        <v>43375</v>
      </c>
      <c r="Q15" s="314" t="s">
        <v>604</v>
      </c>
      <c r="R15" s="313"/>
      <c r="S15" s="313"/>
      <c r="T15" s="313"/>
      <c r="U15" s="313"/>
      <c r="V15" s="313"/>
      <c r="W15" s="323">
        <f ca="1" t="shared" ref="W15:W22" si="6">SUM(P15-NOW())</f>
        <v>102.61546296296</v>
      </c>
      <c r="X15" s="324" t="str">
        <f ca="1" t="shared" si="0"/>
        <v>ACTIVE</v>
      </c>
      <c r="Y15" s="332">
        <f>5000000*104%</f>
        <v>5200000</v>
      </c>
      <c r="Z15" s="333">
        <v>20000</v>
      </c>
      <c r="AA15" s="333">
        <v>750000</v>
      </c>
      <c r="AB15" s="333">
        <v>150000</v>
      </c>
      <c r="AC15" s="333"/>
      <c r="AD15" s="333"/>
      <c r="AE15" s="333"/>
      <c r="AF15" s="333"/>
      <c r="AG15" s="347" t="s">
        <v>48</v>
      </c>
      <c r="AH15" s="347" t="s">
        <v>11917</v>
      </c>
      <c r="AI15" s="348" t="s">
        <v>14562</v>
      </c>
      <c r="AJ15" s="301" t="s">
        <v>14563</v>
      </c>
      <c r="AK15" s="1625" t="s">
        <v>14564</v>
      </c>
      <c r="AL15" s="358" t="s">
        <v>14565</v>
      </c>
      <c r="AM15" s="358" t="s">
        <v>14566</v>
      </c>
      <c r="AN15" s="358" t="s">
        <v>14567</v>
      </c>
      <c r="AO15" s="358"/>
      <c r="AP15" s="358"/>
      <c r="AQ15" s="365" t="s">
        <v>14568</v>
      </c>
      <c r="AR15" s="366"/>
      <c r="AS15" s="376" t="s">
        <v>14569</v>
      </c>
      <c r="AT15" s="377">
        <f>VLOOKUP(C15,[4]Sheet1!$B$6:$Y$67,23,0)</f>
        <v>4</v>
      </c>
      <c r="AU15" s="378">
        <f>VLOOKUP(C15,[4]Sheet1!$B$6:$Y$67,24,0)</f>
        <v>5200000</v>
      </c>
      <c r="AV15" s="378">
        <f t="shared" si="2"/>
        <v>5408000</v>
      </c>
      <c r="AW15" s="387">
        <f t="shared" si="3"/>
        <v>208000</v>
      </c>
    </row>
    <row r="16" s="260" customFormat="1" ht="21" spans="1:49">
      <c r="A16" s="1624" t="s">
        <v>168</v>
      </c>
      <c r="B16" s="1624" t="s">
        <v>14570</v>
      </c>
      <c r="C16" s="275" t="s">
        <v>14571</v>
      </c>
      <c r="D16" s="276" t="s">
        <v>14572</v>
      </c>
      <c r="E16" s="285">
        <v>27</v>
      </c>
      <c r="F16" s="286" t="s">
        <v>14573</v>
      </c>
      <c r="G16" s="287" t="s">
        <v>125</v>
      </c>
      <c r="H16" s="288" t="s">
        <v>44</v>
      </c>
      <c r="I16" s="288" t="s">
        <v>3528</v>
      </c>
      <c r="J16" s="301" t="s">
        <v>14574</v>
      </c>
      <c r="K16" s="302" t="s">
        <v>14575</v>
      </c>
      <c r="L16" s="303"/>
      <c r="M16" s="313">
        <v>42674</v>
      </c>
      <c r="N16" s="313">
        <v>42855</v>
      </c>
      <c r="O16" s="313">
        <v>43039</v>
      </c>
      <c r="P16" s="313">
        <v>43202</v>
      </c>
      <c r="Q16" s="313">
        <v>43404</v>
      </c>
      <c r="R16" s="314" t="s">
        <v>604</v>
      </c>
      <c r="S16" s="313"/>
      <c r="T16" s="313"/>
      <c r="U16" s="313"/>
      <c r="V16" s="313"/>
      <c r="W16" s="323">
        <f ca="1">SUM(Q16-NOW())</f>
        <v>131.61546296296</v>
      </c>
      <c r="X16" s="324" t="str">
        <f ca="1" t="shared" si="0"/>
        <v>ACTIVE</v>
      </c>
      <c r="Y16" s="332">
        <f>14000000*104%</f>
        <v>14560000</v>
      </c>
      <c r="Z16" s="333">
        <v>20000</v>
      </c>
      <c r="AA16" s="333">
        <v>1300000</v>
      </c>
      <c r="AB16" s="333">
        <v>150000</v>
      </c>
      <c r="AC16" s="333"/>
      <c r="AD16" s="333"/>
      <c r="AE16" s="333"/>
      <c r="AF16" s="333"/>
      <c r="AG16" s="347" t="s">
        <v>0</v>
      </c>
      <c r="AH16" s="347" t="s">
        <v>14576</v>
      </c>
      <c r="AI16" s="348" t="s">
        <v>14577</v>
      </c>
      <c r="AJ16" s="301" t="s">
        <v>14578</v>
      </c>
      <c r="AK16" s="1625" t="s">
        <v>14579</v>
      </c>
      <c r="AL16" s="358" t="s">
        <v>14580</v>
      </c>
      <c r="AM16" s="358" t="s">
        <v>14581</v>
      </c>
      <c r="AN16" s="358" t="s">
        <v>14582</v>
      </c>
      <c r="AO16" s="358" t="s">
        <v>14583</v>
      </c>
      <c r="AP16" s="1625" t="s">
        <v>14584</v>
      </c>
      <c r="AQ16" s="365" t="s">
        <v>14585</v>
      </c>
      <c r="AR16" s="366"/>
      <c r="AS16" s="376" t="s">
        <v>14586</v>
      </c>
      <c r="AT16" s="377">
        <f>VLOOKUP(C16,[4]Sheet1!$B$6:$Y$67,23,0)</f>
        <v>4</v>
      </c>
      <c r="AU16" s="378">
        <f>VLOOKUP(C16,[4]Sheet1!$B$6:$Y$67,24,0)</f>
        <v>14560000</v>
      </c>
      <c r="AV16" s="378">
        <f t="shared" si="2"/>
        <v>15142400</v>
      </c>
      <c r="AW16" s="387">
        <f t="shared" si="3"/>
        <v>582400</v>
      </c>
    </row>
    <row r="17" s="260" customFormat="1" ht="21" spans="1:49">
      <c r="A17" s="1624" t="s">
        <v>181</v>
      </c>
      <c r="B17" s="1624" t="s">
        <v>14587</v>
      </c>
      <c r="C17" s="275" t="s">
        <v>14588</v>
      </c>
      <c r="D17" s="276" t="s">
        <v>14589</v>
      </c>
      <c r="E17" s="285">
        <v>34</v>
      </c>
      <c r="F17" s="286" t="s">
        <v>1110</v>
      </c>
      <c r="G17" s="287" t="s">
        <v>43</v>
      </c>
      <c r="H17" s="288" t="s">
        <v>60</v>
      </c>
      <c r="I17" s="288" t="s">
        <v>3528</v>
      </c>
      <c r="J17" s="301" t="s">
        <v>14590</v>
      </c>
      <c r="K17" s="305" t="s">
        <v>14533</v>
      </c>
      <c r="L17" s="303"/>
      <c r="M17" s="313">
        <v>42751</v>
      </c>
      <c r="N17" s="313">
        <v>42837</v>
      </c>
      <c r="O17" s="313">
        <v>43202</v>
      </c>
      <c r="P17" s="314">
        <v>43480</v>
      </c>
      <c r="Q17" s="313"/>
      <c r="R17" s="313"/>
      <c r="S17" s="313">
        <v>43481</v>
      </c>
      <c r="T17" s="313">
        <v>43567</v>
      </c>
      <c r="U17" s="313" t="s">
        <v>604</v>
      </c>
      <c r="V17" s="313"/>
      <c r="W17" s="323">
        <f ca="1" t="shared" si="5"/>
        <v>294.61546296296</v>
      </c>
      <c r="X17" s="324" t="str">
        <f ca="1" t="shared" si="0"/>
        <v>ACTIVE</v>
      </c>
      <c r="Y17" s="333">
        <f>15000000*104%</f>
        <v>15600000</v>
      </c>
      <c r="Z17" s="333">
        <v>20000</v>
      </c>
      <c r="AA17" s="333">
        <v>1300000</v>
      </c>
      <c r="AB17" s="333">
        <v>150000</v>
      </c>
      <c r="AC17" s="333"/>
      <c r="AD17" s="333"/>
      <c r="AE17" s="333"/>
      <c r="AF17" s="333"/>
      <c r="AG17" s="347" t="s">
        <v>0</v>
      </c>
      <c r="AH17" s="347" t="s">
        <v>14458</v>
      </c>
      <c r="AI17" s="348" t="s">
        <v>14591</v>
      </c>
      <c r="AJ17" s="301" t="s">
        <v>14592</v>
      </c>
      <c r="AK17" s="1625" t="s">
        <v>14593</v>
      </c>
      <c r="AL17" s="358" t="s">
        <v>14594</v>
      </c>
      <c r="AM17" s="358" t="s">
        <v>14595</v>
      </c>
      <c r="AN17" s="358" t="s">
        <v>14596</v>
      </c>
      <c r="AO17" s="358" t="s">
        <v>14597</v>
      </c>
      <c r="AP17" s="358"/>
      <c r="AQ17" s="365" t="s">
        <v>14598</v>
      </c>
      <c r="AR17" s="366"/>
      <c r="AS17" s="376" t="s">
        <v>11954</v>
      </c>
      <c r="AT17" s="377">
        <f>VLOOKUP(C17,[4]Sheet1!$B$6:$Y$67,23,0)</f>
        <v>4</v>
      </c>
      <c r="AU17" s="378">
        <f>VLOOKUP(C17,[4]Sheet1!$B$6:$Y$67,24,0)</f>
        <v>15600000</v>
      </c>
      <c r="AV17" s="378">
        <f t="shared" si="2"/>
        <v>16224000</v>
      </c>
      <c r="AW17" s="387">
        <f t="shared" si="3"/>
        <v>624000</v>
      </c>
    </row>
    <row r="18" s="260" customFormat="1" spans="1:49">
      <c r="A18" s="1624" t="s">
        <v>194</v>
      </c>
      <c r="B18" s="1624" t="s">
        <v>14599</v>
      </c>
      <c r="C18" s="275" t="s">
        <v>14600</v>
      </c>
      <c r="D18" s="276" t="s">
        <v>14601</v>
      </c>
      <c r="E18" s="285">
        <v>38</v>
      </c>
      <c r="F18" s="286" t="s">
        <v>14602</v>
      </c>
      <c r="G18" s="287" t="s">
        <v>43</v>
      </c>
      <c r="H18" s="288" t="s">
        <v>60</v>
      </c>
      <c r="I18" s="288" t="s">
        <v>3528</v>
      </c>
      <c r="J18" s="301" t="s">
        <v>14603</v>
      </c>
      <c r="K18" s="305" t="s">
        <v>14604</v>
      </c>
      <c r="L18" s="303"/>
      <c r="M18" s="313">
        <v>42758</v>
      </c>
      <c r="N18" s="313">
        <v>42837</v>
      </c>
      <c r="O18" s="313">
        <v>43202</v>
      </c>
      <c r="P18" s="314">
        <v>43385</v>
      </c>
      <c r="Q18" s="314" t="s">
        <v>604</v>
      </c>
      <c r="R18" s="313"/>
      <c r="S18" s="313"/>
      <c r="T18" s="313"/>
      <c r="U18" s="313"/>
      <c r="V18" s="313"/>
      <c r="W18" s="323">
        <f ca="1" t="shared" si="6"/>
        <v>112.61546296296</v>
      </c>
      <c r="X18" s="324" t="str">
        <f ca="1" t="shared" si="0"/>
        <v>ACTIVE</v>
      </c>
      <c r="Y18" s="332">
        <f>8000000*104%</f>
        <v>8320000</v>
      </c>
      <c r="Z18" s="333">
        <v>420000</v>
      </c>
      <c r="AA18" s="333">
        <v>500000</v>
      </c>
      <c r="AB18" s="333">
        <v>125000</v>
      </c>
      <c r="AC18" s="333"/>
      <c r="AD18" s="333"/>
      <c r="AE18" s="333"/>
      <c r="AF18" s="333"/>
      <c r="AG18" s="347" t="s">
        <v>48</v>
      </c>
      <c r="AH18" s="347" t="s">
        <v>11917</v>
      </c>
      <c r="AI18" s="348" t="s">
        <v>14605</v>
      </c>
      <c r="AJ18" s="301" t="s">
        <v>14606</v>
      </c>
      <c r="AK18" s="1625" t="s">
        <v>14607</v>
      </c>
      <c r="AL18" s="358" t="s">
        <v>14608</v>
      </c>
      <c r="AM18" s="358" t="s">
        <v>14609</v>
      </c>
      <c r="AN18" s="358" t="s">
        <v>14610</v>
      </c>
      <c r="AO18" s="358"/>
      <c r="AP18" s="358"/>
      <c r="AQ18" s="365" t="s">
        <v>14611</v>
      </c>
      <c r="AR18" s="366"/>
      <c r="AS18" s="376" t="s">
        <v>14612</v>
      </c>
      <c r="AT18" s="377">
        <f>VLOOKUP(C18,[4]Sheet1!$B$6:$Y$67,23,0)</f>
        <v>4</v>
      </c>
      <c r="AU18" s="378">
        <f>VLOOKUP(C18,[4]Sheet1!$B$6:$Y$67,24,0)</f>
        <v>8320000</v>
      </c>
      <c r="AV18" s="378">
        <f t="shared" si="2"/>
        <v>8652800</v>
      </c>
      <c r="AW18" s="387">
        <f t="shared" si="3"/>
        <v>332800</v>
      </c>
    </row>
    <row r="19" s="260" customFormat="1" ht="21" spans="1:49">
      <c r="A19" s="1624" t="s">
        <v>204</v>
      </c>
      <c r="B19" s="1624" t="s">
        <v>14613</v>
      </c>
      <c r="C19" s="275" t="s">
        <v>14614</v>
      </c>
      <c r="D19" s="276" t="s">
        <v>7651</v>
      </c>
      <c r="E19" s="285">
        <v>36</v>
      </c>
      <c r="F19" s="286"/>
      <c r="G19" s="287" t="s">
        <v>43</v>
      </c>
      <c r="H19" s="288" t="s">
        <v>254</v>
      </c>
      <c r="I19" s="288" t="s">
        <v>3528</v>
      </c>
      <c r="J19" s="301" t="s">
        <v>14560</v>
      </c>
      <c r="K19" s="305" t="s">
        <v>14615</v>
      </c>
      <c r="L19" s="303"/>
      <c r="M19" s="313">
        <v>42779</v>
      </c>
      <c r="N19" s="313">
        <v>43143</v>
      </c>
      <c r="O19" s="313">
        <v>43202</v>
      </c>
      <c r="P19" s="313">
        <v>43508</v>
      </c>
      <c r="Q19" s="313" t="s">
        <v>604</v>
      </c>
      <c r="R19" s="313"/>
      <c r="S19" s="313"/>
      <c r="T19" s="313"/>
      <c r="U19" s="313"/>
      <c r="V19" s="313"/>
      <c r="W19" s="323">
        <f ca="1" t="shared" si="6"/>
        <v>235.61546296296</v>
      </c>
      <c r="X19" s="324" t="str">
        <f ca="1" t="shared" si="0"/>
        <v>ACTIVE</v>
      </c>
      <c r="Y19" s="333">
        <f>3800000*104%</f>
        <v>3952000</v>
      </c>
      <c r="Z19" s="333">
        <v>20000</v>
      </c>
      <c r="AA19" s="333">
        <v>700000</v>
      </c>
      <c r="AB19" s="333">
        <v>131250</v>
      </c>
      <c r="AC19" s="333"/>
      <c r="AD19" s="333"/>
      <c r="AE19" s="333"/>
      <c r="AF19" s="333"/>
      <c r="AG19" s="347" t="s">
        <v>48</v>
      </c>
      <c r="AH19" s="347" t="s">
        <v>11917</v>
      </c>
      <c r="AI19" s="348" t="s">
        <v>14616</v>
      </c>
      <c r="AJ19" s="301" t="s">
        <v>14617</v>
      </c>
      <c r="AK19" s="358"/>
      <c r="AL19" s="358" t="s">
        <v>14618</v>
      </c>
      <c r="AM19" s="358" t="s">
        <v>14619</v>
      </c>
      <c r="AN19" s="358" t="s">
        <v>14620</v>
      </c>
      <c r="AO19" s="358" t="s">
        <v>14621</v>
      </c>
      <c r="AP19" s="1625" t="s">
        <v>14622</v>
      </c>
      <c r="AQ19" s="365" t="s">
        <v>14623</v>
      </c>
      <c r="AR19" s="366"/>
      <c r="AS19" s="376" t="s">
        <v>14624</v>
      </c>
      <c r="AT19" s="377">
        <f>VLOOKUP(C19,[4]Sheet1!$B$6:$Y$67,23,0)</f>
        <v>4</v>
      </c>
      <c r="AU19" s="378">
        <f>VLOOKUP(C19,[4]Sheet1!$B$6:$Y$67,24,0)</f>
        <v>3952000</v>
      </c>
      <c r="AV19" s="378">
        <f t="shared" si="2"/>
        <v>4110080</v>
      </c>
      <c r="AW19" s="387">
        <f t="shared" si="3"/>
        <v>158080</v>
      </c>
    </row>
    <row r="20" s="260" customFormat="1" ht="21" spans="1:49">
      <c r="A20" s="1624" t="s">
        <v>215</v>
      </c>
      <c r="B20" s="1624" t="s">
        <v>14625</v>
      </c>
      <c r="C20" s="275" t="s">
        <v>14626</v>
      </c>
      <c r="D20" s="276" t="s">
        <v>14627</v>
      </c>
      <c r="E20" s="285">
        <v>39</v>
      </c>
      <c r="F20" s="286"/>
      <c r="G20" s="287" t="s">
        <v>43</v>
      </c>
      <c r="H20" s="288" t="s">
        <v>60</v>
      </c>
      <c r="I20" s="288" t="s">
        <v>6633</v>
      </c>
      <c r="J20" s="301" t="s">
        <v>14628</v>
      </c>
      <c r="K20" s="305" t="s">
        <v>14629</v>
      </c>
      <c r="L20" s="303"/>
      <c r="M20" s="313">
        <v>42779</v>
      </c>
      <c r="N20" s="313">
        <v>43143</v>
      </c>
      <c r="O20" s="313">
        <v>43202</v>
      </c>
      <c r="P20" s="313">
        <v>43508</v>
      </c>
      <c r="Q20" s="313" t="s">
        <v>604</v>
      </c>
      <c r="R20" s="313"/>
      <c r="S20" s="313"/>
      <c r="T20" s="313"/>
      <c r="U20" s="313"/>
      <c r="V20" s="313"/>
      <c r="W20" s="323">
        <f ca="1" t="shared" si="6"/>
        <v>235.61546296296</v>
      </c>
      <c r="X20" s="324" t="str">
        <f ca="1" t="shared" si="0"/>
        <v>ACTIVE</v>
      </c>
      <c r="Y20" s="333">
        <f>17050000*104%</f>
        <v>17732000</v>
      </c>
      <c r="Z20" s="333">
        <v>20000</v>
      </c>
      <c r="AA20" s="333">
        <v>1300000</v>
      </c>
      <c r="AB20" s="333">
        <v>150000</v>
      </c>
      <c r="AC20" s="333"/>
      <c r="AD20" s="333"/>
      <c r="AE20" s="333"/>
      <c r="AF20" s="333"/>
      <c r="AG20" s="347" t="s">
        <v>112</v>
      </c>
      <c r="AH20" s="347" t="s">
        <v>14458</v>
      </c>
      <c r="AI20" s="348" t="s">
        <v>14630</v>
      </c>
      <c r="AJ20" s="301" t="s">
        <v>14631</v>
      </c>
      <c r="AK20" s="1625" t="s">
        <v>14632</v>
      </c>
      <c r="AL20" s="358" t="s">
        <v>14633</v>
      </c>
      <c r="AM20" s="358" t="s">
        <v>14634</v>
      </c>
      <c r="AN20" s="358" t="s">
        <v>14635</v>
      </c>
      <c r="AO20" s="358" t="s">
        <v>14636</v>
      </c>
      <c r="AP20" s="358"/>
      <c r="AQ20" s="365" t="s">
        <v>14637</v>
      </c>
      <c r="AR20" s="366"/>
      <c r="AS20" s="376" t="s">
        <v>14638</v>
      </c>
      <c r="AT20" s="377">
        <f>VLOOKUP(C20,[4]Sheet1!$B$6:$Y$67,23,0)</f>
        <v>4</v>
      </c>
      <c r="AU20" s="378">
        <f>VLOOKUP(C20,[4]Sheet1!$B$6:$Y$67,24,0)</f>
        <v>17732000</v>
      </c>
      <c r="AV20" s="378">
        <f t="shared" si="2"/>
        <v>18441280</v>
      </c>
      <c r="AW20" s="387">
        <f t="shared" si="3"/>
        <v>709280</v>
      </c>
    </row>
    <row r="21" s="260" customFormat="1" ht="21" spans="1:49">
      <c r="A21" s="1624" t="s">
        <v>229</v>
      </c>
      <c r="B21" s="1624" t="s">
        <v>14639</v>
      </c>
      <c r="C21" s="275" t="s">
        <v>14640</v>
      </c>
      <c r="D21" s="276" t="s">
        <v>14641</v>
      </c>
      <c r="E21" s="285">
        <v>26</v>
      </c>
      <c r="F21" s="286"/>
      <c r="G21" s="287" t="s">
        <v>43</v>
      </c>
      <c r="H21" s="288" t="s">
        <v>44</v>
      </c>
      <c r="I21" s="288" t="s">
        <v>3528</v>
      </c>
      <c r="J21" s="301" t="s">
        <v>14642</v>
      </c>
      <c r="K21" s="305" t="s">
        <v>14615</v>
      </c>
      <c r="L21" s="303"/>
      <c r="M21" s="313">
        <v>42779</v>
      </c>
      <c r="N21" s="313">
        <v>43143</v>
      </c>
      <c r="O21" s="313">
        <v>43202</v>
      </c>
      <c r="P21" s="313">
        <v>43508</v>
      </c>
      <c r="Q21" s="314" t="s">
        <v>604</v>
      </c>
      <c r="R21" s="313"/>
      <c r="S21" s="313"/>
      <c r="T21" s="313"/>
      <c r="U21" s="313"/>
      <c r="V21" s="313"/>
      <c r="W21" s="323">
        <f ca="1" t="shared" si="6"/>
        <v>235.61546296296</v>
      </c>
      <c r="X21" s="324" t="str">
        <f ca="1" t="shared" si="0"/>
        <v>ACTIVE</v>
      </c>
      <c r="Y21" s="332">
        <f>2800000*106%</f>
        <v>2968000</v>
      </c>
      <c r="Z21" s="333">
        <v>420000</v>
      </c>
      <c r="AA21" s="333">
        <v>700000</v>
      </c>
      <c r="AB21" s="333">
        <v>131250</v>
      </c>
      <c r="AC21" s="333"/>
      <c r="AD21" s="333"/>
      <c r="AE21" s="333"/>
      <c r="AF21" s="333"/>
      <c r="AG21" s="347" t="s">
        <v>48</v>
      </c>
      <c r="AH21" s="347" t="s">
        <v>11917</v>
      </c>
      <c r="AI21" s="348" t="s">
        <v>14643</v>
      </c>
      <c r="AJ21" s="301" t="s">
        <v>14644</v>
      </c>
      <c r="AK21" s="1625" t="s">
        <v>14645</v>
      </c>
      <c r="AL21" s="358" t="s">
        <v>14646</v>
      </c>
      <c r="AM21" s="358" t="s">
        <v>14647</v>
      </c>
      <c r="AN21" s="358" t="s">
        <v>14648</v>
      </c>
      <c r="AO21" s="358" t="s">
        <v>14649</v>
      </c>
      <c r="AP21" s="358"/>
      <c r="AQ21" s="365" t="s">
        <v>14650</v>
      </c>
      <c r="AR21" s="366"/>
      <c r="AS21" s="376" t="s">
        <v>14624</v>
      </c>
      <c r="AT21" s="377">
        <f>VLOOKUP(C21,[4]Sheet1!$B$6:$Y$67,23,0)</f>
        <v>6</v>
      </c>
      <c r="AU21" s="378">
        <f>VLOOKUP(C21,[4]Sheet1!$B$6:$Y$67,24,0)</f>
        <v>2968000</v>
      </c>
      <c r="AV21" s="378">
        <f>Y21*106%</f>
        <v>3146080</v>
      </c>
      <c r="AW21" s="387">
        <f t="shared" si="3"/>
        <v>178080</v>
      </c>
    </row>
    <row r="22" s="260" customFormat="1" ht="21" spans="1:48">
      <c r="A22" s="1624" t="s">
        <v>239</v>
      </c>
      <c r="B22" s="1624" t="s">
        <v>14651</v>
      </c>
      <c r="C22" s="275" t="s">
        <v>14652</v>
      </c>
      <c r="D22" s="276" t="s">
        <v>14653</v>
      </c>
      <c r="E22" s="285">
        <v>35</v>
      </c>
      <c r="F22" s="286"/>
      <c r="G22" s="287" t="s">
        <v>43</v>
      </c>
      <c r="H22" s="289" t="s">
        <v>96</v>
      </c>
      <c r="I22" s="288" t="s">
        <v>2832</v>
      </c>
      <c r="J22" s="301" t="s">
        <v>14654</v>
      </c>
      <c r="K22" s="305" t="s">
        <v>14655</v>
      </c>
      <c r="L22" s="303"/>
      <c r="M22" s="313">
        <v>42786</v>
      </c>
      <c r="N22" s="313">
        <v>43150</v>
      </c>
      <c r="O22" s="313">
        <v>43202</v>
      </c>
      <c r="P22" s="313">
        <v>43515</v>
      </c>
      <c r="Q22" s="314" t="s">
        <v>604</v>
      </c>
      <c r="R22" s="313"/>
      <c r="S22" s="313"/>
      <c r="T22" s="313"/>
      <c r="U22" s="313"/>
      <c r="V22" s="313"/>
      <c r="W22" s="323">
        <f ca="1" t="shared" si="6"/>
        <v>242.61546296296</v>
      </c>
      <c r="X22" s="324" t="str">
        <f ca="1" t="shared" si="0"/>
        <v>ACTIVE</v>
      </c>
      <c r="Y22" s="332">
        <f>17000000*104%</f>
        <v>17680000</v>
      </c>
      <c r="Z22" s="333">
        <v>15000</v>
      </c>
      <c r="AA22" s="333">
        <v>1300000</v>
      </c>
      <c r="AB22" s="333">
        <v>150000</v>
      </c>
      <c r="AC22" s="333"/>
      <c r="AD22" s="333"/>
      <c r="AE22" s="333"/>
      <c r="AF22" s="333"/>
      <c r="AG22" s="347" t="s">
        <v>112</v>
      </c>
      <c r="AH22" s="347" t="s">
        <v>14458</v>
      </c>
      <c r="AI22" s="348" t="s">
        <v>14656</v>
      </c>
      <c r="AJ22" s="301" t="s">
        <v>14657</v>
      </c>
      <c r="AK22" s="1625" t="s">
        <v>14658</v>
      </c>
      <c r="AL22" s="358" t="s">
        <v>14659</v>
      </c>
      <c r="AM22" s="358" t="s">
        <v>14660</v>
      </c>
      <c r="AN22" s="358" t="s">
        <v>14661</v>
      </c>
      <c r="AO22" s="358"/>
      <c r="AP22" s="1625" t="s">
        <v>14662</v>
      </c>
      <c r="AQ22" s="365" t="s">
        <v>14663</v>
      </c>
      <c r="AR22" s="366"/>
      <c r="AS22" s="376" t="s">
        <v>14638</v>
      </c>
      <c r="AT22" s="377" t="e">
        <f>VLOOKUP(C22,[4]Sheet1!$B$6:$Y$67,23,0)</f>
        <v>#N/A</v>
      </c>
      <c r="AU22" s="378" t="e">
        <f>VLOOKUP(C22,[4]Sheet1!$B$6:$Y$67,24,0)</f>
        <v>#N/A</v>
      </c>
      <c r="AV22" s="378"/>
    </row>
    <row r="23" s="260" customFormat="1" ht="21" spans="1:49">
      <c r="A23" s="1624" t="s">
        <v>250</v>
      </c>
      <c r="B23" s="1624" t="s">
        <v>14664</v>
      </c>
      <c r="C23" s="275" t="s">
        <v>14665</v>
      </c>
      <c r="D23" s="276" t="s">
        <v>14666</v>
      </c>
      <c r="E23" s="285">
        <v>26</v>
      </c>
      <c r="F23" s="286"/>
      <c r="G23" s="287" t="s">
        <v>43</v>
      </c>
      <c r="H23" s="288" t="s">
        <v>44</v>
      </c>
      <c r="I23" s="288" t="s">
        <v>1300</v>
      </c>
      <c r="J23" s="301" t="s">
        <v>14667</v>
      </c>
      <c r="K23" s="305" t="s">
        <v>14668</v>
      </c>
      <c r="L23" s="303"/>
      <c r="M23" s="313">
        <v>42800</v>
      </c>
      <c r="N23" s="313">
        <v>42983</v>
      </c>
      <c r="O23" s="313">
        <v>43164</v>
      </c>
      <c r="P23" s="314">
        <v>43202</v>
      </c>
      <c r="Q23" s="314">
        <v>43348</v>
      </c>
      <c r="R23" s="320" t="s">
        <v>604</v>
      </c>
      <c r="S23" s="313"/>
      <c r="T23" s="313"/>
      <c r="U23" s="313"/>
      <c r="V23" s="313"/>
      <c r="W23" s="323">
        <f ca="1">SUM(Q23-NOW())</f>
        <v>75.61546296296</v>
      </c>
      <c r="X23" s="324" t="str">
        <f ca="1" t="shared" si="0"/>
        <v>ACTIVE</v>
      </c>
      <c r="Y23" s="333">
        <f>10000000*104%</f>
        <v>10400000</v>
      </c>
      <c r="Z23" s="333">
        <v>13500</v>
      </c>
      <c r="AA23" s="333">
        <v>750000</v>
      </c>
      <c r="AB23" s="333">
        <v>300000</v>
      </c>
      <c r="AC23" s="333"/>
      <c r="AD23" s="333">
        <v>1650000</v>
      </c>
      <c r="AE23" s="333"/>
      <c r="AF23" s="333"/>
      <c r="AG23" s="347" t="s">
        <v>112</v>
      </c>
      <c r="AH23" s="347" t="s">
        <v>11917</v>
      </c>
      <c r="AI23" s="348" t="s">
        <v>14669</v>
      </c>
      <c r="AJ23" s="301" t="s">
        <v>14670</v>
      </c>
      <c r="AK23" s="1625" t="s">
        <v>14671</v>
      </c>
      <c r="AL23" s="358" t="s">
        <v>14672</v>
      </c>
      <c r="AM23" s="358" t="s">
        <v>14673</v>
      </c>
      <c r="AN23" s="358" t="s">
        <v>14674</v>
      </c>
      <c r="AO23" s="358" t="s">
        <v>14675</v>
      </c>
      <c r="AP23" s="358"/>
      <c r="AQ23" s="365" t="s">
        <v>14676</v>
      </c>
      <c r="AR23" s="366"/>
      <c r="AS23" s="376" t="s">
        <v>14677</v>
      </c>
      <c r="AT23" s="377">
        <f>VLOOKUP(C23,[4]Sheet1!$B$6:$Y$67,23,0)</f>
        <v>4</v>
      </c>
      <c r="AU23" s="378">
        <f>VLOOKUP(C23,[4]Sheet1!$B$6:$Y$67,24,0)</f>
        <v>10400000</v>
      </c>
      <c r="AV23" s="378">
        <f t="shared" si="2"/>
        <v>10816000</v>
      </c>
      <c r="AW23" s="387">
        <f t="shared" ref="AW23:AW24" si="7">AV23-AU23</f>
        <v>416000</v>
      </c>
    </row>
    <row r="24" s="260" customFormat="1" ht="21" spans="1:49">
      <c r="A24" s="1624" t="s">
        <v>261</v>
      </c>
      <c r="B24" s="1624" t="s">
        <v>14678</v>
      </c>
      <c r="C24" s="275" t="s">
        <v>14679</v>
      </c>
      <c r="D24" s="276" t="s">
        <v>14680</v>
      </c>
      <c r="E24" s="285">
        <v>36</v>
      </c>
      <c r="F24" s="286"/>
      <c r="G24" s="287" t="s">
        <v>43</v>
      </c>
      <c r="H24" s="288" t="s">
        <v>404</v>
      </c>
      <c r="I24" s="288" t="s">
        <v>1300</v>
      </c>
      <c r="J24" s="301" t="s">
        <v>14681</v>
      </c>
      <c r="K24" s="305" t="s">
        <v>14682</v>
      </c>
      <c r="L24" s="303"/>
      <c r="M24" s="313">
        <v>42795</v>
      </c>
      <c r="N24" s="313">
        <v>43159</v>
      </c>
      <c r="O24" s="313">
        <v>43202</v>
      </c>
      <c r="P24" s="313">
        <v>43524</v>
      </c>
      <c r="Q24" s="320" t="s">
        <v>604</v>
      </c>
      <c r="R24" s="313"/>
      <c r="S24" s="313"/>
      <c r="T24" s="313"/>
      <c r="U24" s="313"/>
      <c r="V24" s="313"/>
      <c r="W24" s="323">
        <f ca="1" t="shared" ref="W24:W29" si="8">SUM(P24-NOW())</f>
        <v>251.61546296296</v>
      </c>
      <c r="X24" s="324" t="str">
        <f ca="1" t="shared" si="0"/>
        <v>ACTIVE</v>
      </c>
      <c r="Y24" s="333">
        <f>20000000*104%</f>
        <v>20800000</v>
      </c>
      <c r="Z24" s="333">
        <v>13500</v>
      </c>
      <c r="AA24" s="333">
        <v>1300000</v>
      </c>
      <c r="AB24" s="333">
        <v>150000</v>
      </c>
      <c r="AC24" s="333"/>
      <c r="AD24" s="333"/>
      <c r="AE24" s="333"/>
      <c r="AF24" s="333"/>
      <c r="AG24" s="347" t="s">
        <v>112</v>
      </c>
      <c r="AH24" s="347" t="s">
        <v>11917</v>
      </c>
      <c r="AI24" s="348" t="s">
        <v>14683</v>
      </c>
      <c r="AJ24" s="301" t="s">
        <v>14684</v>
      </c>
      <c r="AK24" s="1625" t="s">
        <v>14685</v>
      </c>
      <c r="AL24" s="358" t="s">
        <v>14686</v>
      </c>
      <c r="AM24" s="358" t="s">
        <v>14687</v>
      </c>
      <c r="AN24" s="358" t="s">
        <v>14688</v>
      </c>
      <c r="AO24" s="358" t="s">
        <v>14689</v>
      </c>
      <c r="AP24" s="1625" t="s">
        <v>14690</v>
      </c>
      <c r="AQ24" s="365" t="s">
        <v>14691</v>
      </c>
      <c r="AR24" s="366"/>
      <c r="AS24" s="376" t="s">
        <v>14638</v>
      </c>
      <c r="AT24" s="377">
        <f>VLOOKUP(C24,[4]Sheet1!$B$6:$Y$67,23,0)</f>
        <v>4</v>
      </c>
      <c r="AU24" s="378">
        <f>VLOOKUP(C24,[4]Sheet1!$B$6:$Y$67,24,0)</f>
        <v>20800000</v>
      </c>
      <c r="AV24" s="378">
        <f t="shared" si="2"/>
        <v>21632000</v>
      </c>
      <c r="AW24" s="387">
        <f t="shared" si="7"/>
        <v>832000</v>
      </c>
    </row>
    <row r="25" s="260" customFormat="1" ht="21" spans="1:49">
      <c r="A25" s="1624" t="s">
        <v>272</v>
      </c>
      <c r="B25" s="1624" t="s">
        <v>14692</v>
      </c>
      <c r="C25" s="275" t="s">
        <v>14693</v>
      </c>
      <c r="D25" s="276" t="s">
        <v>14694</v>
      </c>
      <c r="E25" s="285">
        <v>32</v>
      </c>
      <c r="F25" s="286"/>
      <c r="G25" s="287" t="s">
        <v>43</v>
      </c>
      <c r="H25" s="288" t="s">
        <v>404</v>
      </c>
      <c r="I25" s="288" t="s">
        <v>3528</v>
      </c>
      <c r="J25" s="301" t="s">
        <v>14695</v>
      </c>
      <c r="K25" s="305" t="s">
        <v>14503</v>
      </c>
      <c r="L25" s="303"/>
      <c r="M25" s="313">
        <v>42826</v>
      </c>
      <c r="N25" s="313">
        <v>43008</v>
      </c>
      <c r="O25" s="313">
        <v>43202</v>
      </c>
      <c r="P25" s="314">
        <v>43373</v>
      </c>
      <c r="Q25" s="314" t="s">
        <v>604</v>
      </c>
      <c r="R25" s="313"/>
      <c r="S25" s="313"/>
      <c r="T25" s="313"/>
      <c r="U25" s="313"/>
      <c r="V25" s="313"/>
      <c r="W25" s="323">
        <f ca="1" t="shared" si="8"/>
        <v>100.61546296296</v>
      </c>
      <c r="X25" s="324" t="str">
        <f ca="1" t="shared" si="0"/>
        <v>ACTIVE</v>
      </c>
      <c r="Y25" s="332">
        <f>4000000*107.5%</f>
        <v>4300000</v>
      </c>
      <c r="Z25" s="333">
        <v>440000</v>
      </c>
      <c r="AA25" s="333">
        <v>500000</v>
      </c>
      <c r="AB25" s="333">
        <v>130000</v>
      </c>
      <c r="AC25" s="333"/>
      <c r="AD25" s="333"/>
      <c r="AE25" s="333"/>
      <c r="AF25" s="333"/>
      <c r="AG25" s="347" t="s">
        <v>48</v>
      </c>
      <c r="AH25" s="347" t="s">
        <v>11917</v>
      </c>
      <c r="AI25" s="348" t="s">
        <v>14696</v>
      </c>
      <c r="AJ25" s="301" t="s">
        <v>14697</v>
      </c>
      <c r="AK25" s="1625" t="s">
        <v>14698</v>
      </c>
      <c r="AL25" s="358" t="s">
        <v>14699</v>
      </c>
      <c r="AM25" s="358" t="s">
        <v>14700</v>
      </c>
      <c r="AN25" s="358" t="s">
        <v>14701</v>
      </c>
      <c r="AO25" s="358" t="s">
        <v>14702</v>
      </c>
      <c r="AP25" s="1625" t="s">
        <v>14703</v>
      </c>
      <c r="AQ25" s="365" t="s">
        <v>14704</v>
      </c>
      <c r="AR25" s="366"/>
      <c r="AS25" s="376" t="s">
        <v>14512</v>
      </c>
      <c r="AT25" s="377">
        <f>VLOOKUP(C25,[4]Sheet1!$B$6:$Y$67,23,0)</f>
        <v>7.5</v>
      </c>
      <c r="AU25" s="378">
        <f>VLOOKUP(C25,[4]Sheet1!$B$6:$Y$67,24,0)</f>
        <v>4300000</v>
      </c>
      <c r="AV25" s="378">
        <f>Y25*107.5%</f>
        <v>4622500</v>
      </c>
      <c r="AW25" s="387">
        <f t="shared" ref="AW25:AW30" si="9">AV25-AU25</f>
        <v>322500</v>
      </c>
    </row>
    <row r="26" s="260" customFormat="1" ht="31.5" spans="1:49">
      <c r="A26" s="1624" t="s">
        <v>286</v>
      </c>
      <c r="B26" s="1624" t="s">
        <v>14705</v>
      </c>
      <c r="C26" s="275" t="s">
        <v>14706</v>
      </c>
      <c r="D26" s="276" t="s">
        <v>14707</v>
      </c>
      <c r="E26" s="285">
        <v>28</v>
      </c>
      <c r="F26" s="286"/>
      <c r="G26" s="287" t="s">
        <v>125</v>
      </c>
      <c r="H26" s="288" t="s">
        <v>44</v>
      </c>
      <c r="I26" s="288" t="s">
        <v>3528</v>
      </c>
      <c r="J26" s="301" t="s">
        <v>14708</v>
      </c>
      <c r="K26" s="305" t="s">
        <v>14709</v>
      </c>
      <c r="L26" s="303"/>
      <c r="M26" s="313">
        <v>42826</v>
      </c>
      <c r="N26" s="313">
        <v>43008</v>
      </c>
      <c r="O26" s="313">
        <v>43176</v>
      </c>
      <c r="P26" s="314">
        <v>43202</v>
      </c>
      <c r="Q26" s="313">
        <v>43541</v>
      </c>
      <c r="R26" s="314" t="s">
        <v>604</v>
      </c>
      <c r="S26" s="313"/>
      <c r="T26" s="313"/>
      <c r="U26" s="313"/>
      <c r="V26" s="313"/>
      <c r="W26" s="323">
        <f ca="1">SUM(Q26-NOW())</f>
        <v>268.61546296296</v>
      </c>
      <c r="X26" s="324" t="str">
        <f ca="1" t="shared" ref="X26:X39" si="10">IF(W26&lt;=46,"WARNING","ACTIVE")</f>
        <v>ACTIVE</v>
      </c>
      <c r="Y26" s="332">
        <f>6500000*104%</f>
        <v>6760000</v>
      </c>
      <c r="Z26" s="333">
        <v>440000</v>
      </c>
      <c r="AA26" s="333">
        <v>500000</v>
      </c>
      <c r="AB26" s="333">
        <v>131250</v>
      </c>
      <c r="AC26" s="333"/>
      <c r="AD26" s="333"/>
      <c r="AE26" s="333"/>
      <c r="AF26" s="333"/>
      <c r="AG26" s="347" t="s">
        <v>48</v>
      </c>
      <c r="AH26" s="347" t="s">
        <v>14428</v>
      </c>
      <c r="AI26" s="348" t="s">
        <v>14710</v>
      </c>
      <c r="AJ26" s="301" t="s">
        <v>14711</v>
      </c>
      <c r="AK26" s="358">
        <v>81319060889</v>
      </c>
      <c r="AL26" s="358" t="s">
        <v>14712</v>
      </c>
      <c r="AM26" s="358" t="s">
        <v>14713</v>
      </c>
      <c r="AN26" s="358" t="s">
        <v>14714</v>
      </c>
      <c r="AO26" s="358" t="s">
        <v>14715</v>
      </c>
      <c r="AP26" s="1625" t="s">
        <v>14716</v>
      </c>
      <c r="AQ26" s="365" t="s">
        <v>14717</v>
      </c>
      <c r="AR26" s="366"/>
      <c r="AS26" s="376" t="s">
        <v>14718</v>
      </c>
      <c r="AT26" s="377">
        <f>VLOOKUP(C26,[4]Sheet1!$B$6:$Y$67,23,0)</f>
        <v>4</v>
      </c>
      <c r="AU26" s="378">
        <f>VLOOKUP(C26,[4]Sheet1!$B$6:$Y$67,24,0)</f>
        <v>6760000</v>
      </c>
      <c r="AV26" s="378">
        <f t="shared" si="2"/>
        <v>7030400</v>
      </c>
      <c r="AW26" s="387">
        <f t="shared" si="9"/>
        <v>270400</v>
      </c>
    </row>
    <row r="27" s="260" customFormat="1" ht="21" spans="1:49">
      <c r="A27" s="1624" t="s">
        <v>296</v>
      </c>
      <c r="B27" s="1624" t="s">
        <v>14719</v>
      </c>
      <c r="C27" s="275" t="s">
        <v>14720</v>
      </c>
      <c r="D27" s="276" t="s">
        <v>14721</v>
      </c>
      <c r="E27" s="285">
        <v>29</v>
      </c>
      <c r="F27" s="286"/>
      <c r="G27" s="287" t="s">
        <v>43</v>
      </c>
      <c r="H27" s="288" t="s">
        <v>44</v>
      </c>
      <c r="I27" s="288" t="s">
        <v>3528</v>
      </c>
      <c r="J27" s="301" t="s">
        <v>14695</v>
      </c>
      <c r="K27" s="305" t="s">
        <v>14503</v>
      </c>
      <c r="L27" s="303"/>
      <c r="M27" s="313">
        <v>42826</v>
      </c>
      <c r="N27" s="313">
        <v>43008</v>
      </c>
      <c r="O27" s="313">
        <v>43202</v>
      </c>
      <c r="P27" s="314">
        <v>43373</v>
      </c>
      <c r="Q27" s="314" t="s">
        <v>604</v>
      </c>
      <c r="R27" s="313"/>
      <c r="S27" s="313"/>
      <c r="T27" s="313"/>
      <c r="U27" s="313"/>
      <c r="V27" s="313"/>
      <c r="W27" s="323">
        <f ca="1" t="shared" si="8"/>
        <v>100.61546296296</v>
      </c>
      <c r="X27" s="324" t="str">
        <f ca="1" t="shared" si="10"/>
        <v>ACTIVE</v>
      </c>
      <c r="Y27" s="332">
        <f>3990000*107%</f>
        <v>4269300</v>
      </c>
      <c r="Z27" s="333">
        <v>440000</v>
      </c>
      <c r="AA27" s="333">
        <v>500000</v>
      </c>
      <c r="AB27" s="333">
        <v>130000</v>
      </c>
      <c r="AC27" s="333"/>
      <c r="AD27" s="333"/>
      <c r="AE27" s="333"/>
      <c r="AF27" s="333"/>
      <c r="AG27" s="347" t="s">
        <v>48</v>
      </c>
      <c r="AH27" s="347" t="s">
        <v>11917</v>
      </c>
      <c r="AI27" s="348" t="s">
        <v>14722</v>
      </c>
      <c r="AJ27" s="301" t="s">
        <v>14723</v>
      </c>
      <c r="AK27" s="1625" t="s">
        <v>14724</v>
      </c>
      <c r="AL27" s="358" t="s">
        <v>14725</v>
      </c>
      <c r="AM27" s="358" t="s">
        <v>14726</v>
      </c>
      <c r="AN27" s="358" t="s">
        <v>14727</v>
      </c>
      <c r="AO27" s="358" t="s">
        <v>14728</v>
      </c>
      <c r="AP27" s="358"/>
      <c r="AQ27" s="367" t="s">
        <v>14729</v>
      </c>
      <c r="AR27" s="366"/>
      <c r="AS27" s="376" t="s">
        <v>14512</v>
      </c>
      <c r="AT27" s="377">
        <f>VLOOKUP(C27,[4]Sheet1!$B$6:$Y$67,23,0)</f>
        <v>7</v>
      </c>
      <c r="AU27" s="378">
        <f>VLOOKUP(C27,[4]Sheet1!$B$6:$Y$67,24,0)</f>
        <v>4269300</v>
      </c>
      <c r="AV27" s="378">
        <f>Y27*107%</f>
        <v>4568151</v>
      </c>
      <c r="AW27" s="387">
        <f t="shared" si="9"/>
        <v>298851</v>
      </c>
    </row>
    <row r="28" s="261" customFormat="1" ht="21" spans="1:49">
      <c r="A28" s="1624" t="s">
        <v>308</v>
      </c>
      <c r="B28" s="1626" t="s">
        <v>14730</v>
      </c>
      <c r="C28" s="278" t="s">
        <v>14731</v>
      </c>
      <c r="D28" s="279" t="s">
        <v>14732</v>
      </c>
      <c r="E28" s="290">
        <v>31</v>
      </c>
      <c r="F28" s="291"/>
      <c r="G28" s="292" t="s">
        <v>43</v>
      </c>
      <c r="H28" s="293" t="s">
        <v>44</v>
      </c>
      <c r="I28" s="293" t="s">
        <v>3528</v>
      </c>
      <c r="J28" s="306" t="s">
        <v>14695</v>
      </c>
      <c r="K28" s="305" t="s">
        <v>14503</v>
      </c>
      <c r="L28" s="303"/>
      <c r="M28" s="315">
        <v>42826</v>
      </c>
      <c r="N28" s="315">
        <v>43008</v>
      </c>
      <c r="O28" s="315">
        <v>43202</v>
      </c>
      <c r="P28" s="316">
        <v>43373</v>
      </c>
      <c r="Q28" s="314" t="s">
        <v>604</v>
      </c>
      <c r="R28" s="313"/>
      <c r="S28" s="315"/>
      <c r="T28" s="315"/>
      <c r="U28" s="315"/>
      <c r="V28" s="315"/>
      <c r="W28" s="325">
        <f ca="1" t="shared" si="8"/>
        <v>100.61546296296</v>
      </c>
      <c r="X28" s="326" t="str">
        <f ca="1" t="shared" si="10"/>
        <v>ACTIVE</v>
      </c>
      <c r="Y28" s="334">
        <f>5250000*104%</f>
        <v>5460000</v>
      </c>
      <c r="Z28" s="335">
        <v>440000</v>
      </c>
      <c r="AA28" s="335">
        <v>500000</v>
      </c>
      <c r="AB28" s="335">
        <v>130000</v>
      </c>
      <c r="AC28" s="335"/>
      <c r="AD28" s="335"/>
      <c r="AE28" s="335"/>
      <c r="AF28" s="335"/>
      <c r="AG28" s="349" t="s">
        <v>48</v>
      </c>
      <c r="AH28" s="349" t="s">
        <v>11917</v>
      </c>
      <c r="AI28" s="350" t="s">
        <v>14733</v>
      </c>
      <c r="AJ28" s="306" t="s">
        <v>14734</v>
      </c>
      <c r="AK28" s="359">
        <v>87888215120</v>
      </c>
      <c r="AL28" s="359" t="s">
        <v>14735</v>
      </c>
      <c r="AM28" s="359" t="s">
        <v>14736</v>
      </c>
      <c r="AN28" s="359" t="s">
        <v>14737</v>
      </c>
      <c r="AO28" s="359"/>
      <c r="AP28" s="359"/>
      <c r="AQ28" s="368" t="s">
        <v>14738</v>
      </c>
      <c r="AR28" s="369" t="s">
        <v>14739</v>
      </c>
      <c r="AS28" s="380" t="s">
        <v>14512</v>
      </c>
      <c r="AT28" s="377">
        <f>VLOOKUP(C28,[4]Sheet1!$B$6:$Y$67,23,0)</f>
        <v>4</v>
      </c>
      <c r="AU28" s="378">
        <f>VLOOKUP(C28,[4]Sheet1!$B$6:$Y$67,24,0)</f>
        <v>5460000</v>
      </c>
      <c r="AV28" s="378">
        <f t="shared" si="2"/>
        <v>5678400</v>
      </c>
      <c r="AW28" s="387">
        <f t="shared" si="9"/>
        <v>218400</v>
      </c>
    </row>
    <row r="29" s="260" customFormat="1" ht="21" spans="1:49">
      <c r="A29" s="1624" t="s">
        <v>320</v>
      </c>
      <c r="B29" s="1624" t="s">
        <v>14740</v>
      </c>
      <c r="C29" s="275" t="s">
        <v>14741</v>
      </c>
      <c r="D29" s="276" t="s">
        <v>14742</v>
      </c>
      <c r="E29" s="285">
        <v>26</v>
      </c>
      <c r="F29" s="286"/>
      <c r="G29" s="287" t="s">
        <v>125</v>
      </c>
      <c r="H29" s="288" t="s">
        <v>44</v>
      </c>
      <c r="I29" s="288" t="s">
        <v>3528</v>
      </c>
      <c r="J29" s="301" t="s">
        <v>14695</v>
      </c>
      <c r="K29" s="305" t="s">
        <v>14503</v>
      </c>
      <c r="L29" s="303"/>
      <c r="M29" s="313">
        <v>42826</v>
      </c>
      <c r="N29" s="313">
        <v>43008</v>
      </c>
      <c r="O29" s="313">
        <v>43202</v>
      </c>
      <c r="P29" s="314">
        <v>43373</v>
      </c>
      <c r="Q29" s="314" t="s">
        <v>604</v>
      </c>
      <c r="R29" s="313"/>
      <c r="S29" s="313"/>
      <c r="T29" s="313"/>
      <c r="U29" s="313"/>
      <c r="V29" s="313"/>
      <c r="W29" s="323">
        <f ca="1" t="shared" si="8"/>
        <v>100.61546296296</v>
      </c>
      <c r="X29" s="324" t="str">
        <f ca="1" t="shared" si="10"/>
        <v>ACTIVE</v>
      </c>
      <c r="Y29" s="332">
        <f>4500000*104%</f>
        <v>4680000</v>
      </c>
      <c r="Z29" s="333">
        <v>440000</v>
      </c>
      <c r="AA29" s="333">
        <v>500000</v>
      </c>
      <c r="AB29" s="333">
        <v>130000</v>
      </c>
      <c r="AC29" s="333"/>
      <c r="AD29" s="333"/>
      <c r="AE29" s="333"/>
      <c r="AF29" s="333"/>
      <c r="AG29" s="347" t="s">
        <v>48</v>
      </c>
      <c r="AH29" s="347" t="s">
        <v>14428</v>
      </c>
      <c r="AI29" s="348" t="s">
        <v>14743</v>
      </c>
      <c r="AJ29" s="301" t="s">
        <v>14744</v>
      </c>
      <c r="AK29" s="1625" t="s">
        <v>14745</v>
      </c>
      <c r="AL29" s="358" t="s">
        <v>14746</v>
      </c>
      <c r="AM29" s="358" t="s">
        <v>14747</v>
      </c>
      <c r="AN29" s="358" t="s">
        <v>14748</v>
      </c>
      <c r="AO29" s="358" t="s">
        <v>14749</v>
      </c>
      <c r="AP29" s="1625" t="s">
        <v>14750</v>
      </c>
      <c r="AQ29" s="365" t="s">
        <v>14751</v>
      </c>
      <c r="AR29" s="366"/>
      <c r="AS29" s="376" t="s">
        <v>14512</v>
      </c>
      <c r="AT29" s="377">
        <f>VLOOKUP(C29,[4]Sheet1!$B$6:$Y$67,23,0)</f>
        <v>4</v>
      </c>
      <c r="AU29" s="378">
        <f>VLOOKUP(C29,[4]Sheet1!$B$6:$Y$67,24,0)</f>
        <v>4680000</v>
      </c>
      <c r="AV29" s="378">
        <f t="shared" si="2"/>
        <v>4867200</v>
      </c>
      <c r="AW29" s="387">
        <f t="shared" si="9"/>
        <v>187200</v>
      </c>
    </row>
    <row r="30" s="260" customFormat="1" ht="21" spans="1:50">
      <c r="A30" s="1624" t="s">
        <v>333</v>
      </c>
      <c r="B30" s="1624" t="s">
        <v>14752</v>
      </c>
      <c r="C30" s="275" t="s">
        <v>14753</v>
      </c>
      <c r="D30" s="276" t="s">
        <v>14754</v>
      </c>
      <c r="E30" s="285">
        <v>23</v>
      </c>
      <c r="F30" s="286"/>
      <c r="G30" s="287" t="s">
        <v>125</v>
      </c>
      <c r="H30" s="288" t="s">
        <v>44</v>
      </c>
      <c r="I30" s="288" t="s">
        <v>3528</v>
      </c>
      <c r="J30" s="301" t="s">
        <v>14755</v>
      </c>
      <c r="K30" s="305" t="s">
        <v>14756</v>
      </c>
      <c r="L30" s="303"/>
      <c r="M30" s="313">
        <v>42850</v>
      </c>
      <c r="N30" s="313">
        <v>43032</v>
      </c>
      <c r="O30" s="313">
        <v>43202</v>
      </c>
      <c r="P30" s="313">
        <v>43397</v>
      </c>
      <c r="Q30" s="314" t="s">
        <v>604</v>
      </c>
      <c r="R30" s="313"/>
      <c r="S30" s="313"/>
      <c r="T30" s="313"/>
      <c r="U30" s="313"/>
      <c r="V30" s="313"/>
      <c r="W30" s="323">
        <f ca="1" t="shared" ref="W30:W36" si="11">SUM(P30-NOW())</f>
        <v>124.61546296296</v>
      </c>
      <c r="X30" s="324" t="str">
        <f ca="1" t="shared" si="10"/>
        <v>ACTIVE</v>
      </c>
      <c r="Y30" s="332">
        <f>8000000*104%</f>
        <v>8320000</v>
      </c>
      <c r="Z30" s="333">
        <v>20000</v>
      </c>
      <c r="AA30" s="333">
        <v>1300000</v>
      </c>
      <c r="AB30" s="333">
        <v>150000</v>
      </c>
      <c r="AC30" s="333"/>
      <c r="AD30" s="343"/>
      <c r="AE30" s="333"/>
      <c r="AF30" s="333"/>
      <c r="AG30" s="347" t="s">
        <v>4670</v>
      </c>
      <c r="AH30" s="347" t="s">
        <v>14428</v>
      </c>
      <c r="AI30" s="348" t="s">
        <v>14605</v>
      </c>
      <c r="AJ30" s="301" t="s">
        <v>14757</v>
      </c>
      <c r="AK30" s="1625" t="s">
        <v>14758</v>
      </c>
      <c r="AL30" s="358" t="s">
        <v>14759</v>
      </c>
      <c r="AM30" s="358" t="s">
        <v>14760</v>
      </c>
      <c r="AN30" s="358" t="s">
        <v>14761</v>
      </c>
      <c r="AO30" s="358" t="s">
        <v>14762</v>
      </c>
      <c r="AP30" s="1625" t="s">
        <v>14763</v>
      </c>
      <c r="AQ30" s="365" t="s">
        <v>14764</v>
      </c>
      <c r="AR30" s="366"/>
      <c r="AS30" s="376" t="s">
        <v>14765</v>
      </c>
      <c r="AT30" s="377">
        <f>VLOOKUP(C30,[4]Sheet1!$B$6:$Y$67,23,0)</f>
        <v>4</v>
      </c>
      <c r="AU30" s="378">
        <f>VLOOKUP(C30,[4]Sheet1!$B$6:$Y$67,24,0)</f>
        <v>8320000</v>
      </c>
      <c r="AV30" s="378">
        <f t="shared" si="2"/>
        <v>8652800</v>
      </c>
      <c r="AW30" s="387">
        <f t="shared" si="9"/>
        <v>332800</v>
      </c>
      <c r="AX30" s="263"/>
    </row>
    <row r="31" s="260" customFormat="1" ht="42" spans="1:48">
      <c r="A31" s="1624" t="s">
        <v>346</v>
      </c>
      <c r="B31" s="1624" t="s">
        <v>14766</v>
      </c>
      <c r="C31" s="275" t="s">
        <v>14767</v>
      </c>
      <c r="D31" s="276" t="s">
        <v>14768</v>
      </c>
      <c r="E31" s="285">
        <v>26</v>
      </c>
      <c r="F31" s="286"/>
      <c r="G31" s="287" t="s">
        <v>43</v>
      </c>
      <c r="H31" s="288" t="s">
        <v>60</v>
      </c>
      <c r="I31" s="288" t="s">
        <v>3528</v>
      </c>
      <c r="J31" s="301" t="s">
        <v>14560</v>
      </c>
      <c r="K31" s="305" t="s">
        <v>14769</v>
      </c>
      <c r="L31" s="303"/>
      <c r="M31" s="313">
        <v>42850</v>
      </c>
      <c r="N31" s="313">
        <v>43032</v>
      </c>
      <c r="O31" s="313">
        <v>43202</v>
      </c>
      <c r="P31" s="313">
        <v>43397</v>
      </c>
      <c r="Q31" s="314" t="s">
        <v>604</v>
      </c>
      <c r="R31" s="313"/>
      <c r="S31" s="313"/>
      <c r="T31" s="313"/>
      <c r="U31" s="313"/>
      <c r="V31" s="313"/>
      <c r="W31" s="323">
        <f ca="1" t="shared" si="11"/>
        <v>124.61546296296</v>
      </c>
      <c r="X31" s="324" t="str">
        <f ca="1" t="shared" si="10"/>
        <v>ACTIVE</v>
      </c>
      <c r="Y31" s="332">
        <f>3200000*103.5%</f>
        <v>3312000</v>
      </c>
      <c r="Z31" s="333">
        <v>20000</v>
      </c>
      <c r="AA31" s="333">
        <v>500000</v>
      </c>
      <c r="AB31" s="333">
        <v>131250</v>
      </c>
      <c r="AC31" s="333"/>
      <c r="AD31" s="335" t="s">
        <v>583</v>
      </c>
      <c r="AE31" s="333"/>
      <c r="AF31" s="333"/>
      <c r="AG31" s="347" t="s">
        <v>4670</v>
      </c>
      <c r="AH31" s="347" t="s">
        <v>11917</v>
      </c>
      <c r="AI31" s="348" t="s">
        <v>14770</v>
      </c>
      <c r="AJ31" s="301" t="s">
        <v>14771</v>
      </c>
      <c r="AK31" s="358"/>
      <c r="AL31" s="358" t="s">
        <v>14772</v>
      </c>
      <c r="AM31" s="358" t="s">
        <v>14773</v>
      </c>
      <c r="AN31" s="358" t="s">
        <v>14774</v>
      </c>
      <c r="AO31" s="358"/>
      <c r="AP31" s="358"/>
      <c r="AQ31" s="365" t="s">
        <v>14775</v>
      </c>
      <c r="AR31" s="366"/>
      <c r="AS31" s="376" t="s">
        <v>14569</v>
      </c>
      <c r="AT31" s="377" t="e">
        <f>VLOOKUP(C31,[4]Sheet1!$B$6:$Y$67,23,0)</f>
        <v>#N/A</v>
      </c>
      <c r="AU31" s="378" t="e">
        <f>VLOOKUP(C31,[4]Sheet1!$B$6:$Y$67,24,0)</f>
        <v>#N/A</v>
      </c>
      <c r="AV31" s="378"/>
    </row>
    <row r="32" s="260" customFormat="1" ht="21" spans="1:49">
      <c r="A32" s="1624" t="s">
        <v>357</v>
      </c>
      <c r="B32" s="1624" t="s">
        <v>14776</v>
      </c>
      <c r="C32" s="275" t="s">
        <v>14777</v>
      </c>
      <c r="D32" s="276" t="s">
        <v>14778</v>
      </c>
      <c r="E32" s="285">
        <v>23</v>
      </c>
      <c r="F32" s="286"/>
      <c r="G32" s="287" t="s">
        <v>43</v>
      </c>
      <c r="H32" s="288" t="s">
        <v>44</v>
      </c>
      <c r="I32" s="288" t="s">
        <v>3528</v>
      </c>
      <c r="J32" s="301" t="s">
        <v>14779</v>
      </c>
      <c r="K32" s="305" t="s">
        <v>14612</v>
      </c>
      <c r="L32" s="303"/>
      <c r="M32" s="313">
        <v>42867</v>
      </c>
      <c r="N32" s="313">
        <v>43050</v>
      </c>
      <c r="O32" s="313">
        <v>43202</v>
      </c>
      <c r="P32" s="313">
        <v>43231</v>
      </c>
      <c r="Q32" s="314" t="s">
        <v>604</v>
      </c>
      <c r="R32" s="314">
        <v>43434</v>
      </c>
      <c r="S32" s="313"/>
      <c r="T32" s="313"/>
      <c r="U32" s="313"/>
      <c r="V32" s="313"/>
      <c r="W32" s="323">
        <f ca="1">SUM(R32-NOW())</f>
        <v>161.61546296296</v>
      </c>
      <c r="X32" s="324" t="str">
        <f ca="1" t="shared" si="10"/>
        <v>ACTIVE</v>
      </c>
      <c r="Y32" s="336">
        <f>4000000*102.5%</f>
        <v>4100000</v>
      </c>
      <c r="Z32" s="333">
        <v>20000</v>
      </c>
      <c r="AA32" s="333">
        <v>500000</v>
      </c>
      <c r="AB32" s="333">
        <v>131250</v>
      </c>
      <c r="AC32" s="333"/>
      <c r="AD32" s="333" t="s">
        <v>583</v>
      </c>
      <c r="AE32" s="333"/>
      <c r="AF32" s="333"/>
      <c r="AG32" s="347" t="s">
        <v>4670</v>
      </c>
      <c r="AH32" s="347" t="s">
        <v>11917</v>
      </c>
      <c r="AI32" s="348" t="s">
        <v>14780</v>
      </c>
      <c r="AJ32" s="301" t="s">
        <v>14781</v>
      </c>
      <c r="AK32" s="1625" t="s">
        <v>14782</v>
      </c>
      <c r="AL32" s="358" t="s">
        <v>14783</v>
      </c>
      <c r="AM32" s="358" t="s">
        <v>14784</v>
      </c>
      <c r="AN32" s="358" t="s">
        <v>14785</v>
      </c>
      <c r="AO32" s="358"/>
      <c r="AP32" s="1625" t="s">
        <v>14786</v>
      </c>
      <c r="AQ32" s="365" t="s">
        <v>14787</v>
      </c>
      <c r="AR32" s="366"/>
      <c r="AS32" s="376" t="s">
        <v>14612</v>
      </c>
      <c r="AT32" s="377">
        <f>VLOOKUP(C32,[4]Sheet1!$B$6:$Y$67,23,0)</f>
        <v>2.5</v>
      </c>
      <c r="AU32" s="378">
        <f>VLOOKUP(C32,[4]Sheet1!$B$6:$Y$67,24,0)</f>
        <v>4100000</v>
      </c>
      <c r="AV32" s="378">
        <f>Y32*102.5%</f>
        <v>4202500</v>
      </c>
      <c r="AW32" s="387">
        <f t="shared" ref="AW32:AW36" si="12">AV32-AU32</f>
        <v>102499.999999999</v>
      </c>
    </row>
    <row r="33" s="262" customFormat="1" ht="31.5" spans="1:49">
      <c r="A33" s="1624" t="s">
        <v>369</v>
      </c>
      <c r="B33" s="1624" t="s">
        <v>14788</v>
      </c>
      <c r="C33" s="275" t="s">
        <v>14789</v>
      </c>
      <c r="D33" s="276" t="s">
        <v>14790</v>
      </c>
      <c r="E33" s="285">
        <v>27</v>
      </c>
      <c r="F33" s="286"/>
      <c r="G33" s="287" t="s">
        <v>43</v>
      </c>
      <c r="H33" s="288" t="s">
        <v>44</v>
      </c>
      <c r="I33" s="288" t="s">
        <v>3528</v>
      </c>
      <c r="J33" s="301" t="s">
        <v>14791</v>
      </c>
      <c r="K33" s="305" t="s">
        <v>14792</v>
      </c>
      <c r="L33" s="303"/>
      <c r="M33" s="313">
        <v>42863</v>
      </c>
      <c r="N33" s="313">
        <v>43046</v>
      </c>
      <c r="O33" s="313">
        <v>43202</v>
      </c>
      <c r="P33" s="313">
        <v>43227</v>
      </c>
      <c r="Q33" s="314" t="s">
        <v>604</v>
      </c>
      <c r="R33" s="320">
        <v>43319</v>
      </c>
      <c r="S33" s="313"/>
      <c r="T33" s="313"/>
      <c r="U33" s="313"/>
      <c r="V33" s="313"/>
      <c r="W33" s="323">
        <f ca="1">SUM(R33-NOW())</f>
        <v>46.61546296296</v>
      </c>
      <c r="X33" s="324" t="str">
        <f ca="1" t="shared" si="10"/>
        <v>ACTIVE</v>
      </c>
      <c r="Y33" s="332">
        <f>12000000*102%</f>
        <v>12240000</v>
      </c>
      <c r="Z33" s="333">
        <v>20000</v>
      </c>
      <c r="AA33" s="333">
        <v>1300000</v>
      </c>
      <c r="AB33" s="333">
        <v>150000</v>
      </c>
      <c r="AC33" s="333"/>
      <c r="AD33" s="333" t="s">
        <v>583</v>
      </c>
      <c r="AE33" s="333"/>
      <c r="AF33" s="333"/>
      <c r="AG33" s="347" t="s">
        <v>4670</v>
      </c>
      <c r="AH33" s="347" t="s">
        <v>14458</v>
      </c>
      <c r="AI33" s="348" t="s">
        <v>14793</v>
      </c>
      <c r="AJ33" s="301" t="s">
        <v>14794</v>
      </c>
      <c r="AK33" s="1625" t="s">
        <v>14795</v>
      </c>
      <c r="AL33" s="358" t="s">
        <v>14796</v>
      </c>
      <c r="AM33" s="358" t="s">
        <v>14797</v>
      </c>
      <c r="AN33" s="358" t="s">
        <v>14798</v>
      </c>
      <c r="AO33" s="358" t="s">
        <v>14799</v>
      </c>
      <c r="AP33" s="1625" t="s">
        <v>14800</v>
      </c>
      <c r="AQ33" s="370" t="s">
        <v>14801</v>
      </c>
      <c r="AR33" s="371" t="s">
        <v>14802</v>
      </c>
      <c r="AS33" s="376" t="s">
        <v>14803</v>
      </c>
      <c r="AT33" s="381">
        <f>VLOOKUP(C33,[4]Sheet1!$B$6:$Y$67,23,0)</f>
        <v>2</v>
      </c>
      <c r="AU33" s="382">
        <f>VLOOKUP(C33,[4]Sheet1!$B$6:$Y$67,24,0)</f>
        <v>12240000</v>
      </c>
      <c r="AV33" s="382">
        <f>Y33*102%</f>
        <v>12484800</v>
      </c>
      <c r="AW33" s="389">
        <f t="shared" si="12"/>
        <v>244800</v>
      </c>
    </row>
    <row r="34" s="260" customFormat="1" ht="21" spans="1:49">
      <c r="A34" s="1624" t="s">
        <v>381</v>
      </c>
      <c r="B34" s="1624" t="s">
        <v>14804</v>
      </c>
      <c r="C34" s="275" t="s">
        <v>14805</v>
      </c>
      <c r="D34" s="276" t="s">
        <v>14806</v>
      </c>
      <c r="E34" s="285">
        <v>31</v>
      </c>
      <c r="F34" s="286"/>
      <c r="G34" s="287" t="s">
        <v>43</v>
      </c>
      <c r="H34" s="288" t="s">
        <v>60</v>
      </c>
      <c r="I34" s="288" t="s">
        <v>3528</v>
      </c>
      <c r="J34" s="301" t="s">
        <v>14807</v>
      </c>
      <c r="K34" s="301" t="s">
        <v>14808</v>
      </c>
      <c r="L34" s="303"/>
      <c r="M34" s="313">
        <v>42919</v>
      </c>
      <c r="N34" s="313">
        <v>43102</v>
      </c>
      <c r="O34" s="313">
        <v>43202</v>
      </c>
      <c r="P34" s="313">
        <v>43467</v>
      </c>
      <c r="Q34" s="320" t="s">
        <v>604</v>
      </c>
      <c r="R34" s="313"/>
      <c r="S34" s="313"/>
      <c r="T34" s="313"/>
      <c r="U34" s="313"/>
      <c r="V34" s="313"/>
      <c r="W34" s="323">
        <f ca="1" t="shared" si="11"/>
        <v>194.61546296296</v>
      </c>
      <c r="X34" s="324" t="str">
        <f ca="1" t="shared" si="10"/>
        <v>ACTIVE</v>
      </c>
      <c r="Y34" s="333">
        <f>10000000*104%</f>
        <v>10400000</v>
      </c>
      <c r="Z34" s="333">
        <v>20000</v>
      </c>
      <c r="AA34" s="333">
        <v>750000</v>
      </c>
      <c r="AB34" s="333">
        <v>150000</v>
      </c>
      <c r="AC34" s="333"/>
      <c r="AD34" s="333" t="s">
        <v>583</v>
      </c>
      <c r="AE34" s="333"/>
      <c r="AF34" s="333"/>
      <c r="AG34" s="347" t="s">
        <v>4670</v>
      </c>
      <c r="AH34" s="347" t="s">
        <v>11917</v>
      </c>
      <c r="AI34" s="348" t="s">
        <v>14669</v>
      </c>
      <c r="AJ34" s="301" t="s">
        <v>14809</v>
      </c>
      <c r="AK34" s="358">
        <v>85757845856</v>
      </c>
      <c r="AL34" s="358" t="s">
        <v>14810</v>
      </c>
      <c r="AM34" s="358" t="s">
        <v>14811</v>
      </c>
      <c r="AN34" s="358" t="s">
        <v>14812</v>
      </c>
      <c r="AO34" s="358" t="s">
        <v>14813</v>
      </c>
      <c r="AP34" s="358"/>
      <c r="AQ34" s="365" t="s">
        <v>14814</v>
      </c>
      <c r="AR34" s="366"/>
      <c r="AS34" s="383" t="s">
        <v>14482</v>
      </c>
      <c r="AT34" s="377">
        <f>VLOOKUP(C34,[4]Sheet1!$B$6:$Y$67,23,0)</f>
        <v>4</v>
      </c>
      <c r="AU34" s="378">
        <f>VLOOKUP(C34,[4]Sheet1!$B$6:$Y$67,24,0)</f>
        <v>10400000</v>
      </c>
      <c r="AV34" s="378">
        <f t="shared" si="2"/>
        <v>10816000</v>
      </c>
      <c r="AW34" s="387">
        <f t="shared" si="12"/>
        <v>416000</v>
      </c>
    </row>
    <row r="35" s="260" customFormat="1" ht="27" spans="1:49">
      <c r="A35" s="1624" t="s">
        <v>390</v>
      </c>
      <c r="B35" s="1624" t="s">
        <v>14815</v>
      </c>
      <c r="C35" s="275" t="s">
        <v>14816</v>
      </c>
      <c r="D35" s="276" t="s">
        <v>14817</v>
      </c>
      <c r="E35" s="285">
        <v>26</v>
      </c>
      <c r="F35" s="286"/>
      <c r="G35" s="287" t="s">
        <v>125</v>
      </c>
      <c r="H35" s="288" t="s">
        <v>404</v>
      </c>
      <c r="I35" s="288" t="s">
        <v>3528</v>
      </c>
      <c r="J35" s="301" t="s">
        <v>14818</v>
      </c>
      <c r="K35" s="305" t="s">
        <v>14819</v>
      </c>
      <c r="L35" s="303"/>
      <c r="M35" s="313">
        <v>42866</v>
      </c>
      <c r="N35" s="313">
        <v>43049</v>
      </c>
      <c r="O35" s="313">
        <v>43202</v>
      </c>
      <c r="P35" s="313">
        <v>43414</v>
      </c>
      <c r="Q35" s="320" t="s">
        <v>604</v>
      </c>
      <c r="R35" s="313"/>
      <c r="S35" s="313"/>
      <c r="T35" s="313"/>
      <c r="U35" s="313"/>
      <c r="V35" s="313"/>
      <c r="W35" s="323">
        <f ca="1" t="shared" si="11"/>
        <v>141.61546296296</v>
      </c>
      <c r="X35" s="324" t="str">
        <f ca="1" t="shared" si="10"/>
        <v>ACTIVE</v>
      </c>
      <c r="Y35" s="333">
        <f>4250000*104%</f>
        <v>4420000</v>
      </c>
      <c r="Z35" s="333">
        <v>420000</v>
      </c>
      <c r="AA35" s="333">
        <v>500000</v>
      </c>
      <c r="AB35" s="333">
        <v>131250</v>
      </c>
      <c r="AC35" s="333" t="s">
        <v>583</v>
      </c>
      <c r="AD35" s="333" t="s">
        <v>583</v>
      </c>
      <c r="AE35" s="333"/>
      <c r="AF35" s="333"/>
      <c r="AG35" s="347" t="s">
        <v>48</v>
      </c>
      <c r="AH35" s="347" t="s">
        <v>14428</v>
      </c>
      <c r="AI35" s="348" t="s">
        <v>14820</v>
      </c>
      <c r="AJ35" s="301" t="s">
        <v>14821</v>
      </c>
      <c r="AK35" s="358">
        <v>8567761053</v>
      </c>
      <c r="AL35" s="358" t="s">
        <v>14822</v>
      </c>
      <c r="AM35" s="358" t="s">
        <v>14823</v>
      </c>
      <c r="AN35" s="358" t="s">
        <v>14824</v>
      </c>
      <c r="AO35" s="358" t="s">
        <v>14825</v>
      </c>
      <c r="AP35" s="1625" t="s">
        <v>14826</v>
      </c>
      <c r="AQ35" s="367" t="s">
        <v>14827</v>
      </c>
      <c r="AR35" s="366"/>
      <c r="AS35" s="376" t="s">
        <v>14828</v>
      </c>
      <c r="AT35" s="377">
        <f>VLOOKUP(C35,[4]Sheet1!$B$6:$Y$67,23,0)</f>
        <v>4</v>
      </c>
      <c r="AU35" s="378">
        <f>VLOOKUP(C35,[4]Sheet1!$B$6:$Y$67,24,0)</f>
        <v>4420000</v>
      </c>
      <c r="AV35" s="378">
        <f t="shared" si="2"/>
        <v>4596800</v>
      </c>
      <c r="AW35" s="387">
        <f t="shared" si="12"/>
        <v>176800</v>
      </c>
    </row>
    <row r="36" s="260" customFormat="1" ht="31.5" spans="1:49">
      <c r="A36" s="1624" t="s">
        <v>400</v>
      </c>
      <c r="B36" s="1624" t="s">
        <v>14829</v>
      </c>
      <c r="C36" s="275" t="s">
        <v>14830</v>
      </c>
      <c r="D36" s="276" t="s">
        <v>14831</v>
      </c>
      <c r="E36" s="285">
        <v>28</v>
      </c>
      <c r="F36" s="286"/>
      <c r="G36" s="287" t="s">
        <v>125</v>
      </c>
      <c r="H36" s="289" t="s">
        <v>404</v>
      </c>
      <c r="I36" s="288" t="s">
        <v>3528</v>
      </c>
      <c r="J36" s="301" t="s">
        <v>14832</v>
      </c>
      <c r="K36" s="305" t="s">
        <v>14833</v>
      </c>
      <c r="L36" s="303">
        <v>41001</v>
      </c>
      <c r="M36" s="313">
        <v>42918</v>
      </c>
      <c r="N36" s="313">
        <v>43100</v>
      </c>
      <c r="O36" s="314">
        <v>43202</v>
      </c>
      <c r="P36" s="313">
        <v>43465</v>
      </c>
      <c r="Q36" s="314" t="s">
        <v>604</v>
      </c>
      <c r="R36" s="313"/>
      <c r="S36" s="313"/>
      <c r="T36" s="313"/>
      <c r="U36" s="313"/>
      <c r="V36" s="313"/>
      <c r="W36" s="323">
        <f ca="1" t="shared" si="11"/>
        <v>192.61546296296</v>
      </c>
      <c r="X36" s="324" t="str">
        <f ca="1" t="shared" si="10"/>
        <v>ACTIVE</v>
      </c>
      <c r="Y36" s="332">
        <f>3000000*105%</f>
        <v>3150000</v>
      </c>
      <c r="Z36" s="333">
        <v>20000</v>
      </c>
      <c r="AA36" s="333">
        <v>500000</v>
      </c>
      <c r="AB36" s="333">
        <v>150000</v>
      </c>
      <c r="AC36" s="333"/>
      <c r="AD36" s="333" t="s">
        <v>583</v>
      </c>
      <c r="AE36" s="333"/>
      <c r="AF36" s="333"/>
      <c r="AG36" s="347" t="s">
        <v>48</v>
      </c>
      <c r="AH36" s="347" t="s">
        <v>14428</v>
      </c>
      <c r="AI36" s="348" t="s">
        <v>14834</v>
      </c>
      <c r="AJ36" s="301" t="s">
        <v>14835</v>
      </c>
      <c r="AK36" s="1625" t="s">
        <v>14836</v>
      </c>
      <c r="AL36" s="358" t="s">
        <v>14837</v>
      </c>
      <c r="AM36" s="358" t="s">
        <v>14838</v>
      </c>
      <c r="AN36" s="358" t="s">
        <v>14839</v>
      </c>
      <c r="AO36" s="358" t="s">
        <v>14840</v>
      </c>
      <c r="AP36" s="1625" t="s">
        <v>14841</v>
      </c>
      <c r="AQ36" s="365" t="s">
        <v>14842</v>
      </c>
      <c r="AR36" s="366"/>
      <c r="AS36" s="376" t="s">
        <v>14843</v>
      </c>
      <c r="AT36" s="377">
        <f>VLOOKUP(C36,[4]Sheet1!$B$6:$Y$67,23,0)</f>
        <v>5</v>
      </c>
      <c r="AU36" s="378">
        <f>VLOOKUP(C36,[4]Sheet1!$B$6:$Y$67,24,0)</f>
        <v>3150000</v>
      </c>
      <c r="AV36" s="378">
        <f t="shared" si="2"/>
        <v>3276000</v>
      </c>
      <c r="AW36" s="387">
        <f t="shared" si="12"/>
        <v>126000</v>
      </c>
    </row>
    <row r="37" s="260" customFormat="1" ht="42" spans="1:49">
      <c r="A37" s="1624" t="s">
        <v>411</v>
      </c>
      <c r="B37" s="1624" t="s">
        <v>14844</v>
      </c>
      <c r="C37" s="275" t="s">
        <v>14845</v>
      </c>
      <c r="D37" s="276" t="s">
        <v>14846</v>
      </c>
      <c r="E37" s="285">
        <v>26</v>
      </c>
      <c r="F37" s="286" t="s">
        <v>14847</v>
      </c>
      <c r="G37" s="287" t="s">
        <v>125</v>
      </c>
      <c r="H37" s="288" t="s">
        <v>44</v>
      </c>
      <c r="I37" s="288" t="s">
        <v>3528</v>
      </c>
      <c r="J37" s="301" t="s">
        <v>14848</v>
      </c>
      <c r="K37" s="305" t="s">
        <v>14849</v>
      </c>
      <c r="L37" s="303"/>
      <c r="M37" s="313">
        <v>42905</v>
      </c>
      <c r="N37" s="313">
        <v>42996</v>
      </c>
      <c r="O37" s="314">
        <v>43361</v>
      </c>
      <c r="P37" s="314" t="s">
        <v>604</v>
      </c>
      <c r="Q37" s="313"/>
      <c r="R37" s="313"/>
      <c r="S37" s="313"/>
      <c r="T37" s="313"/>
      <c r="U37" s="313"/>
      <c r="V37" s="313"/>
      <c r="W37" s="323">
        <f ca="1">SUM(O37-NOW())</f>
        <v>88.61546296296</v>
      </c>
      <c r="X37" s="324" t="str">
        <f ca="1" t="shared" si="10"/>
        <v>ACTIVE</v>
      </c>
      <c r="Y37" s="332">
        <f>10000000*104%</f>
        <v>10400000</v>
      </c>
      <c r="Z37" s="333">
        <v>20000</v>
      </c>
      <c r="AA37" s="333">
        <v>500000</v>
      </c>
      <c r="AB37" s="333">
        <v>131250</v>
      </c>
      <c r="AC37" s="333"/>
      <c r="AD37" s="333" t="s">
        <v>583</v>
      </c>
      <c r="AE37" s="333"/>
      <c r="AF37" s="333"/>
      <c r="AG37" s="347" t="s">
        <v>4669</v>
      </c>
      <c r="AH37" s="347" t="s">
        <v>14428</v>
      </c>
      <c r="AI37" s="348" t="s">
        <v>14669</v>
      </c>
      <c r="AJ37" s="301" t="s">
        <v>14850</v>
      </c>
      <c r="AK37" s="1625" t="s">
        <v>14851</v>
      </c>
      <c r="AL37" s="358" t="s">
        <v>14852</v>
      </c>
      <c r="AM37" s="358" t="s">
        <v>14853</v>
      </c>
      <c r="AN37" s="358" t="s">
        <v>14854</v>
      </c>
      <c r="AO37" s="358" t="s">
        <v>14855</v>
      </c>
      <c r="AP37" s="358"/>
      <c r="AQ37" s="365" t="s">
        <v>14856</v>
      </c>
      <c r="AR37" s="366"/>
      <c r="AS37" s="376" t="s">
        <v>14857</v>
      </c>
      <c r="AT37" s="377">
        <f>VLOOKUP(C37,[4]Sheet1!$B$6:$Y$67,23,0)</f>
        <v>4</v>
      </c>
      <c r="AU37" s="378">
        <f>VLOOKUP(C37,[4]Sheet1!$B$6:$Y$67,24,0)</f>
        <v>10400000</v>
      </c>
      <c r="AV37" s="378">
        <f t="shared" si="2"/>
        <v>10816000</v>
      </c>
      <c r="AW37" s="387">
        <f t="shared" ref="AW37:AW40" si="13">AV37-AU37</f>
        <v>416000</v>
      </c>
    </row>
    <row r="38" s="260" customFormat="1" ht="21" spans="1:49">
      <c r="A38" s="1624" t="s">
        <v>424</v>
      </c>
      <c r="B38" s="1624" t="s">
        <v>14858</v>
      </c>
      <c r="C38" s="275" t="s">
        <v>14859</v>
      </c>
      <c r="D38" s="276" t="s">
        <v>14860</v>
      </c>
      <c r="E38" s="285">
        <v>28</v>
      </c>
      <c r="F38" s="286"/>
      <c r="G38" s="287" t="s">
        <v>125</v>
      </c>
      <c r="H38" s="288" t="s">
        <v>44</v>
      </c>
      <c r="I38" s="288" t="s">
        <v>3528</v>
      </c>
      <c r="J38" s="301" t="s">
        <v>14861</v>
      </c>
      <c r="K38" s="305" t="s">
        <v>14862</v>
      </c>
      <c r="L38" s="303"/>
      <c r="M38" s="313">
        <v>42948</v>
      </c>
      <c r="N38" s="313">
        <v>43131</v>
      </c>
      <c r="O38" s="314">
        <v>43202</v>
      </c>
      <c r="P38" s="313">
        <v>43496</v>
      </c>
      <c r="Q38" s="314" t="s">
        <v>604</v>
      </c>
      <c r="R38" s="313"/>
      <c r="S38" s="313"/>
      <c r="T38" s="313"/>
      <c r="U38" s="313"/>
      <c r="V38" s="313"/>
      <c r="W38" s="323">
        <f ca="1" t="shared" ref="W38:W40" si="14">SUM(P38-NOW())</f>
        <v>223.61546296296</v>
      </c>
      <c r="X38" s="324" t="str">
        <f ca="1" t="shared" si="10"/>
        <v>ACTIVE</v>
      </c>
      <c r="Y38" s="333">
        <f>6500000*104.5%</f>
        <v>6792500</v>
      </c>
      <c r="Z38" s="333">
        <v>20000</v>
      </c>
      <c r="AA38" s="333">
        <v>750000</v>
      </c>
      <c r="AB38" s="333">
        <v>150000</v>
      </c>
      <c r="AC38" s="333"/>
      <c r="AD38" s="333"/>
      <c r="AE38" s="333"/>
      <c r="AF38" s="333"/>
      <c r="AG38" s="347" t="s">
        <v>4670</v>
      </c>
      <c r="AH38" s="347" t="s">
        <v>11917</v>
      </c>
      <c r="AI38" s="348" t="s">
        <v>14863</v>
      </c>
      <c r="AJ38" s="301" t="s">
        <v>14864</v>
      </c>
      <c r="AK38" s="358">
        <v>81387363980</v>
      </c>
      <c r="AL38" s="358" t="s">
        <v>14865</v>
      </c>
      <c r="AM38" s="358" t="s">
        <v>14866</v>
      </c>
      <c r="AN38" s="358" t="s">
        <v>14867</v>
      </c>
      <c r="AO38" s="358"/>
      <c r="AP38" s="1625" t="s">
        <v>14868</v>
      </c>
      <c r="AQ38" s="365" t="s">
        <v>14869</v>
      </c>
      <c r="AR38" s="366"/>
      <c r="AS38" s="376" t="s">
        <v>14870</v>
      </c>
      <c r="AT38" s="377">
        <f>VLOOKUP(C38,[4]Sheet1!$B$6:$Y$67,23,0)</f>
        <v>4.5</v>
      </c>
      <c r="AU38" s="378">
        <f>VLOOKUP(C38,[4]Sheet1!$B$6:$Y$67,24,0)</f>
        <v>6792500</v>
      </c>
      <c r="AV38" s="378">
        <f>Y38*104.5%</f>
        <v>7098162.5</v>
      </c>
      <c r="AW38" s="387">
        <f t="shared" si="13"/>
        <v>305662.499999999</v>
      </c>
    </row>
    <row r="39" s="260" customFormat="1" ht="21" spans="1:49">
      <c r="A39" s="1624" t="s">
        <v>438</v>
      </c>
      <c r="B39" s="274" t="s">
        <v>14871</v>
      </c>
      <c r="C39" s="275" t="s">
        <v>9495</v>
      </c>
      <c r="D39" s="276" t="s">
        <v>14872</v>
      </c>
      <c r="E39" s="285"/>
      <c r="F39" s="286" t="s">
        <v>14873</v>
      </c>
      <c r="G39" s="287" t="s">
        <v>125</v>
      </c>
      <c r="H39" s="288" t="s">
        <v>44</v>
      </c>
      <c r="I39" s="288" t="s">
        <v>3528</v>
      </c>
      <c r="J39" s="301" t="s">
        <v>14874</v>
      </c>
      <c r="K39" s="305" t="s">
        <v>14875</v>
      </c>
      <c r="L39" s="303"/>
      <c r="M39" s="313">
        <v>42933</v>
      </c>
      <c r="N39" s="313">
        <v>43024</v>
      </c>
      <c r="O39" s="313">
        <v>43202</v>
      </c>
      <c r="P39" s="313">
        <v>43389</v>
      </c>
      <c r="Q39" s="320" t="s">
        <v>604</v>
      </c>
      <c r="R39" s="313"/>
      <c r="S39" s="313"/>
      <c r="T39" s="313"/>
      <c r="U39" s="313"/>
      <c r="V39" s="313"/>
      <c r="W39" s="323">
        <f ca="1" t="shared" si="14"/>
        <v>116.61546296296</v>
      </c>
      <c r="X39" s="324" t="str">
        <f ca="1" t="shared" si="10"/>
        <v>ACTIVE</v>
      </c>
      <c r="Y39" s="333">
        <f>5400000*104%</f>
        <v>5616000</v>
      </c>
      <c r="Z39" s="333">
        <v>20000</v>
      </c>
      <c r="AA39" s="333">
        <v>500000</v>
      </c>
      <c r="AB39" s="333">
        <v>150000</v>
      </c>
      <c r="AC39" s="333"/>
      <c r="AD39" s="333" t="s">
        <v>583</v>
      </c>
      <c r="AE39" s="333"/>
      <c r="AF39" s="333"/>
      <c r="AG39" s="347" t="s">
        <v>4670</v>
      </c>
      <c r="AH39" s="347" t="s">
        <v>14428</v>
      </c>
      <c r="AI39" s="348" t="s">
        <v>14876</v>
      </c>
      <c r="AJ39" s="301" t="s">
        <v>14877</v>
      </c>
      <c r="AK39" s="358" t="s">
        <v>14878</v>
      </c>
      <c r="AL39" s="358" t="s">
        <v>14879</v>
      </c>
      <c r="AM39" s="358" t="s">
        <v>14880</v>
      </c>
      <c r="AN39" s="358" t="s">
        <v>14881</v>
      </c>
      <c r="AO39" s="358">
        <v>14007288914</v>
      </c>
      <c r="AP39" s="358" t="s">
        <v>14882</v>
      </c>
      <c r="AQ39" s="367" t="s">
        <v>14883</v>
      </c>
      <c r="AR39" s="366"/>
      <c r="AS39" s="376" t="s">
        <v>14884</v>
      </c>
      <c r="AT39" s="377">
        <f>VLOOKUP(C39,[4]Sheet1!$B$6:$Y$67,23,0)</f>
        <v>4</v>
      </c>
      <c r="AU39" s="378">
        <f>VLOOKUP(C39,[4]Sheet1!$B$6:$Y$67,24,0)</f>
        <v>5616000</v>
      </c>
      <c r="AV39" s="378">
        <f t="shared" si="2"/>
        <v>5840640</v>
      </c>
      <c r="AW39" s="387">
        <f t="shared" si="13"/>
        <v>224640</v>
      </c>
    </row>
    <row r="40" s="260" customFormat="1" ht="21" spans="1:49">
      <c r="A40" s="1624" t="s">
        <v>450</v>
      </c>
      <c r="B40" s="274" t="s">
        <v>14885</v>
      </c>
      <c r="C40" s="275" t="s">
        <v>14886</v>
      </c>
      <c r="D40" s="276" t="s">
        <v>14887</v>
      </c>
      <c r="E40" s="285"/>
      <c r="F40" s="286" t="s">
        <v>14888</v>
      </c>
      <c r="G40" s="287" t="s">
        <v>43</v>
      </c>
      <c r="H40" s="288" t="s">
        <v>60</v>
      </c>
      <c r="I40" s="288" t="s">
        <v>3528</v>
      </c>
      <c r="J40" s="301" t="s">
        <v>14889</v>
      </c>
      <c r="K40" s="305" t="s">
        <v>14890</v>
      </c>
      <c r="L40" s="303"/>
      <c r="M40" s="313">
        <v>42948</v>
      </c>
      <c r="N40" s="313">
        <v>43131</v>
      </c>
      <c r="O40" s="314">
        <v>43202</v>
      </c>
      <c r="P40" s="313">
        <v>43496</v>
      </c>
      <c r="Q40" s="320" t="s">
        <v>604</v>
      </c>
      <c r="R40" s="313"/>
      <c r="S40" s="313"/>
      <c r="T40" s="313"/>
      <c r="U40" s="313"/>
      <c r="V40" s="313"/>
      <c r="W40" s="323">
        <f ca="1" t="shared" si="14"/>
        <v>223.61546296296</v>
      </c>
      <c r="X40" s="324" t="str">
        <f ca="1" t="shared" ref="X40:X50" si="15">IF(W40&lt;=46,"WARNING","ACTIVE")</f>
        <v>ACTIVE</v>
      </c>
      <c r="Y40" s="333">
        <f>11300000*104%</f>
        <v>11752000</v>
      </c>
      <c r="Z40" s="333">
        <v>20000</v>
      </c>
      <c r="AA40" s="333">
        <v>750000</v>
      </c>
      <c r="AB40" s="333">
        <v>150000</v>
      </c>
      <c r="AC40" s="333"/>
      <c r="AD40" s="333" t="s">
        <v>583</v>
      </c>
      <c r="AE40" s="333"/>
      <c r="AF40" s="333"/>
      <c r="AG40" s="347" t="s">
        <v>112</v>
      </c>
      <c r="AH40" s="347" t="s">
        <v>14891</v>
      </c>
      <c r="AI40" s="348" t="s">
        <v>14892</v>
      </c>
      <c r="AJ40" s="301" t="s">
        <v>14893</v>
      </c>
      <c r="AK40" s="358" t="s">
        <v>14894</v>
      </c>
      <c r="AL40" s="358" t="s">
        <v>14895</v>
      </c>
      <c r="AM40" s="358" t="s">
        <v>14896</v>
      </c>
      <c r="AN40" s="358" t="s">
        <v>14897</v>
      </c>
      <c r="AO40" s="358" t="s">
        <v>14898</v>
      </c>
      <c r="AP40" s="358" t="s">
        <v>14899</v>
      </c>
      <c r="AQ40" s="367" t="s">
        <v>14900</v>
      </c>
      <c r="AR40" s="366"/>
      <c r="AS40" s="376" t="s">
        <v>11954</v>
      </c>
      <c r="AT40" s="377">
        <f>VLOOKUP(C40,[4]Sheet1!$B$6:$Y$67,23,0)</f>
        <v>4</v>
      </c>
      <c r="AU40" s="378">
        <f>VLOOKUP(C40,[4]Sheet1!$B$6:$Y$67,24,0)</f>
        <v>11752000</v>
      </c>
      <c r="AV40" s="378">
        <f t="shared" si="2"/>
        <v>12222080</v>
      </c>
      <c r="AW40" s="387">
        <f t="shared" si="13"/>
        <v>470080</v>
      </c>
    </row>
    <row r="41" s="260" customFormat="1" ht="14.1" customHeight="1" spans="1:48">
      <c r="A41" s="1624" t="s">
        <v>463</v>
      </c>
      <c r="B41" s="274" t="s">
        <v>14901</v>
      </c>
      <c r="C41" s="275" t="s">
        <v>14902</v>
      </c>
      <c r="D41" s="276" t="s">
        <v>14903</v>
      </c>
      <c r="E41" s="285"/>
      <c r="F41" s="286"/>
      <c r="G41" s="287" t="s">
        <v>43</v>
      </c>
      <c r="H41" s="288" t="s">
        <v>60</v>
      </c>
      <c r="I41" s="288" t="s">
        <v>3528</v>
      </c>
      <c r="J41" s="301" t="s">
        <v>14904</v>
      </c>
      <c r="K41" s="305" t="s">
        <v>14905</v>
      </c>
      <c r="L41" s="303"/>
      <c r="M41" s="313">
        <v>42940</v>
      </c>
      <c r="N41" s="313">
        <v>43123</v>
      </c>
      <c r="O41" s="313">
        <v>43202</v>
      </c>
      <c r="P41" s="313">
        <v>43465</v>
      </c>
      <c r="Q41" s="313" t="s">
        <v>604</v>
      </c>
      <c r="R41" s="313"/>
      <c r="S41" s="313"/>
      <c r="T41" s="313"/>
      <c r="U41" s="313"/>
      <c r="V41" s="313"/>
      <c r="W41" s="323">
        <f ca="1" t="shared" ref="W41:W45" si="16">SUM(P41-NOW())</f>
        <v>192.61546296296</v>
      </c>
      <c r="X41" s="324" t="str">
        <f ca="1" t="shared" si="15"/>
        <v>ACTIVE</v>
      </c>
      <c r="Y41" s="337">
        <v>5150000</v>
      </c>
      <c r="Z41" s="333">
        <v>20000</v>
      </c>
      <c r="AA41" s="333">
        <v>500000</v>
      </c>
      <c r="AB41" s="333">
        <v>150000</v>
      </c>
      <c r="AC41" s="337"/>
      <c r="AD41" s="337"/>
      <c r="AE41" s="333"/>
      <c r="AF41" s="333"/>
      <c r="AG41" s="347" t="s">
        <v>4670</v>
      </c>
      <c r="AH41" s="347">
        <v>400</v>
      </c>
      <c r="AI41" s="348" t="s">
        <v>14906</v>
      </c>
      <c r="AJ41" s="301" t="s">
        <v>14907</v>
      </c>
      <c r="AK41" s="358"/>
      <c r="AL41" s="358" t="s">
        <v>14908</v>
      </c>
      <c r="AM41" s="358" t="s">
        <v>14909</v>
      </c>
      <c r="AN41" s="358" t="s">
        <v>14910</v>
      </c>
      <c r="AO41" s="358" t="s">
        <v>14911</v>
      </c>
      <c r="AP41" s="358" t="s">
        <v>14912</v>
      </c>
      <c r="AQ41" s="367" t="s">
        <v>14913</v>
      </c>
      <c r="AR41" s="366"/>
      <c r="AS41" s="376" t="s">
        <v>14914</v>
      </c>
      <c r="AT41" s="377">
        <f>VLOOKUP(C41,[4]Sheet1!$B$6:$Y$67,23,0)</f>
        <v>3</v>
      </c>
      <c r="AU41" s="378">
        <f>VLOOKUP(C41,[4]Sheet1!$B$6:$Y$67,24,0)</f>
        <v>5150000</v>
      </c>
      <c r="AV41" s="378"/>
    </row>
    <row r="42" s="260" customFormat="1" ht="14.1" customHeight="1" spans="1:49">
      <c r="A42" s="1624" t="s">
        <v>473</v>
      </c>
      <c r="B42" s="274" t="s">
        <v>14915</v>
      </c>
      <c r="C42" s="275" t="s">
        <v>14916</v>
      </c>
      <c r="D42" s="276" t="s">
        <v>14917</v>
      </c>
      <c r="E42" s="285"/>
      <c r="F42" s="286"/>
      <c r="G42" s="287" t="s">
        <v>43</v>
      </c>
      <c r="H42" s="288" t="s">
        <v>60</v>
      </c>
      <c r="I42" s="288" t="s">
        <v>3528</v>
      </c>
      <c r="J42" s="301" t="s">
        <v>14918</v>
      </c>
      <c r="K42" s="305" t="s">
        <v>14709</v>
      </c>
      <c r="L42" s="303"/>
      <c r="M42" s="313">
        <v>42958</v>
      </c>
      <c r="N42" s="313">
        <v>43141</v>
      </c>
      <c r="O42" s="314">
        <v>43202</v>
      </c>
      <c r="P42" s="313">
        <v>43506</v>
      </c>
      <c r="Q42" s="314" t="s">
        <v>604</v>
      </c>
      <c r="R42" s="313"/>
      <c r="S42" s="313"/>
      <c r="T42" s="313"/>
      <c r="U42" s="313"/>
      <c r="V42" s="313"/>
      <c r="W42" s="323">
        <f ca="1" t="shared" si="16"/>
        <v>233.61546296296</v>
      </c>
      <c r="X42" s="324" t="str">
        <f ca="1" t="shared" si="15"/>
        <v>ACTIVE</v>
      </c>
      <c r="Y42" s="338">
        <f>7250000*104%</f>
        <v>7540000</v>
      </c>
      <c r="Z42" s="333">
        <v>20000</v>
      </c>
      <c r="AA42" s="333">
        <v>500000</v>
      </c>
      <c r="AB42" s="333">
        <v>150000</v>
      </c>
      <c r="AC42" s="337"/>
      <c r="AD42" s="337"/>
      <c r="AE42" s="333"/>
      <c r="AF42" s="333"/>
      <c r="AG42" s="347" t="s">
        <v>113</v>
      </c>
      <c r="AH42" s="347">
        <v>400</v>
      </c>
      <c r="AI42" s="348" t="s">
        <v>14919</v>
      </c>
      <c r="AJ42" s="301" t="s">
        <v>14920</v>
      </c>
      <c r="AK42" s="358" t="s">
        <v>14921</v>
      </c>
      <c r="AL42" s="358" t="s">
        <v>14922</v>
      </c>
      <c r="AM42" s="358" t="s">
        <v>14923</v>
      </c>
      <c r="AN42" s="358" t="s">
        <v>14924</v>
      </c>
      <c r="AO42" s="358" t="s">
        <v>14925</v>
      </c>
      <c r="AP42" s="358"/>
      <c r="AQ42" s="367" t="s">
        <v>14926</v>
      </c>
      <c r="AR42" s="366"/>
      <c r="AS42" s="376" t="s">
        <v>14718</v>
      </c>
      <c r="AT42" s="377">
        <f>VLOOKUP(C42,[4]Sheet1!$B$6:$Y$67,23,0)</f>
        <v>4</v>
      </c>
      <c r="AU42" s="378">
        <f>VLOOKUP(C42,[4]Sheet1!$B$6:$Y$67,24,0)</f>
        <v>7540000</v>
      </c>
      <c r="AV42" s="378">
        <f t="shared" si="2"/>
        <v>7841600</v>
      </c>
      <c r="AW42" s="387">
        <f t="shared" ref="AW42:AW44" si="17">AV42-AU42</f>
        <v>301600</v>
      </c>
    </row>
    <row r="43" s="260" customFormat="1" ht="14.1" customHeight="1" spans="1:50">
      <c r="A43" s="1624" t="s">
        <v>483</v>
      </c>
      <c r="B43" s="274" t="s">
        <v>14927</v>
      </c>
      <c r="C43" s="275" t="s">
        <v>14928</v>
      </c>
      <c r="D43" s="276" t="s">
        <v>14929</v>
      </c>
      <c r="E43" s="285"/>
      <c r="F43" s="286"/>
      <c r="G43" s="287" t="s">
        <v>125</v>
      </c>
      <c r="H43" s="288" t="s">
        <v>404</v>
      </c>
      <c r="I43" s="288" t="s">
        <v>3528</v>
      </c>
      <c r="J43" s="301" t="s">
        <v>14930</v>
      </c>
      <c r="K43" s="305" t="s">
        <v>14931</v>
      </c>
      <c r="L43" s="303"/>
      <c r="M43" s="313">
        <v>42954</v>
      </c>
      <c r="N43" s="313">
        <v>43137</v>
      </c>
      <c r="O43" s="313">
        <v>43202</v>
      </c>
      <c r="P43" s="313">
        <v>43502</v>
      </c>
      <c r="Q43" s="314" t="s">
        <v>604</v>
      </c>
      <c r="R43" s="313"/>
      <c r="S43" s="313"/>
      <c r="T43" s="313"/>
      <c r="U43" s="313"/>
      <c r="V43" s="313"/>
      <c r="W43" s="323">
        <f ca="1" t="shared" si="16"/>
        <v>229.61546296296</v>
      </c>
      <c r="X43" s="324" t="str">
        <f ca="1" t="shared" si="15"/>
        <v>ACTIVE</v>
      </c>
      <c r="Y43" s="338">
        <f>14500000*108%</f>
        <v>15660000</v>
      </c>
      <c r="Z43" s="333">
        <v>20000</v>
      </c>
      <c r="AA43" s="337">
        <v>1300000</v>
      </c>
      <c r="AB43" s="333">
        <v>315000</v>
      </c>
      <c r="AC43" s="337"/>
      <c r="AD43" s="337"/>
      <c r="AE43" s="333"/>
      <c r="AF43" s="333"/>
      <c r="AG43" s="347" t="s">
        <v>112</v>
      </c>
      <c r="AH43" s="347">
        <v>750</v>
      </c>
      <c r="AI43" s="348" t="s">
        <v>14932</v>
      </c>
      <c r="AJ43" s="301" t="s">
        <v>14933</v>
      </c>
      <c r="AK43" s="358" t="s">
        <v>14934</v>
      </c>
      <c r="AL43" s="358" t="s">
        <v>14935</v>
      </c>
      <c r="AM43" s="1625" t="s">
        <v>14936</v>
      </c>
      <c r="AN43" s="1625" t="s">
        <v>14937</v>
      </c>
      <c r="AO43" s="358"/>
      <c r="AP43" s="358"/>
      <c r="AQ43" s="367" t="s">
        <v>14938</v>
      </c>
      <c r="AR43" s="366"/>
      <c r="AS43" s="376" t="s">
        <v>14939</v>
      </c>
      <c r="AT43" s="377">
        <f>VLOOKUP(C43,[4]Sheet1!$B$6:$Y$67,23,0)</f>
        <v>8</v>
      </c>
      <c r="AU43" s="378">
        <f>VLOOKUP(C43,[4]Sheet1!$B$6:$Y$67,24,0)</f>
        <v>15660000</v>
      </c>
      <c r="AV43" s="378">
        <f>Y43*108%</f>
        <v>16912800</v>
      </c>
      <c r="AW43" s="387">
        <f t="shared" si="17"/>
        <v>1252800</v>
      </c>
      <c r="AX43" s="263" t="s">
        <v>14940</v>
      </c>
    </row>
    <row r="44" s="260" customFormat="1" ht="14.1" customHeight="1" spans="1:49">
      <c r="A44" s="1624" t="s">
        <v>494</v>
      </c>
      <c r="B44" s="274" t="s">
        <v>14941</v>
      </c>
      <c r="C44" s="275" t="s">
        <v>14942</v>
      </c>
      <c r="D44" s="276" t="s">
        <v>14943</v>
      </c>
      <c r="E44" s="285"/>
      <c r="F44" s="286"/>
      <c r="G44" s="287" t="s">
        <v>125</v>
      </c>
      <c r="H44" s="288" t="s">
        <v>44</v>
      </c>
      <c r="I44" s="288" t="s">
        <v>3528</v>
      </c>
      <c r="J44" s="301" t="s">
        <v>14944</v>
      </c>
      <c r="K44" s="305" t="s">
        <v>14945</v>
      </c>
      <c r="L44" s="303"/>
      <c r="M44" s="313">
        <v>42996</v>
      </c>
      <c r="N44" s="313">
        <v>43176</v>
      </c>
      <c r="O44" s="313">
        <v>43202</v>
      </c>
      <c r="P44" s="313">
        <v>43541</v>
      </c>
      <c r="Q44" s="314" t="s">
        <v>604</v>
      </c>
      <c r="R44" s="313"/>
      <c r="S44" s="313"/>
      <c r="T44" s="313"/>
      <c r="U44" s="313"/>
      <c r="V44" s="313"/>
      <c r="W44" s="323">
        <f ca="1" t="shared" si="16"/>
        <v>268.61546296296</v>
      </c>
      <c r="X44" s="324" t="str">
        <f ca="1" t="shared" si="15"/>
        <v>ACTIVE</v>
      </c>
      <c r="Y44" s="339">
        <f>7000000*104%</f>
        <v>7280000</v>
      </c>
      <c r="Z44" s="333">
        <v>20000</v>
      </c>
      <c r="AA44" s="333">
        <v>750000</v>
      </c>
      <c r="AB44" s="333">
        <v>150000</v>
      </c>
      <c r="AC44" s="337"/>
      <c r="AD44" s="337"/>
      <c r="AE44" s="333"/>
      <c r="AF44" s="333"/>
      <c r="AG44" s="347" t="s">
        <v>48</v>
      </c>
      <c r="AH44" s="347">
        <v>400</v>
      </c>
      <c r="AI44" s="348" t="s">
        <v>14946</v>
      </c>
      <c r="AJ44" s="301" t="s">
        <v>14947</v>
      </c>
      <c r="AK44" s="358" t="s">
        <v>14948</v>
      </c>
      <c r="AL44" s="358" t="s">
        <v>14949</v>
      </c>
      <c r="AM44" s="358" t="s">
        <v>14950</v>
      </c>
      <c r="AN44" s="358" t="s">
        <v>14951</v>
      </c>
      <c r="AO44" s="358" t="s">
        <v>14952</v>
      </c>
      <c r="AP44" s="1625" t="s">
        <v>14953</v>
      </c>
      <c r="AQ44" s="367" t="s">
        <v>14954</v>
      </c>
      <c r="AR44" s="366"/>
      <c r="AS44" s="376" t="s">
        <v>14955</v>
      </c>
      <c r="AT44" s="377">
        <f>VLOOKUP(C44,[4]Sheet1!$B$6:$Y$67,23,0)</f>
        <v>4</v>
      </c>
      <c r="AU44" s="378">
        <f>VLOOKUP(C44,[4]Sheet1!$B$6:$Y$67,24,0)</f>
        <v>7280000</v>
      </c>
      <c r="AV44" s="378">
        <f t="shared" si="2"/>
        <v>7571200</v>
      </c>
      <c r="AW44" s="387">
        <f t="shared" si="17"/>
        <v>291200</v>
      </c>
    </row>
    <row r="45" s="260" customFormat="1" ht="18" spans="1:48">
      <c r="A45" s="1624" t="s">
        <v>504</v>
      </c>
      <c r="B45" s="274" t="s">
        <v>14956</v>
      </c>
      <c r="C45" s="275" t="s">
        <v>14957</v>
      </c>
      <c r="D45" s="276" t="s">
        <v>14958</v>
      </c>
      <c r="E45" s="285"/>
      <c r="F45" s="286" t="s">
        <v>14959</v>
      </c>
      <c r="G45" s="287" t="s">
        <v>43</v>
      </c>
      <c r="H45" s="288" t="s">
        <v>44</v>
      </c>
      <c r="I45" s="288" t="s">
        <v>3528</v>
      </c>
      <c r="J45" s="301" t="s">
        <v>14960</v>
      </c>
      <c r="K45" s="305" t="s">
        <v>14961</v>
      </c>
      <c r="L45" s="303"/>
      <c r="M45" s="313">
        <v>42961</v>
      </c>
      <c r="N45" s="313">
        <v>43144</v>
      </c>
      <c r="O45" s="314">
        <v>43202</v>
      </c>
      <c r="P45" s="313">
        <v>43509</v>
      </c>
      <c r="Q45" s="320" t="s">
        <v>604</v>
      </c>
      <c r="R45" s="313"/>
      <c r="S45" s="313"/>
      <c r="T45" s="313"/>
      <c r="U45" s="313"/>
      <c r="V45" s="313"/>
      <c r="W45" s="323">
        <f ca="1" t="shared" si="16"/>
        <v>236.61546296296</v>
      </c>
      <c r="X45" s="324" t="str">
        <f ca="1" t="shared" si="15"/>
        <v>ACTIVE</v>
      </c>
      <c r="Y45" s="339">
        <f>3500000*104%</f>
        <v>3640000</v>
      </c>
      <c r="Z45" s="337">
        <v>20000</v>
      </c>
      <c r="AA45" s="333">
        <v>500000</v>
      </c>
      <c r="AB45" s="333">
        <v>131250</v>
      </c>
      <c r="AC45" s="337"/>
      <c r="AD45" s="333"/>
      <c r="AE45" s="333"/>
      <c r="AF45" s="333"/>
      <c r="AG45" s="347" t="s">
        <v>113</v>
      </c>
      <c r="AH45" s="347">
        <v>400</v>
      </c>
      <c r="AI45" s="348" t="s">
        <v>14962</v>
      </c>
      <c r="AJ45" s="301" t="s">
        <v>14963</v>
      </c>
      <c r="AK45" s="358" t="s">
        <v>14964</v>
      </c>
      <c r="AL45" s="358" t="s">
        <v>14965</v>
      </c>
      <c r="AM45" s="358" t="s">
        <v>2574</v>
      </c>
      <c r="AN45" s="358" t="s">
        <v>14966</v>
      </c>
      <c r="AO45" s="358" t="s">
        <v>2574</v>
      </c>
      <c r="AP45" s="358" t="s">
        <v>14967</v>
      </c>
      <c r="AQ45" s="367" t="s">
        <v>14968</v>
      </c>
      <c r="AR45" s="366"/>
      <c r="AS45" s="376" t="s">
        <v>14969</v>
      </c>
      <c r="AT45" s="377" t="e">
        <f>VLOOKUP(C45,[4]Sheet1!$B$6:$Y$67,23,0)</f>
        <v>#N/A</v>
      </c>
      <c r="AU45" s="378" t="e">
        <f>VLOOKUP(C45,[4]Sheet1!$B$6:$Y$67,24,0)</f>
        <v>#N/A</v>
      </c>
      <c r="AV45" s="378"/>
    </row>
    <row r="46" s="260" customFormat="1" ht="21" spans="1:48">
      <c r="A46" s="1624" t="s">
        <v>514</v>
      </c>
      <c r="B46" s="274" t="s">
        <v>14970</v>
      </c>
      <c r="C46" s="275" t="s">
        <v>14971</v>
      </c>
      <c r="D46" s="276" t="s">
        <v>14972</v>
      </c>
      <c r="E46" s="285"/>
      <c r="F46" s="286"/>
      <c r="G46" s="287" t="s">
        <v>43</v>
      </c>
      <c r="H46" s="288" t="s">
        <v>60</v>
      </c>
      <c r="I46" s="288" t="s">
        <v>3528</v>
      </c>
      <c r="J46" s="301" t="s">
        <v>14973</v>
      </c>
      <c r="K46" s="304" t="s">
        <v>14974</v>
      </c>
      <c r="L46" s="303"/>
      <c r="M46" s="313">
        <v>42989</v>
      </c>
      <c r="N46" s="313">
        <v>43202</v>
      </c>
      <c r="O46" s="314">
        <v>43353</v>
      </c>
      <c r="P46" s="314" t="s">
        <v>604</v>
      </c>
      <c r="Q46" s="313"/>
      <c r="R46" s="313"/>
      <c r="S46" s="313"/>
      <c r="T46" s="313"/>
      <c r="U46" s="313"/>
      <c r="V46" s="313"/>
      <c r="W46" s="323">
        <f ca="1">SUM(O46-NOW())</f>
        <v>80.61546296296</v>
      </c>
      <c r="X46" s="324" t="str">
        <f ca="1" t="shared" si="15"/>
        <v>ACTIVE</v>
      </c>
      <c r="Y46" s="338">
        <f>42000000*104%</f>
        <v>43680000</v>
      </c>
      <c r="Z46" s="337">
        <v>20000</v>
      </c>
      <c r="AA46" s="333">
        <v>2600000</v>
      </c>
      <c r="AB46" s="333">
        <v>250000</v>
      </c>
      <c r="AC46" s="337"/>
      <c r="AD46" s="333"/>
      <c r="AE46" s="333"/>
      <c r="AF46" s="333"/>
      <c r="AG46" s="347" t="s">
        <v>112</v>
      </c>
      <c r="AH46" s="347">
        <v>750</v>
      </c>
      <c r="AI46" s="348" t="s">
        <v>14975</v>
      </c>
      <c r="AJ46" s="301" t="s">
        <v>14976</v>
      </c>
      <c r="AK46" s="358"/>
      <c r="AL46" s="358" t="s">
        <v>14977</v>
      </c>
      <c r="AM46" s="358" t="s">
        <v>14978</v>
      </c>
      <c r="AN46" s="358" t="s">
        <v>14979</v>
      </c>
      <c r="AO46" s="358"/>
      <c r="AP46" s="358"/>
      <c r="AQ46" s="367" t="s">
        <v>14980</v>
      </c>
      <c r="AR46" s="366"/>
      <c r="AS46" s="376" t="s">
        <v>14981</v>
      </c>
      <c r="AT46" s="377">
        <f>VLOOKUP(C46,[4]Sheet1!$B$6:$Y$67,23,0)</f>
        <v>4</v>
      </c>
      <c r="AU46" s="378">
        <f>VLOOKUP(C46,[4]Sheet1!$B$6:$Y$67,24,0)</f>
        <v>43680000</v>
      </c>
      <c r="AV46" s="378"/>
    </row>
    <row r="47" s="260" customFormat="1" ht="21" spans="1:49">
      <c r="A47" s="1624" t="s">
        <v>525</v>
      </c>
      <c r="B47" s="274" t="s">
        <v>14982</v>
      </c>
      <c r="C47" s="275" t="s">
        <v>14983</v>
      </c>
      <c r="D47" s="276" t="s">
        <v>14984</v>
      </c>
      <c r="E47" s="285"/>
      <c r="F47" s="286" t="s">
        <v>1110</v>
      </c>
      <c r="G47" s="287" t="s">
        <v>43</v>
      </c>
      <c r="H47" s="288" t="s">
        <v>44</v>
      </c>
      <c r="I47" s="288" t="s">
        <v>3528</v>
      </c>
      <c r="J47" s="301" t="s">
        <v>14985</v>
      </c>
      <c r="K47" s="305" t="s">
        <v>14986</v>
      </c>
      <c r="L47" s="303">
        <v>42598</v>
      </c>
      <c r="M47" s="313">
        <v>42962</v>
      </c>
      <c r="N47" s="313">
        <v>43145</v>
      </c>
      <c r="O47" s="313">
        <v>43202</v>
      </c>
      <c r="P47" s="313">
        <v>43326</v>
      </c>
      <c r="Q47" s="313" t="s">
        <v>604</v>
      </c>
      <c r="R47" s="313"/>
      <c r="S47" s="313"/>
      <c r="T47" s="313"/>
      <c r="U47" s="313"/>
      <c r="V47" s="313"/>
      <c r="W47" s="323">
        <f ca="1" t="shared" ref="W47:W50" si="18">SUM(P47-NOW())</f>
        <v>53.61546296296</v>
      </c>
      <c r="X47" s="324" t="str">
        <f ca="1" t="shared" si="15"/>
        <v>ACTIVE</v>
      </c>
      <c r="Y47" s="337">
        <f>5793400*104%</f>
        <v>6025136</v>
      </c>
      <c r="Z47" s="337">
        <v>20000</v>
      </c>
      <c r="AA47" s="333">
        <v>500000</v>
      </c>
      <c r="AB47" s="333">
        <v>150000</v>
      </c>
      <c r="AC47" s="337"/>
      <c r="AD47" s="333"/>
      <c r="AE47" s="333"/>
      <c r="AF47" s="333"/>
      <c r="AG47" s="347" t="s">
        <v>113</v>
      </c>
      <c r="AH47" s="347">
        <v>400</v>
      </c>
      <c r="AI47" s="348" t="s">
        <v>14987</v>
      </c>
      <c r="AJ47" s="301" t="s">
        <v>14988</v>
      </c>
      <c r="AK47" s="358" t="s">
        <v>14989</v>
      </c>
      <c r="AL47" s="358" t="s">
        <v>14990</v>
      </c>
      <c r="AM47" s="358" t="s">
        <v>14991</v>
      </c>
      <c r="AN47" s="358" t="s">
        <v>14992</v>
      </c>
      <c r="AO47" s="358" t="s">
        <v>14993</v>
      </c>
      <c r="AP47" s="358"/>
      <c r="AQ47" s="367" t="s">
        <v>14994</v>
      </c>
      <c r="AR47" s="366"/>
      <c r="AS47" s="376" t="s">
        <v>14986</v>
      </c>
      <c r="AT47" s="377">
        <f>VLOOKUP(C47,[4]Sheet1!$B$6:$Y$67,23,0)</f>
        <v>4</v>
      </c>
      <c r="AU47" s="378">
        <f>VLOOKUP(C47,[4]Sheet1!$B$6:$Y$67,24,0)</f>
        <v>6025136</v>
      </c>
      <c r="AV47" s="378">
        <f t="shared" si="2"/>
        <v>6266141.44</v>
      </c>
      <c r="AW47" s="387">
        <f>AV47-AU47</f>
        <v>241005.44</v>
      </c>
    </row>
    <row r="48" s="260" customFormat="1" ht="14.1" customHeight="1" spans="1:48">
      <c r="A48" s="1624" t="s">
        <v>533</v>
      </c>
      <c r="B48" s="274" t="s">
        <v>14995</v>
      </c>
      <c r="C48" s="275" t="s">
        <v>14996</v>
      </c>
      <c r="D48" s="276" t="s">
        <v>14997</v>
      </c>
      <c r="E48" s="285"/>
      <c r="F48" s="286" t="s">
        <v>14998</v>
      </c>
      <c r="G48" s="287" t="s">
        <v>125</v>
      </c>
      <c r="H48" s="288" t="s">
        <v>254</v>
      </c>
      <c r="I48" s="288" t="s">
        <v>3528</v>
      </c>
      <c r="J48" s="301" t="s">
        <v>14918</v>
      </c>
      <c r="K48" s="305" t="s">
        <v>14709</v>
      </c>
      <c r="L48" s="303"/>
      <c r="M48" s="313">
        <v>42982</v>
      </c>
      <c r="N48" s="313">
        <v>43162</v>
      </c>
      <c r="O48" s="314">
        <v>43202</v>
      </c>
      <c r="P48" s="313">
        <v>43527</v>
      </c>
      <c r="Q48" s="314" t="s">
        <v>604</v>
      </c>
      <c r="R48" s="313"/>
      <c r="S48" s="313"/>
      <c r="T48" s="313"/>
      <c r="U48" s="313"/>
      <c r="V48" s="313"/>
      <c r="W48" s="323">
        <f ca="1" t="shared" si="18"/>
        <v>254.61546296296</v>
      </c>
      <c r="X48" s="324" t="str">
        <f ca="1" t="shared" si="15"/>
        <v>ACTIVE</v>
      </c>
      <c r="Y48" s="338">
        <f>12500000*104%</f>
        <v>13000000</v>
      </c>
      <c r="Z48" s="337">
        <v>20000</v>
      </c>
      <c r="AA48" s="333">
        <v>750000</v>
      </c>
      <c r="AB48" s="333">
        <v>150000</v>
      </c>
      <c r="AC48" s="337"/>
      <c r="AD48" s="333"/>
      <c r="AE48" s="333"/>
      <c r="AF48" s="333"/>
      <c r="AG48" s="347" t="s">
        <v>113</v>
      </c>
      <c r="AH48" s="347">
        <v>750</v>
      </c>
      <c r="AI48" s="348" t="s">
        <v>14999</v>
      </c>
      <c r="AJ48" s="301" t="s">
        <v>15000</v>
      </c>
      <c r="AK48" s="358" t="s">
        <v>15001</v>
      </c>
      <c r="AL48" s="358" t="s">
        <v>15002</v>
      </c>
      <c r="AM48" s="358" t="s">
        <v>15003</v>
      </c>
      <c r="AN48" s="358" t="s">
        <v>15004</v>
      </c>
      <c r="AO48" s="358"/>
      <c r="AP48" s="358" t="s">
        <v>15005</v>
      </c>
      <c r="AQ48" s="367" t="s">
        <v>15006</v>
      </c>
      <c r="AR48" s="366"/>
      <c r="AS48" s="376" t="s">
        <v>14718</v>
      </c>
      <c r="AT48" s="377">
        <f>VLOOKUP(C48,[4]Sheet1!$B$6:$Y$67,23,0)</f>
        <v>4</v>
      </c>
      <c r="AU48" s="378">
        <f>VLOOKUP(C48,[4]Sheet1!$B$6:$Y$67,24,0)</f>
        <v>13000000</v>
      </c>
      <c r="AV48" s="378"/>
    </row>
    <row r="49" s="260" customFormat="1" ht="14.1" customHeight="1" spans="1:49">
      <c r="A49" s="1624" t="s">
        <v>542</v>
      </c>
      <c r="B49" s="274" t="s">
        <v>15007</v>
      </c>
      <c r="C49" s="275" t="s">
        <v>15008</v>
      </c>
      <c r="D49" s="276" t="s">
        <v>15009</v>
      </c>
      <c r="E49" s="285"/>
      <c r="F49" s="286" t="s">
        <v>15010</v>
      </c>
      <c r="G49" s="287" t="s">
        <v>43</v>
      </c>
      <c r="H49" s="288" t="s">
        <v>44</v>
      </c>
      <c r="I49" s="288" t="s">
        <v>3528</v>
      </c>
      <c r="J49" s="301" t="s">
        <v>14944</v>
      </c>
      <c r="K49" s="305" t="s">
        <v>15011</v>
      </c>
      <c r="L49" s="303"/>
      <c r="M49" s="313">
        <v>42975</v>
      </c>
      <c r="N49" s="313">
        <v>43158</v>
      </c>
      <c r="O49" s="314">
        <v>43202</v>
      </c>
      <c r="P49" s="313">
        <v>43523</v>
      </c>
      <c r="Q49" s="314" t="s">
        <v>604</v>
      </c>
      <c r="R49" s="313"/>
      <c r="S49" s="313"/>
      <c r="T49" s="313"/>
      <c r="U49" s="313"/>
      <c r="V49" s="313"/>
      <c r="W49" s="323">
        <f ca="1" t="shared" si="18"/>
        <v>250.61546296296</v>
      </c>
      <c r="X49" s="324" t="str">
        <f ca="1" t="shared" si="15"/>
        <v>ACTIVE</v>
      </c>
      <c r="Y49" s="338">
        <f>8000000*103.5%</f>
        <v>8280000</v>
      </c>
      <c r="Z49" s="337">
        <v>20000</v>
      </c>
      <c r="AA49" s="333">
        <v>750000</v>
      </c>
      <c r="AB49" s="333">
        <v>150000</v>
      </c>
      <c r="AC49" s="337"/>
      <c r="AD49" s="333"/>
      <c r="AE49" s="333"/>
      <c r="AF49" s="333"/>
      <c r="AG49" s="347" t="s">
        <v>113</v>
      </c>
      <c r="AH49" s="347" t="s">
        <v>15012</v>
      </c>
      <c r="AI49" s="348" t="s">
        <v>15013</v>
      </c>
      <c r="AJ49" s="301" t="s">
        <v>15014</v>
      </c>
      <c r="AK49" s="358" t="s">
        <v>15015</v>
      </c>
      <c r="AL49" s="358" t="s">
        <v>15016</v>
      </c>
      <c r="AM49" s="358" t="s">
        <v>15017</v>
      </c>
      <c r="AN49" s="358" t="s">
        <v>15018</v>
      </c>
      <c r="AO49" s="358"/>
      <c r="AP49" s="358"/>
      <c r="AQ49" s="367" t="s">
        <v>15019</v>
      </c>
      <c r="AR49" s="366"/>
      <c r="AS49" s="376" t="s">
        <v>14955</v>
      </c>
      <c r="AT49" s="377">
        <f>VLOOKUP(C49,[4]Sheet1!$B$6:$Y$67,23,0)</f>
        <v>3.5</v>
      </c>
      <c r="AU49" s="378">
        <f>VLOOKUP(C49,[4]Sheet1!$B$6:$Y$67,24,0)</f>
        <v>8280000</v>
      </c>
      <c r="AV49" s="378">
        <f>Y49*103.5%</f>
        <v>8569800</v>
      </c>
      <c r="AW49" s="387">
        <f>AV49-AU49</f>
        <v>289799.999999998</v>
      </c>
    </row>
    <row r="50" s="260" customFormat="1" ht="14.1" customHeight="1" spans="1:49">
      <c r="A50" s="1624" t="s">
        <v>550</v>
      </c>
      <c r="B50" s="274" t="s">
        <v>15020</v>
      </c>
      <c r="C50" s="275" t="s">
        <v>15021</v>
      </c>
      <c r="D50" s="276" t="s">
        <v>15022</v>
      </c>
      <c r="E50" s="285"/>
      <c r="F50" s="286" t="s">
        <v>15023</v>
      </c>
      <c r="G50" s="287" t="s">
        <v>43</v>
      </c>
      <c r="H50" s="288" t="s">
        <v>60</v>
      </c>
      <c r="I50" s="288" t="s">
        <v>3528</v>
      </c>
      <c r="J50" s="301" t="s">
        <v>15024</v>
      </c>
      <c r="K50" s="304" t="s">
        <v>15025</v>
      </c>
      <c r="L50" s="303"/>
      <c r="M50" s="313">
        <v>42982</v>
      </c>
      <c r="N50" s="313">
        <v>43162</v>
      </c>
      <c r="O50" s="314">
        <v>43202</v>
      </c>
      <c r="P50" s="313">
        <v>43527</v>
      </c>
      <c r="Q50" s="314" t="s">
        <v>604</v>
      </c>
      <c r="R50" s="313"/>
      <c r="S50" s="313"/>
      <c r="T50" s="313"/>
      <c r="U50" s="313"/>
      <c r="V50" s="313"/>
      <c r="W50" s="323">
        <f ca="1" t="shared" si="18"/>
        <v>254.61546296296</v>
      </c>
      <c r="X50" s="324" t="str">
        <f ca="1" t="shared" si="15"/>
        <v>ACTIVE</v>
      </c>
      <c r="Y50" s="338">
        <f>11000000*104%</f>
        <v>11440000</v>
      </c>
      <c r="Z50" s="337">
        <v>20000</v>
      </c>
      <c r="AA50" s="333">
        <v>1300000</v>
      </c>
      <c r="AB50" s="333">
        <v>315000</v>
      </c>
      <c r="AC50" s="337"/>
      <c r="AD50" s="333"/>
      <c r="AE50" s="333"/>
      <c r="AF50" s="333"/>
      <c r="AG50" s="347" t="s">
        <v>113</v>
      </c>
      <c r="AH50" s="347">
        <v>750</v>
      </c>
      <c r="AI50" s="348" t="s">
        <v>15026</v>
      </c>
      <c r="AJ50" s="301" t="s">
        <v>15027</v>
      </c>
      <c r="AK50" s="358" t="s">
        <v>15028</v>
      </c>
      <c r="AL50" s="358" t="s">
        <v>15029</v>
      </c>
      <c r="AM50" s="358" t="s">
        <v>15030</v>
      </c>
      <c r="AN50" s="358" t="s">
        <v>15031</v>
      </c>
      <c r="AO50" s="1625" t="s">
        <v>15032</v>
      </c>
      <c r="AP50" s="1625" t="s">
        <v>15033</v>
      </c>
      <c r="AQ50" s="367" t="s">
        <v>15034</v>
      </c>
      <c r="AR50" s="366"/>
      <c r="AS50" s="376" t="s">
        <v>14969</v>
      </c>
      <c r="AT50" s="377">
        <f>VLOOKUP(C50,[4]Sheet1!$B$6:$Y$67,23,0)</f>
        <v>4</v>
      </c>
      <c r="AU50" s="378">
        <f>VLOOKUP(C50,[4]Sheet1!$B$6:$Y$67,24,0)</f>
        <v>11440000</v>
      </c>
      <c r="AV50" s="378">
        <f t="shared" si="2"/>
        <v>11897600</v>
      </c>
      <c r="AW50" s="387">
        <f t="shared" ref="AW50:AW52" si="19">AV50-AU50</f>
        <v>457600</v>
      </c>
    </row>
    <row r="51" s="260" customFormat="1" ht="14.1" customHeight="1" spans="1:49">
      <c r="A51" s="1624" t="s">
        <v>559</v>
      </c>
      <c r="B51" s="14" t="s">
        <v>15035</v>
      </c>
      <c r="C51" s="275" t="s">
        <v>10664</v>
      </c>
      <c r="D51" s="276" t="s">
        <v>15036</v>
      </c>
      <c r="E51" s="285"/>
      <c r="F51" s="286"/>
      <c r="G51" s="287" t="s">
        <v>43</v>
      </c>
      <c r="H51" s="288" t="s">
        <v>254</v>
      </c>
      <c r="I51" s="288" t="s">
        <v>3528</v>
      </c>
      <c r="J51" s="301" t="s">
        <v>15037</v>
      </c>
      <c r="K51" s="305" t="s">
        <v>15038</v>
      </c>
      <c r="L51" s="303"/>
      <c r="M51" s="313">
        <v>42989</v>
      </c>
      <c r="N51" s="313">
        <v>43169</v>
      </c>
      <c r="O51" s="314">
        <v>43534</v>
      </c>
      <c r="P51" s="314" t="s">
        <v>604</v>
      </c>
      <c r="Q51" s="313"/>
      <c r="R51" s="313"/>
      <c r="S51" s="313"/>
      <c r="T51" s="313"/>
      <c r="U51" s="313"/>
      <c r="V51" s="313"/>
      <c r="W51" s="323">
        <f ca="1" t="shared" ref="W51:W60" si="20">SUM(O51-NOW())</f>
        <v>261.61546296296</v>
      </c>
      <c r="X51" s="324" t="str">
        <f ca="1" t="shared" ref="X51:X57" si="21">IF(W51&lt;=46,"WARNING","ACTIVE")</f>
        <v>ACTIVE</v>
      </c>
      <c r="Y51" s="338">
        <f>11000000*104%</f>
        <v>11440000</v>
      </c>
      <c r="Z51" s="337">
        <v>20000</v>
      </c>
      <c r="AA51" s="333">
        <v>1300000</v>
      </c>
      <c r="AB51" s="333">
        <v>150000</v>
      </c>
      <c r="AC51" s="337"/>
      <c r="AD51" s="333">
        <v>0</v>
      </c>
      <c r="AE51" s="333"/>
      <c r="AF51" s="333"/>
      <c r="AG51" s="347" t="s">
        <v>15039</v>
      </c>
      <c r="AH51" s="347">
        <v>750</v>
      </c>
      <c r="AI51" s="348" t="s">
        <v>15040</v>
      </c>
      <c r="AJ51" s="301" t="s">
        <v>15041</v>
      </c>
      <c r="AK51" s="358" t="s">
        <v>15042</v>
      </c>
      <c r="AL51" s="358" t="s">
        <v>15043</v>
      </c>
      <c r="AM51" s="358" t="s">
        <v>15044</v>
      </c>
      <c r="AN51" s="358" t="s">
        <v>15045</v>
      </c>
      <c r="AO51" s="1625" t="s">
        <v>15046</v>
      </c>
      <c r="AP51" s="1625" t="s">
        <v>15047</v>
      </c>
      <c r="AQ51" s="367" t="s">
        <v>15048</v>
      </c>
      <c r="AR51" s="366"/>
      <c r="AS51" s="376" t="s">
        <v>14569</v>
      </c>
      <c r="AT51" s="377">
        <f>VLOOKUP(C51,[4]Sheet1!$B$6:$Y$67,23,0)</f>
        <v>4</v>
      </c>
      <c r="AU51" s="378">
        <f>VLOOKUP(C51,[4]Sheet1!$B$6:$Y$67,24,0)</f>
        <v>11440000</v>
      </c>
      <c r="AV51" s="378">
        <f t="shared" si="2"/>
        <v>11897600</v>
      </c>
      <c r="AW51" s="387">
        <f t="shared" si="19"/>
        <v>457600</v>
      </c>
    </row>
    <row r="52" s="260" customFormat="1" ht="14.1" customHeight="1" spans="1:49">
      <c r="A52" s="1624" t="s">
        <v>569</v>
      </c>
      <c r="B52" s="14" t="s">
        <v>15049</v>
      </c>
      <c r="C52" s="275" t="s">
        <v>15050</v>
      </c>
      <c r="D52" s="276" t="s">
        <v>15051</v>
      </c>
      <c r="E52" s="285"/>
      <c r="F52" s="286" t="s">
        <v>15052</v>
      </c>
      <c r="G52" s="287" t="s">
        <v>43</v>
      </c>
      <c r="H52" s="288" t="s">
        <v>44</v>
      </c>
      <c r="I52" s="288" t="s">
        <v>3528</v>
      </c>
      <c r="J52" s="301" t="s">
        <v>15053</v>
      </c>
      <c r="K52" s="305" t="s">
        <v>15054</v>
      </c>
      <c r="L52" s="303"/>
      <c r="M52" s="313">
        <v>43003</v>
      </c>
      <c r="N52" s="313">
        <v>43183</v>
      </c>
      <c r="O52" s="314">
        <v>43305</v>
      </c>
      <c r="P52" s="313" t="s">
        <v>604</v>
      </c>
      <c r="Q52" s="313"/>
      <c r="R52" s="313"/>
      <c r="S52" s="313"/>
      <c r="T52" s="313"/>
      <c r="U52" s="313"/>
      <c r="V52" s="313"/>
      <c r="W52" s="323">
        <f ca="1" t="shared" si="20"/>
        <v>32.61546296296</v>
      </c>
      <c r="X52" s="324" t="str">
        <f ca="1" t="shared" si="21"/>
        <v>WARNING</v>
      </c>
      <c r="Y52" s="337">
        <f>3000000*102.5%</f>
        <v>3075000</v>
      </c>
      <c r="Z52" s="337">
        <v>20000</v>
      </c>
      <c r="AA52" s="333">
        <v>750000</v>
      </c>
      <c r="AB52" s="333">
        <v>150000</v>
      </c>
      <c r="AC52" s="337"/>
      <c r="AD52" s="337"/>
      <c r="AE52" s="333"/>
      <c r="AF52" s="333"/>
      <c r="AG52" s="347" t="s">
        <v>113</v>
      </c>
      <c r="AH52" s="347">
        <v>400</v>
      </c>
      <c r="AI52" s="348" t="s">
        <v>15055</v>
      </c>
      <c r="AJ52" s="301" t="s">
        <v>15056</v>
      </c>
      <c r="AK52" s="358" t="s">
        <v>15057</v>
      </c>
      <c r="AL52" s="358" t="s">
        <v>15058</v>
      </c>
      <c r="AM52" s="358" t="s">
        <v>15059</v>
      </c>
      <c r="AN52" s="358" t="s">
        <v>15060</v>
      </c>
      <c r="AO52" s="358"/>
      <c r="AP52" s="1625" t="s">
        <v>15061</v>
      </c>
      <c r="AQ52" s="367" t="s">
        <v>15062</v>
      </c>
      <c r="AR52" s="366"/>
      <c r="AS52" s="376" t="s">
        <v>15063</v>
      </c>
      <c r="AT52" s="377">
        <f>VLOOKUP(C52,[4]Sheet1!$B$6:$Y$67,23,0)</f>
        <v>2.5</v>
      </c>
      <c r="AU52" s="378">
        <f>VLOOKUP(C52,[4]Sheet1!$B$6:$Y$67,24,0)</f>
        <v>3075000</v>
      </c>
      <c r="AV52" s="378">
        <f>Y52*102.5%</f>
        <v>3151875</v>
      </c>
      <c r="AW52" s="387">
        <f t="shared" si="19"/>
        <v>76874.9999999991</v>
      </c>
    </row>
    <row r="53" s="260" customFormat="1" ht="14.1" customHeight="1" spans="1:48">
      <c r="A53" s="1624" t="s">
        <v>579</v>
      </c>
      <c r="B53" s="14" t="s">
        <v>15064</v>
      </c>
      <c r="C53" s="275" t="s">
        <v>15065</v>
      </c>
      <c r="D53" s="276" t="s">
        <v>15066</v>
      </c>
      <c r="E53" s="285"/>
      <c r="F53" s="286" t="s">
        <v>15067</v>
      </c>
      <c r="G53" s="287" t="s">
        <v>125</v>
      </c>
      <c r="H53" s="288" t="s">
        <v>44</v>
      </c>
      <c r="I53" s="288" t="s">
        <v>3528</v>
      </c>
      <c r="J53" s="301" t="s">
        <v>15068</v>
      </c>
      <c r="K53" s="301" t="s">
        <v>15069</v>
      </c>
      <c r="L53" s="303"/>
      <c r="M53" s="313">
        <v>43010</v>
      </c>
      <c r="N53" s="313">
        <v>43191</v>
      </c>
      <c r="O53" s="313">
        <v>43556</v>
      </c>
      <c r="P53" s="313"/>
      <c r="Q53" s="313"/>
      <c r="R53" s="313"/>
      <c r="S53" s="313"/>
      <c r="T53" s="313"/>
      <c r="U53" s="313"/>
      <c r="V53" s="313"/>
      <c r="W53" s="323">
        <f ca="1" t="shared" si="20"/>
        <v>283.61546296296</v>
      </c>
      <c r="X53" s="324" t="str">
        <f ca="1" t="shared" si="21"/>
        <v>ACTIVE</v>
      </c>
      <c r="Y53" s="337">
        <v>11500000</v>
      </c>
      <c r="Z53" s="337">
        <v>20000</v>
      </c>
      <c r="AA53" s="333">
        <v>1300000</v>
      </c>
      <c r="AB53" s="333">
        <v>150000</v>
      </c>
      <c r="AC53" s="337"/>
      <c r="AD53" s="337"/>
      <c r="AE53" s="333"/>
      <c r="AF53" s="333"/>
      <c r="AG53" s="347" t="s">
        <v>113</v>
      </c>
      <c r="AH53" s="347">
        <v>750</v>
      </c>
      <c r="AI53" s="347"/>
      <c r="AJ53" s="301" t="s">
        <v>15070</v>
      </c>
      <c r="AK53" s="358" t="s">
        <v>15071</v>
      </c>
      <c r="AL53" s="358" t="s">
        <v>15072</v>
      </c>
      <c r="AM53" s="358" t="s">
        <v>2574</v>
      </c>
      <c r="AN53" s="358" t="s">
        <v>15073</v>
      </c>
      <c r="AO53" s="1625" t="s">
        <v>15074</v>
      </c>
      <c r="AP53" s="1625" t="s">
        <v>15075</v>
      </c>
      <c r="AQ53" s="367" t="s">
        <v>15076</v>
      </c>
      <c r="AR53" s="366"/>
      <c r="AS53" s="376" t="s">
        <v>14482</v>
      </c>
      <c r="AT53" s="377" t="e">
        <f>VLOOKUP(C53,[4]Sheet1!$B$6:$Y$67,23,0)</f>
        <v>#N/A</v>
      </c>
      <c r="AU53" s="378" t="e">
        <f>VLOOKUP(C53,[4]Sheet1!$B$6:$Y$67,24,0)</f>
        <v>#N/A</v>
      </c>
      <c r="AV53" s="378"/>
    </row>
    <row r="54" s="260" customFormat="1" ht="14.1" customHeight="1" spans="1:49">
      <c r="A54" s="1624" t="s">
        <v>588</v>
      </c>
      <c r="B54" s="14" t="s">
        <v>15077</v>
      </c>
      <c r="C54" s="275" t="s">
        <v>15078</v>
      </c>
      <c r="D54" s="276" t="s">
        <v>15079</v>
      </c>
      <c r="E54" s="285"/>
      <c r="F54" s="286"/>
      <c r="G54" s="287" t="s">
        <v>125</v>
      </c>
      <c r="H54" s="288" t="s">
        <v>44</v>
      </c>
      <c r="I54" s="288" t="s">
        <v>3528</v>
      </c>
      <c r="J54" s="301" t="s">
        <v>14960</v>
      </c>
      <c r="K54" s="305" t="s">
        <v>14961</v>
      </c>
      <c r="L54" s="303"/>
      <c r="M54" s="313">
        <v>43003</v>
      </c>
      <c r="N54" s="313">
        <v>43183</v>
      </c>
      <c r="O54" s="314">
        <v>43548</v>
      </c>
      <c r="P54" s="314" t="s">
        <v>604</v>
      </c>
      <c r="Q54" s="313"/>
      <c r="R54" s="313"/>
      <c r="S54" s="313"/>
      <c r="T54" s="313"/>
      <c r="U54" s="313"/>
      <c r="V54" s="313"/>
      <c r="W54" s="323">
        <f ca="1" t="shared" si="20"/>
        <v>275.61546296296</v>
      </c>
      <c r="X54" s="324" t="str">
        <f ca="1" t="shared" si="21"/>
        <v>ACTIVE</v>
      </c>
      <c r="Y54" s="338">
        <f>5500000*104%</f>
        <v>5720000</v>
      </c>
      <c r="Z54" s="337">
        <v>20000</v>
      </c>
      <c r="AA54" s="333">
        <v>750000</v>
      </c>
      <c r="AB54" s="333">
        <v>150000</v>
      </c>
      <c r="AC54" s="337"/>
      <c r="AD54" s="337"/>
      <c r="AE54" s="333"/>
      <c r="AF54" s="333"/>
      <c r="AG54" s="347" t="s">
        <v>113</v>
      </c>
      <c r="AH54" s="347">
        <v>400</v>
      </c>
      <c r="AI54" s="348" t="s">
        <v>15080</v>
      </c>
      <c r="AJ54" s="301" t="s">
        <v>15081</v>
      </c>
      <c r="AK54" s="358"/>
      <c r="AL54" s="358" t="s">
        <v>15082</v>
      </c>
      <c r="AM54" s="358" t="s">
        <v>15083</v>
      </c>
      <c r="AN54" s="358" t="s">
        <v>15084</v>
      </c>
      <c r="AO54" s="1625" t="s">
        <v>15085</v>
      </c>
      <c r="AP54" s="1625" t="s">
        <v>15086</v>
      </c>
      <c r="AQ54" s="367" t="s">
        <v>15087</v>
      </c>
      <c r="AR54" s="366"/>
      <c r="AS54" s="376" t="s">
        <v>14512</v>
      </c>
      <c r="AT54" s="377">
        <f>VLOOKUP(C54,[4]Sheet1!$B$6:$Y$67,23,0)</f>
        <v>4</v>
      </c>
      <c r="AU54" s="378">
        <f>VLOOKUP(C54,[4]Sheet1!$B$6:$Y$67,24,0)</f>
        <v>5720000</v>
      </c>
      <c r="AV54" s="378">
        <f t="shared" si="2"/>
        <v>5948800</v>
      </c>
      <c r="AW54" s="387">
        <f>AV54-AU54</f>
        <v>228800</v>
      </c>
    </row>
    <row r="55" s="260" customFormat="1" ht="14.1" customHeight="1" spans="1:48">
      <c r="A55" s="1624" t="s">
        <v>598</v>
      </c>
      <c r="B55" s="14" t="s">
        <v>15088</v>
      </c>
      <c r="C55" s="275" t="s">
        <v>15089</v>
      </c>
      <c r="D55" s="276" t="s">
        <v>15090</v>
      </c>
      <c r="E55" s="285"/>
      <c r="F55" s="286"/>
      <c r="G55" s="287" t="s">
        <v>43</v>
      </c>
      <c r="H55" s="288" t="s">
        <v>404</v>
      </c>
      <c r="I55" s="288" t="s">
        <v>3528</v>
      </c>
      <c r="J55" s="301" t="s">
        <v>15091</v>
      </c>
      <c r="K55" s="305" t="s">
        <v>15092</v>
      </c>
      <c r="L55" s="303"/>
      <c r="M55" s="313">
        <v>43010</v>
      </c>
      <c r="N55" s="313">
        <v>43191</v>
      </c>
      <c r="O55" s="314">
        <v>43556</v>
      </c>
      <c r="P55" s="313"/>
      <c r="Q55" s="313"/>
      <c r="R55" s="313"/>
      <c r="S55" s="313"/>
      <c r="T55" s="313"/>
      <c r="U55" s="313"/>
      <c r="V55" s="313"/>
      <c r="W55" s="323">
        <f ca="1" t="shared" si="20"/>
        <v>283.61546296296</v>
      </c>
      <c r="X55" s="324" t="str">
        <f ca="1" t="shared" si="21"/>
        <v>ACTIVE</v>
      </c>
      <c r="Y55" s="337">
        <v>14000000</v>
      </c>
      <c r="Z55" s="337">
        <v>20000</v>
      </c>
      <c r="AA55" s="333">
        <v>750000</v>
      </c>
      <c r="AB55" s="333">
        <v>150000</v>
      </c>
      <c r="AC55" s="337"/>
      <c r="AD55" s="337"/>
      <c r="AE55" s="333"/>
      <c r="AF55" s="333"/>
      <c r="AG55" s="347" t="s">
        <v>113</v>
      </c>
      <c r="AH55" s="347">
        <v>750</v>
      </c>
      <c r="AI55" s="347"/>
      <c r="AJ55" s="301" t="s">
        <v>15093</v>
      </c>
      <c r="AK55" s="358" t="s">
        <v>15094</v>
      </c>
      <c r="AL55" s="358" t="s">
        <v>15095</v>
      </c>
      <c r="AM55" s="358" t="s">
        <v>15096</v>
      </c>
      <c r="AN55" s="358" t="s">
        <v>15097</v>
      </c>
      <c r="AO55" s="358"/>
      <c r="AP55" s="358"/>
      <c r="AQ55" s="367" t="s">
        <v>15098</v>
      </c>
      <c r="AR55" s="366"/>
      <c r="AS55" s="376" t="s">
        <v>15099</v>
      </c>
      <c r="AT55" s="377" t="e">
        <f>VLOOKUP(C55,[4]Sheet1!$B$6:$Y$67,23,0)</f>
        <v>#N/A</v>
      </c>
      <c r="AU55" s="378" t="e">
        <f>VLOOKUP(C55,[4]Sheet1!$B$6:$Y$67,24,0)</f>
        <v>#N/A</v>
      </c>
      <c r="AV55" s="378"/>
    </row>
    <row r="56" s="260" customFormat="1" ht="14.1" customHeight="1" spans="1:49">
      <c r="A56" s="1624" t="s">
        <v>609</v>
      </c>
      <c r="B56" s="14" t="s">
        <v>15100</v>
      </c>
      <c r="C56" s="275" t="s">
        <v>15101</v>
      </c>
      <c r="D56" s="276" t="s">
        <v>15102</v>
      </c>
      <c r="E56" s="285"/>
      <c r="F56" s="286"/>
      <c r="G56" s="287" t="s">
        <v>43</v>
      </c>
      <c r="H56" s="288" t="s">
        <v>60</v>
      </c>
      <c r="I56" s="288" t="s">
        <v>3528</v>
      </c>
      <c r="J56" s="301" t="s">
        <v>15103</v>
      </c>
      <c r="K56" s="305" t="s">
        <v>14862</v>
      </c>
      <c r="L56" s="303"/>
      <c r="M56" s="313">
        <v>43005</v>
      </c>
      <c r="N56" s="313">
        <v>43185</v>
      </c>
      <c r="O56" s="314">
        <v>43550</v>
      </c>
      <c r="P56" s="314" t="s">
        <v>604</v>
      </c>
      <c r="Q56" s="313"/>
      <c r="R56" s="313"/>
      <c r="S56" s="313"/>
      <c r="T56" s="313"/>
      <c r="U56" s="313"/>
      <c r="V56" s="313"/>
      <c r="W56" s="323">
        <f ca="1" t="shared" si="20"/>
        <v>277.61546296296</v>
      </c>
      <c r="X56" s="324" t="str">
        <f ca="1" t="shared" si="21"/>
        <v>ACTIVE</v>
      </c>
      <c r="Y56" s="338">
        <f>11000000*104%</f>
        <v>11440000</v>
      </c>
      <c r="Z56" s="337">
        <v>20000</v>
      </c>
      <c r="AA56" s="333">
        <v>1300000</v>
      </c>
      <c r="AB56" s="333">
        <v>150000</v>
      </c>
      <c r="AC56" s="337"/>
      <c r="AD56" s="337"/>
      <c r="AE56" s="333"/>
      <c r="AF56" s="333"/>
      <c r="AG56" s="347" t="s">
        <v>112</v>
      </c>
      <c r="AH56" s="347">
        <v>750</v>
      </c>
      <c r="AI56" s="348" t="s">
        <v>15026</v>
      </c>
      <c r="AJ56" s="301" t="s">
        <v>15104</v>
      </c>
      <c r="AK56" s="358" t="s">
        <v>15105</v>
      </c>
      <c r="AL56" s="358" t="s">
        <v>15106</v>
      </c>
      <c r="AM56" s="358" t="s">
        <v>15107</v>
      </c>
      <c r="AN56" s="358" t="s">
        <v>15108</v>
      </c>
      <c r="AO56" s="358"/>
      <c r="AP56" s="1625" t="s">
        <v>15109</v>
      </c>
      <c r="AQ56" s="367" t="s">
        <v>15110</v>
      </c>
      <c r="AR56" s="366"/>
      <c r="AS56" s="376" t="s">
        <v>14870</v>
      </c>
      <c r="AT56" s="377">
        <f>VLOOKUP(C56,[4]Sheet1!$B$6:$Y$67,23,0)</f>
        <v>4</v>
      </c>
      <c r="AU56" s="378">
        <f>VLOOKUP(C56,[4]Sheet1!$B$6:$Y$67,24,0)</f>
        <v>11440000</v>
      </c>
      <c r="AV56" s="378">
        <f t="shared" si="2"/>
        <v>11897600</v>
      </c>
      <c r="AW56" s="387">
        <f>AV56-AU56</f>
        <v>457600</v>
      </c>
    </row>
    <row r="57" s="260" customFormat="1" ht="14.1" customHeight="1" spans="1:48">
      <c r="A57" s="1624" t="s">
        <v>619</v>
      </c>
      <c r="B57" s="14" t="s">
        <v>15111</v>
      </c>
      <c r="C57" s="275" t="s">
        <v>15112</v>
      </c>
      <c r="D57" s="276" t="s">
        <v>15113</v>
      </c>
      <c r="E57" s="285"/>
      <c r="F57" s="286" t="s">
        <v>15114</v>
      </c>
      <c r="G57" s="287" t="s">
        <v>125</v>
      </c>
      <c r="H57" s="288" t="s">
        <v>44</v>
      </c>
      <c r="I57" s="288" t="s">
        <v>3528</v>
      </c>
      <c r="J57" s="301" t="s">
        <v>14791</v>
      </c>
      <c r="K57" s="305" t="s">
        <v>15115</v>
      </c>
      <c r="L57" s="303"/>
      <c r="M57" s="313">
        <v>43012</v>
      </c>
      <c r="N57" s="313">
        <v>43193</v>
      </c>
      <c r="O57" s="314">
        <v>43376</v>
      </c>
      <c r="P57" s="313"/>
      <c r="Q57" s="313"/>
      <c r="R57" s="313"/>
      <c r="S57" s="313"/>
      <c r="T57" s="313"/>
      <c r="U57" s="313"/>
      <c r="V57" s="313"/>
      <c r="W57" s="323">
        <f ca="1" t="shared" si="20"/>
        <v>103.61546296296</v>
      </c>
      <c r="X57" s="324" t="str">
        <f ca="1" t="shared" si="21"/>
        <v>ACTIVE</v>
      </c>
      <c r="Y57" s="337">
        <v>10000000</v>
      </c>
      <c r="Z57" s="337">
        <v>20000</v>
      </c>
      <c r="AA57" s="333">
        <v>750000</v>
      </c>
      <c r="AB57" s="333">
        <v>150000</v>
      </c>
      <c r="AC57" s="337"/>
      <c r="AD57" s="333"/>
      <c r="AE57" s="333"/>
      <c r="AF57" s="333"/>
      <c r="AG57" s="347" t="s">
        <v>113</v>
      </c>
      <c r="AH57" s="347">
        <v>750</v>
      </c>
      <c r="AI57" s="347"/>
      <c r="AJ57" s="301" t="s">
        <v>15116</v>
      </c>
      <c r="AK57" s="358" t="s">
        <v>15117</v>
      </c>
      <c r="AL57" s="358" t="s">
        <v>15118</v>
      </c>
      <c r="AM57" s="358" t="s">
        <v>15119</v>
      </c>
      <c r="AN57" s="358" t="s">
        <v>15120</v>
      </c>
      <c r="AO57" s="1625" t="s">
        <v>15121</v>
      </c>
      <c r="AP57" s="1625" t="s">
        <v>15122</v>
      </c>
      <c r="AQ57" s="367" t="s">
        <v>15123</v>
      </c>
      <c r="AR57" s="366"/>
      <c r="AS57" s="376" t="s">
        <v>15124</v>
      </c>
      <c r="AT57" s="377" t="e">
        <f>VLOOKUP(C57,[4]Sheet1!$B$6:$Y$67,23,0)</f>
        <v>#N/A</v>
      </c>
      <c r="AU57" s="378" t="e">
        <f>VLOOKUP(C57,[4]Sheet1!$B$6:$Y$67,24,0)</f>
        <v>#N/A</v>
      </c>
      <c r="AV57" s="378"/>
    </row>
    <row r="58" s="260" customFormat="1" ht="14.1" customHeight="1" spans="1:48">
      <c r="A58" s="1624" t="s">
        <v>631</v>
      </c>
      <c r="B58" s="14" t="s">
        <v>15125</v>
      </c>
      <c r="C58" s="275" t="s">
        <v>15126</v>
      </c>
      <c r="D58" s="276" t="s">
        <v>15127</v>
      </c>
      <c r="E58" s="285"/>
      <c r="F58" s="286"/>
      <c r="G58" s="287" t="s">
        <v>43</v>
      </c>
      <c r="H58" s="288" t="s">
        <v>44</v>
      </c>
      <c r="I58" s="288" t="s">
        <v>3528</v>
      </c>
      <c r="J58" s="301" t="s">
        <v>15128</v>
      </c>
      <c r="K58" s="304" t="s">
        <v>15129</v>
      </c>
      <c r="L58" s="303">
        <v>42319</v>
      </c>
      <c r="M58" s="313">
        <v>43019</v>
      </c>
      <c r="N58" s="313">
        <v>43200</v>
      </c>
      <c r="O58" s="314">
        <v>43565</v>
      </c>
      <c r="P58" s="313"/>
      <c r="Q58" s="313"/>
      <c r="R58" s="313"/>
      <c r="S58" s="313"/>
      <c r="T58" s="313"/>
      <c r="U58" s="313"/>
      <c r="V58" s="313"/>
      <c r="W58" s="323">
        <f ca="1" t="shared" si="20"/>
        <v>292.61546296296</v>
      </c>
      <c r="X58" s="324" t="str">
        <f ca="1" t="shared" ref="X58:X60" si="22">IF(W58&lt;=46,"WARNING","ACTIVE")</f>
        <v>ACTIVE</v>
      </c>
      <c r="Y58" s="337">
        <v>5310000</v>
      </c>
      <c r="Z58" s="337">
        <v>220000</v>
      </c>
      <c r="AA58" s="333"/>
      <c r="AB58" s="333"/>
      <c r="AC58" s="337"/>
      <c r="AD58" s="333"/>
      <c r="AE58" s="333"/>
      <c r="AF58" s="333"/>
      <c r="AG58" s="347" t="s">
        <v>113</v>
      </c>
      <c r="AH58" s="347">
        <v>400</v>
      </c>
      <c r="AI58" s="347"/>
      <c r="AJ58" s="301" t="s">
        <v>15130</v>
      </c>
      <c r="AK58" s="358" t="s">
        <v>15131</v>
      </c>
      <c r="AL58" s="358" t="s">
        <v>15132</v>
      </c>
      <c r="AM58" s="358" t="s">
        <v>15133</v>
      </c>
      <c r="AN58" s="358" t="s">
        <v>15134</v>
      </c>
      <c r="AO58" s="1625" t="s">
        <v>15135</v>
      </c>
      <c r="AP58" s="1625" t="s">
        <v>15136</v>
      </c>
      <c r="AQ58" s="367" t="s">
        <v>15137</v>
      </c>
      <c r="AR58" s="366"/>
      <c r="AS58" s="376" t="s">
        <v>15138</v>
      </c>
      <c r="AT58" s="377" t="e">
        <f>VLOOKUP(C58,[4]Sheet1!$B$6:$Y$67,23,0)</f>
        <v>#N/A</v>
      </c>
      <c r="AU58" s="378" t="e">
        <f>VLOOKUP(C58,[4]Sheet1!$B$6:$Y$67,24,0)</f>
        <v>#N/A</v>
      </c>
      <c r="AV58" s="378"/>
    </row>
    <row r="59" s="263" customFormat="1" ht="14.1" customHeight="1" spans="1:48">
      <c r="A59" s="1624" t="s">
        <v>642</v>
      </c>
      <c r="B59" s="280" t="s">
        <v>15139</v>
      </c>
      <c r="C59" s="281" t="s">
        <v>15140</v>
      </c>
      <c r="D59" s="282" t="s">
        <v>15141</v>
      </c>
      <c r="E59" s="294"/>
      <c r="F59" s="295"/>
      <c r="G59" s="296" t="s">
        <v>125</v>
      </c>
      <c r="H59" s="297" t="s">
        <v>44</v>
      </c>
      <c r="I59" s="297" t="s">
        <v>3528</v>
      </c>
      <c r="J59" s="307" t="s">
        <v>15142</v>
      </c>
      <c r="K59" s="304" t="s">
        <v>15143</v>
      </c>
      <c r="L59" s="303"/>
      <c r="M59" s="317">
        <v>43025</v>
      </c>
      <c r="N59" s="317">
        <v>43202</v>
      </c>
      <c r="O59" s="318">
        <v>43389</v>
      </c>
      <c r="P59" s="317"/>
      <c r="Q59" s="317"/>
      <c r="R59" s="317"/>
      <c r="S59" s="317"/>
      <c r="T59" s="317"/>
      <c r="U59" s="317"/>
      <c r="V59" s="317"/>
      <c r="W59" s="323">
        <f ca="1" t="shared" si="20"/>
        <v>116.61546296296</v>
      </c>
      <c r="X59" s="327" t="str">
        <f ca="1" t="shared" si="22"/>
        <v>ACTIVE</v>
      </c>
      <c r="Y59" s="340">
        <v>4500000</v>
      </c>
      <c r="Z59" s="340"/>
      <c r="AA59" s="341"/>
      <c r="AB59" s="341"/>
      <c r="AC59" s="340"/>
      <c r="AD59" s="341"/>
      <c r="AE59" s="341"/>
      <c r="AF59" s="341"/>
      <c r="AG59" s="351" t="s">
        <v>113</v>
      </c>
      <c r="AH59" s="351">
        <v>400</v>
      </c>
      <c r="AI59" s="351"/>
      <c r="AJ59" s="307" t="s">
        <v>15144</v>
      </c>
      <c r="AK59" s="1627" t="s">
        <v>15145</v>
      </c>
      <c r="AL59" s="360" t="s">
        <v>15146</v>
      </c>
      <c r="AM59" s="360" t="s">
        <v>15147</v>
      </c>
      <c r="AN59" s="360" t="s">
        <v>15148</v>
      </c>
      <c r="AO59" s="360"/>
      <c r="AP59" s="360"/>
      <c r="AQ59" s="372" t="s">
        <v>15149</v>
      </c>
      <c r="AR59" s="373"/>
      <c r="AS59" s="384" t="s">
        <v>15150</v>
      </c>
      <c r="AT59" s="377" t="e">
        <f>VLOOKUP(C59,[4]Sheet1!$B$6:$Y$67,23,0)</f>
        <v>#N/A</v>
      </c>
      <c r="AU59" s="378" t="e">
        <f>VLOOKUP(C59,[4]Sheet1!$B$6:$Y$67,24,0)</f>
        <v>#N/A</v>
      </c>
      <c r="AV59" s="378"/>
    </row>
    <row r="60" s="261" customFormat="1" ht="14.1" customHeight="1" spans="1:49">
      <c r="A60" s="1624" t="s">
        <v>651</v>
      </c>
      <c r="B60" s="32" t="s">
        <v>15151</v>
      </c>
      <c r="C60" s="278" t="s">
        <v>15152</v>
      </c>
      <c r="D60" s="279" t="s">
        <v>15153</v>
      </c>
      <c r="E60" s="290">
        <v>30</v>
      </c>
      <c r="F60" s="291"/>
      <c r="G60" s="292" t="s">
        <v>43</v>
      </c>
      <c r="H60" s="293" t="s">
        <v>44</v>
      </c>
      <c r="I60" s="293" t="s">
        <v>3997</v>
      </c>
      <c r="J60" s="306" t="s">
        <v>15154</v>
      </c>
      <c r="K60" s="306" t="s">
        <v>15155</v>
      </c>
      <c r="L60" s="303"/>
      <c r="M60" s="315">
        <v>43061</v>
      </c>
      <c r="N60" s="315">
        <v>43202</v>
      </c>
      <c r="O60" s="319">
        <v>43241</v>
      </c>
      <c r="P60" s="319" t="s">
        <v>604</v>
      </c>
      <c r="Q60" s="315"/>
      <c r="R60" s="315"/>
      <c r="S60" s="315"/>
      <c r="T60" s="315"/>
      <c r="U60" s="315"/>
      <c r="V60" s="315"/>
      <c r="W60" s="325">
        <f ca="1" t="shared" si="20"/>
        <v>-31.38453703704</v>
      </c>
      <c r="X60" s="326" t="str">
        <f ca="1" t="shared" si="22"/>
        <v>WARNING</v>
      </c>
      <c r="Y60" s="342">
        <f>3500000*103%</f>
        <v>3605000</v>
      </c>
      <c r="Z60" s="342">
        <v>13500</v>
      </c>
      <c r="AA60" s="335">
        <v>750000</v>
      </c>
      <c r="AB60" s="335">
        <v>315000</v>
      </c>
      <c r="AC60" s="342"/>
      <c r="AD60" s="335">
        <v>1650000</v>
      </c>
      <c r="AE60" s="335"/>
      <c r="AF60" s="335"/>
      <c r="AG60" s="349" t="s">
        <v>112</v>
      </c>
      <c r="AH60" s="349">
        <v>400</v>
      </c>
      <c r="AI60" s="350" t="s">
        <v>15156</v>
      </c>
      <c r="AJ60" s="306" t="s">
        <v>15157</v>
      </c>
      <c r="AK60" s="1628" t="s">
        <v>15158</v>
      </c>
      <c r="AL60" s="359" t="s">
        <v>15159</v>
      </c>
      <c r="AM60" s="359" t="s">
        <v>15160</v>
      </c>
      <c r="AN60" s="359" t="s">
        <v>15161</v>
      </c>
      <c r="AO60" s="359" t="s">
        <v>15162</v>
      </c>
      <c r="AP60" s="1628" t="s">
        <v>15163</v>
      </c>
      <c r="AQ60" s="374" t="s">
        <v>15164</v>
      </c>
      <c r="AR60" s="375" t="s">
        <v>15165</v>
      </c>
      <c r="AS60" s="380" t="s">
        <v>15166</v>
      </c>
      <c r="AT60" s="385">
        <f>VLOOKUP(C60,[4]Sheet1!$B$6:$Y$67,23,0)</f>
        <v>3</v>
      </c>
      <c r="AU60" s="386">
        <f>VLOOKUP(C60,[4]Sheet1!$B$6:$Y$67,24,0)</f>
        <v>3605000</v>
      </c>
      <c r="AV60" s="386">
        <f>Y60*103%</f>
        <v>3713150</v>
      </c>
      <c r="AW60" s="390">
        <f t="shared" ref="AW60:AW61" si="23">AV60-AU60</f>
        <v>108150</v>
      </c>
    </row>
    <row r="61" s="261" customFormat="1" ht="14.1" customHeight="1" spans="1:49">
      <c r="A61" s="1626" t="s">
        <v>661</v>
      </c>
      <c r="B61" s="1626" t="s">
        <v>15167</v>
      </c>
      <c r="C61" s="278" t="s">
        <v>15168</v>
      </c>
      <c r="D61" s="279" t="s">
        <v>15169</v>
      </c>
      <c r="E61" s="290">
        <v>31</v>
      </c>
      <c r="F61" s="291" t="s">
        <v>14502</v>
      </c>
      <c r="G61" s="292" t="s">
        <v>43</v>
      </c>
      <c r="H61" s="298" t="s">
        <v>60</v>
      </c>
      <c r="I61" s="293" t="s">
        <v>3528</v>
      </c>
      <c r="J61" s="306" t="s">
        <v>15170</v>
      </c>
      <c r="K61" s="306" t="s">
        <v>15171</v>
      </c>
      <c r="L61" s="303"/>
      <c r="M61" s="315">
        <v>42593</v>
      </c>
      <c r="N61" s="315">
        <v>42776</v>
      </c>
      <c r="O61" s="315">
        <v>43141</v>
      </c>
      <c r="P61" s="316">
        <v>43202</v>
      </c>
      <c r="Q61" s="315">
        <v>43322</v>
      </c>
      <c r="R61" s="316" t="s">
        <v>604</v>
      </c>
      <c r="S61" s="315"/>
      <c r="T61" s="315"/>
      <c r="U61" s="315"/>
      <c r="V61" s="315"/>
      <c r="W61" s="325">
        <f ca="1" t="shared" ref="W61:W63" si="24">SUM(Q61-NOW())</f>
        <v>49.61546296296</v>
      </c>
      <c r="X61" s="326" t="str">
        <f ca="1" t="shared" ref="X61:X74" si="25">IF(W61&lt;=46,"WARNING","ACTIVE")</f>
        <v>ACTIVE</v>
      </c>
      <c r="Y61" s="335">
        <f>11500000*104.5%</f>
        <v>12017500</v>
      </c>
      <c r="Z61" s="335">
        <v>20000</v>
      </c>
      <c r="AA61" s="335">
        <v>1300000</v>
      </c>
      <c r="AB61" s="335">
        <v>150000</v>
      </c>
      <c r="AC61" s="335"/>
      <c r="AD61" s="335"/>
      <c r="AE61" s="335"/>
      <c r="AF61" s="335"/>
      <c r="AG61" s="349" t="s">
        <v>0</v>
      </c>
      <c r="AH61" s="349" t="s">
        <v>14458</v>
      </c>
      <c r="AI61" s="350" t="s">
        <v>15172</v>
      </c>
      <c r="AJ61" s="306" t="s">
        <v>15173</v>
      </c>
      <c r="AK61" s="1628" t="s">
        <v>15174</v>
      </c>
      <c r="AL61" s="359" t="s">
        <v>15175</v>
      </c>
      <c r="AM61" s="359" t="s">
        <v>15176</v>
      </c>
      <c r="AN61" s="359" t="s">
        <v>15177</v>
      </c>
      <c r="AO61" s="359"/>
      <c r="AP61" s="1628" t="s">
        <v>15178</v>
      </c>
      <c r="AQ61" s="368" t="s">
        <v>15179</v>
      </c>
      <c r="AR61" s="369" t="s">
        <v>15180</v>
      </c>
      <c r="AS61" s="380" t="s">
        <v>15181</v>
      </c>
      <c r="AT61" s="385">
        <f>VLOOKUP(C61,[4]Sheet1!$B$6:$Y$67,23,0)</f>
        <v>4.5</v>
      </c>
      <c r="AU61" s="386">
        <f>VLOOKUP(C61,[4]Sheet1!$B$6:$Y$67,24,0)</f>
        <v>12017500</v>
      </c>
      <c r="AV61" s="386">
        <f>Y61*104.5%</f>
        <v>12558287.5</v>
      </c>
      <c r="AW61" s="390">
        <f t="shared" si="23"/>
        <v>540787.5</v>
      </c>
    </row>
    <row r="62" s="260" customFormat="1" ht="14.1" customHeight="1" spans="1:48">
      <c r="A62" s="1624" t="s">
        <v>671</v>
      </c>
      <c r="B62" s="1624" t="s">
        <v>15182</v>
      </c>
      <c r="C62" s="275" t="s">
        <v>15183</v>
      </c>
      <c r="D62" s="276" t="s">
        <v>15184</v>
      </c>
      <c r="E62" s="285"/>
      <c r="F62" s="286"/>
      <c r="G62" s="287" t="s">
        <v>43</v>
      </c>
      <c r="H62" s="288" t="s">
        <v>254</v>
      </c>
      <c r="I62" s="288" t="s">
        <v>15185</v>
      </c>
      <c r="J62" s="301" t="s">
        <v>15186</v>
      </c>
      <c r="K62" s="308" t="s">
        <v>15187</v>
      </c>
      <c r="L62" s="303">
        <v>42353</v>
      </c>
      <c r="M62" s="313">
        <v>43066</v>
      </c>
      <c r="N62" s="313">
        <v>43202</v>
      </c>
      <c r="O62" s="314">
        <v>43246</v>
      </c>
      <c r="P62" s="320" t="s">
        <v>604</v>
      </c>
      <c r="Q62" s="314">
        <v>43430</v>
      </c>
      <c r="R62" s="313"/>
      <c r="S62" s="313"/>
      <c r="T62" s="313"/>
      <c r="U62" s="313"/>
      <c r="V62" s="313"/>
      <c r="W62" s="323">
        <f ca="1" t="shared" si="24"/>
        <v>157.61546296296</v>
      </c>
      <c r="X62" s="324" t="str">
        <f ca="1" t="shared" si="25"/>
        <v>ACTIVE</v>
      </c>
      <c r="Y62" s="333">
        <f>2580660*106%</f>
        <v>2735499.6</v>
      </c>
      <c r="Z62" s="333">
        <v>15000</v>
      </c>
      <c r="AA62" s="333">
        <v>500000</v>
      </c>
      <c r="AB62" s="333">
        <v>150000</v>
      </c>
      <c r="AC62" s="337"/>
      <c r="AD62" s="337"/>
      <c r="AE62" s="337"/>
      <c r="AF62" s="333"/>
      <c r="AG62" s="347" t="s">
        <v>113</v>
      </c>
      <c r="AH62" s="347">
        <v>400</v>
      </c>
      <c r="AI62" s="348" t="s">
        <v>15188</v>
      </c>
      <c r="AJ62" s="301" t="s">
        <v>15189</v>
      </c>
      <c r="AK62" s="1625" t="s">
        <v>15190</v>
      </c>
      <c r="AL62" s="358" t="s">
        <v>15191</v>
      </c>
      <c r="AM62" s="1625" t="s">
        <v>15192</v>
      </c>
      <c r="AN62" s="358" t="s">
        <v>15193</v>
      </c>
      <c r="AO62" s="358"/>
      <c r="AP62" s="1625" t="s">
        <v>15194</v>
      </c>
      <c r="AQ62" s="367" t="s">
        <v>15195</v>
      </c>
      <c r="AR62" s="366"/>
      <c r="AS62" s="376" t="s">
        <v>14624</v>
      </c>
      <c r="AT62" s="377" t="e">
        <f>VLOOKUP(C62,[4]Sheet1!$B$6:$Y$67,23,0)</f>
        <v>#N/A</v>
      </c>
      <c r="AU62" s="378" t="e">
        <f>VLOOKUP(C62,[4]Sheet1!$B$6:$Y$67,24,0)</f>
        <v>#N/A</v>
      </c>
      <c r="AV62" s="378"/>
    </row>
    <row r="63" s="260" customFormat="1" ht="14.1" customHeight="1" spans="1:49">
      <c r="A63" s="1624" t="s">
        <v>680</v>
      </c>
      <c r="B63" s="1624" t="s">
        <v>15196</v>
      </c>
      <c r="C63" s="275" t="s">
        <v>15197</v>
      </c>
      <c r="D63" s="276" t="s">
        <v>15198</v>
      </c>
      <c r="E63" s="285"/>
      <c r="F63" s="286"/>
      <c r="G63" s="287" t="s">
        <v>43</v>
      </c>
      <c r="H63" s="288" t="s">
        <v>254</v>
      </c>
      <c r="I63" s="288" t="s">
        <v>10370</v>
      </c>
      <c r="J63" s="301" t="s">
        <v>15199</v>
      </c>
      <c r="K63" s="308" t="s">
        <v>15187</v>
      </c>
      <c r="L63" s="303">
        <v>41855</v>
      </c>
      <c r="M63" s="313">
        <v>43066</v>
      </c>
      <c r="N63" s="313">
        <v>43202</v>
      </c>
      <c r="O63" s="314">
        <v>43246</v>
      </c>
      <c r="P63" s="320" t="s">
        <v>604</v>
      </c>
      <c r="Q63" s="314">
        <v>43429</v>
      </c>
      <c r="R63" s="313"/>
      <c r="S63" s="313"/>
      <c r="T63" s="313"/>
      <c r="U63" s="313"/>
      <c r="V63" s="313"/>
      <c r="W63" s="323">
        <f ca="1" t="shared" si="24"/>
        <v>156.61546296296</v>
      </c>
      <c r="X63" s="324" t="str">
        <f ca="1" t="shared" si="25"/>
        <v>ACTIVE</v>
      </c>
      <c r="Y63" s="333">
        <f>2972856*106%</f>
        <v>3151227.36</v>
      </c>
      <c r="Z63" s="333">
        <v>14000</v>
      </c>
      <c r="AA63" s="333">
        <v>750000</v>
      </c>
      <c r="AB63" s="333">
        <v>150000</v>
      </c>
      <c r="AC63" s="337"/>
      <c r="AD63" s="337"/>
      <c r="AE63" s="337"/>
      <c r="AF63" s="333"/>
      <c r="AG63" s="347" t="s">
        <v>113</v>
      </c>
      <c r="AH63" s="347">
        <v>400</v>
      </c>
      <c r="AI63" s="348" t="s">
        <v>15200</v>
      </c>
      <c r="AJ63" s="301" t="s">
        <v>15201</v>
      </c>
      <c r="AK63" s="1625" t="s">
        <v>15202</v>
      </c>
      <c r="AL63" s="358" t="s">
        <v>15203</v>
      </c>
      <c r="AM63" s="358" t="s">
        <v>15204</v>
      </c>
      <c r="AN63" s="358" t="s">
        <v>15205</v>
      </c>
      <c r="AO63" s="358" t="s">
        <v>15206</v>
      </c>
      <c r="AP63" s="1625" t="s">
        <v>15207</v>
      </c>
      <c r="AQ63" s="367" t="s">
        <v>15208</v>
      </c>
      <c r="AR63" s="366"/>
      <c r="AS63" s="376" t="s">
        <v>14624</v>
      </c>
      <c r="AT63" s="377">
        <f>VLOOKUP(C63,[4]Sheet1!$B$6:$Y$67,23,0)</f>
        <v>6</v>
      </c>
      <c r="AU63" s="378">
        <f>VLOOKUP(C63,[4]Sheet1!$B$6:$Y$67,24,0)</f>
        <v>3151227</v>
      </c>
      <c r="AV63" s="378">
        <f>Y63*106%</f>
        <v>3340301.0016</v>
      </c>
      <c r="AW63" s="387">
        <f>AV63-AU63</f>
        <v>189074.001600001</v>
      </c>
    </row>
    <row r="64" s="260" customFormat="1" ht="14.1" customHeight="1" spans="1:48">
      <c r="A64" s="1624" t="s">
        <v>690</v>
      </c>
      <c r="B64" s="1624" t="s">
        <v>15209</v>
      </c>
      <c r="C64" s="275" t="s">
        <v>15210</v>
      </c>
      <c r="D64" s="276" t="s">
        <v>15211</v>
      </c>
      <c r="E64" s="285"/>
      <c r="F64" s="286"/>
      <c r="G64" s="287" t="s">
        <v>43</v>
      </c>
      <c r="H64" s="289" t="s">
        <v>96</v>
      </c>
      <c r="I64" s="288" t="s">
        <v>3528</v>
      </c>
      <c r="J64" s="301" t="s">
        <v>15212</v>
      </c>
      <c r="K64" s="308" t="s">
        <v>15213</v>
      </c>
      <c r="L64" s="303"/>
      <c r="M64" s="313">
        <v>43115</v>
      </c>
      <c r="N64" s="313">
        <v>43202</v>
      </c>
      <c r="O64" s="314">
        <v>43295</v>
      </c>
      <c r="P64" s="313"/>
      <c r="Q64" s="313"/>
      <c r="R64" s="313"/>
      <c r="S64" s="313"/>
      <c r="T64" s="313"/>
      <c r="U64" s="313"/>
      <c r="V64" s="313"/>
      <c r="W64" s="323">
        <f ca="1" t="shared" ref="W64:W76" si="26">SUM(O64-NOW())</f>
        <v>22.61546296296</v>
      </c>
      <c r="X64" s="324" t="str">
        <f ca="1" t="shared" si="25"/>
        <v>WARNING</v>
      </c>
      <c r="Y64" s="333">
        <v>4000000</v>
      </c>
      <c r="Z64" s="333">
        <v>20000</v>
      </c>
      <c r="AA64" s="333">
        <v>750000</v>
      </c>
      <c r="AB64" s="333">
        <v>150000</v>
      </c>
      <c r="AC64" s="337"/>
      <c r="AD64" s="333"/>
      <c r="AE64" s="337"/>
      <c r="AF64" s="333"/>
      <c r="AG64" s="347" t="s">
        <v>113</v>
      </c>
      <c r="AH64" s="347">
        <v>400</v>
      </c>
      <c r="AI64" s="347"/>
      <c r="AJ64" s="301" t="s">
        <v>15214</v>
      </c>
      <c r="AK64" s="1625" t="s">
        <v>15215</v>
      </c>
      <c r="AL64" s="358" t="s">
        <v>15216</v>
      </c>
      <c r="AM64" s="358" t="s">
        <v>15217</v>
      </c>
      <c r="AN64" s="358" t="s">
        <v>15218</v>
      </c>
      <c r="AO64" s="358" t="s">
        <v>15219</v>
      </c>
      <c r="AP64" s="1625" t="s">
        <v>15220</v>
      </c>
      <c r="AQ64" s="149" t="s">
        <v>15221</v>
      </c>
      <c r="AR64" s="366"/>
      <c r="AS64" s="376" t="s">
        <v>14624</v>
      </c>
      <c r="AT64" s="377" t="e">
        <f>VLOOKUP(C64,[4]Sheet1!$B$6:$Y$67,23,0)</f>
        <v>#N/A</v>
      </c>
      <c r="AU64" s="378" t="e">
        <f>VLOOKUP(C64,[4]Sheet1!$B$6:$Y$67,24,0)</f>
        <v>#N/A</v>
      </c>
      <c r="AV64" s="378"/>
    </row>
    <row r="65" s="263" customFormat="1" ht="14.1" customHeight="1" spans="1:48">
      <c r="A65" s="1624" t="s">
        <v>699</v>
      </c>
      <c r="B65" s="1629" t="s">
        <v>15222</v>
      </c>
      <c r="C65" s="281" t="s">
        <v>15223</v>
      </c>
      <c r="D65" s="282" t="s">
        <v>15224</v>
      </c>
      <c r="E65" s="294"/>
      <c r="F65" s="295"/>
      <c r="G65" s="296" t="s">
        <v>125</v>
      </c>
      <c r="H65" s="297" t="s">
        <v>44</v>
      </c>
      <c r="I65" s="297" t="s">
        <v>3528</v>
      </c>
      <c r="J65" s="307" t="s">
        <v>15225</v>
      </c>
      <c r="K65" s="301" t="s">
        <v>15226</v>
      </c>
      <c r="L65" s="303"/>
      <c r="M65" s="317">
        <v>43108</v>
      </c>
      <c r="N65" s="317">
        <v>43202</v>
      </c>
      <c r="O65" s="318">
        <v>43288</v>
      </c>
      <c r="P65" s="317"/>
      <c r="Q65" s="317"/>
      <c r="R65" s="317"/>
      <c r="S65" s="317"/>
      <c r="T65" s="317"/>
      <c r="U65" s="317"/>
      <c r="V65" s="317"/>
      <c r="W65" s="401">
        <f ca="1" t="shared" si="26"/>
        <v>15.61546296296</v>
      </c>
      <c r="X65" s="327" t="str">
        <f ca="1" t="shared" si="25"/>
        <v>WARNING</v>
      </c>
      <c r="Y65" s="341">
        <v>4500000</v>
      </c>
      <c r="Z65" s="341"/>
      <c r="AA65" s="341"/>
      <c r="AB65" s="341"/>
      <c r="AC65" s="340"/>
      <c r="AD65" s="341"/>
      <c r="AE65" s="340"/>
      <c r="AF65" s="341"/>
      <c r="AG65" s="351" t="s">
        <v>113</v>
      </c>
      <c r="AH65" s="351">
        <v>400</v>
      </c>
      <c r="AI65" s="351"/>
      <c r="AJ65" s="307" t="s">
        <v>15227</v>
      </c>
      <c r="AK65" s="360" t="s">
        <v>15228</v>
      </c>
      <c r="AL65" s="360" t="s">
        <v>15229</v>
      </c>
      <c r="AM65" s="360"/>
      <c r="AN65" s="360"/>
      <c r="AO65" s="360"/>
      <c r="AP65" s="360"/>
      <c r="AQ65" s="409" t="s">
        <v>15230</v>
      </c>
      <c r="AR65" s="410"/>
      <c r="AS65" s="384" t="s">
        <v>15231</v>
      </c>
      <c r="AT65" s="377" t="e">
        <f>VLOOKUP(C65,[4]Sheet1!$B$6:$Y$67,23,0)</f>
        <v>#N/A</v>
      </c>
      <c r="AU65" s="378" t="e">
        <f>VLOOKUP(C65,[4]Sheet1!$B$6:$Y$67,24,0)</f>
        <v>#N/A</v>
      </c>
      <c r="AV65" s="378"/>
    </row>
    <row r="66" s="263" customFormat="1" ht="14.1" customHeight="1" spans="1:48">
      <c r="A66" s="1624" t="s">
        <v>709</v>
      </c>
      <c r="B66" s="1629" t="s">
        <v>15232</v>
      </c>
      <c r="C66" s="281" t="s">
        <v>15233</v>
      </c>
      <c r="D66" s="282" t="s">
        <v>15234</v>
      </c>
      <c r="E66" s="294"/>
      <c r="F66" s="295"/>
      <c r="G66" s="296" t="s">
        <v>43</v>
      </c>
      <c r="H66" s="297" t="s">
        <v>44</v>
      </c>
      <c r="I66" s="297" t="s">
        <v>3528</v>
      </c>
      <c r="J66" s="307" t="s">
        <v>15235</v>
      </c>
      <c r="K66" s="301" t="s">
        <v>15236</v>
      </c>
      <c r="L66" s="303"/>
      <c r="M66" s="317">
        <v>43075</v>
      </c>
      <c r="N66" s="317">
        <v>43202</v>
      </c>
      <c r="O66" s="318">
        <v>43804</v>
      </c>
      <c r="P66" s="317"/>
      <c r="Q66" s="317"/>
      <c r="R66" s="317"/>
      <c r="S66" s="317"/>
      <c r="T66" s="317"/>
      <c r="U66" s="317"/>
      <c r="V66" s="317"/>
      <c r="W66" s="401">
        <f ca="1" t="shared" si="26"/>
        <v>531.61546296296</v>
      </c>
      <c r="X66" s="327" t="str">
        <f ca="1" t="shared" si="25"/>
        <v>ACTIVE</v>
      </c>
      <c r="Y66" s="341">
        <v>4500000</v>
      </c>
      <c r="Z66" s="341"/>
      <c r="AA66" s="341"/>
      <c r="AB66" s="341"/>
      <c r="AC66" s="340"/>
      <c r="AD66" s="341"/>
      <c r="AE66" s="340"/>
      <c r="AF66" s="341"/>
      <c r="AG66" s="351" t="s">
        <v>113</v>
      </c>
      <c r="AH66" s="351">
        <v>400</v>
      </c>
      <c r="AI66" s="351"/>
      <c r="AJ66" s="307" t="s">
        <v>15237</v>
      </c>
      <c r="AK66" s="360" t="s">
        <v>15238</v>
      </c>
      <c r="AL66" s="360" t="s">
        <v>15239</v>
      </c>
      <c r="AM66" s="360"/>
      <c r="AN66" s="360" t="s">
        <v>15240</v>
      </c>
      <c r="AO66" s="360"/>
      <c r="AP66" s="360"/>
      <c r="AQ66" s="409" t="s">
        <v>15241</v>
      </c>
      <c r="AR66" s="410"/>
      <c r="AS66" s="384" t="s">
        <v>15242</v>
      </c>
      <c r="AT66" s="377" t="e">
        <f>VLOOKUP(C66,[4]Sheet1!$B$6:$Y$67,23,0)</f>
        <v>#N/A</v>
      </c>
      <c r="AU66" s="378" t="e">
        <f>VLOOKUP(C66,[4]Sheet1!$B$6:$Y$67,24,0)</f>
        <v>#N/A</v>
      </c>
      <c r="AV66" s="378"/>
    </row>
    <row r="67" s="260" customFormat="1" ht="14.1" customHeight="1" spans="1:48">
      <c r="A67" s="1624" t="s">
        <v>718</v>
      </c>
      <c r="B67" s="1624" t="s">
        <v>15243</v>
      </c>
      <c r="C67" s="275" t="s">
        <v>15244</v>
      </c>
      <c r="D67" s="276" t="s">
        <v>15245</v>
      </c>
      <c r="E67" s="285"/>
      <c r="F67" s="286"/>
      <c r="G67" s="287" t="s">
        <v>125</v>
      </c>
      <c r="H67" s="288" t="s">
        <v>44</v>
      </c>
      <c r="I67" s="288" t="s">
        <v>3528</v>
      </c>
      <c r="J67" s="301" t="s">
        <v>15246</v>
      </c>
      <c r="K67" s="301" t="s">
        <v>15247</v>
      </c>
      <c r="L67" s="303"/>
      <c r="M67" s="313">
        <v>43108</v>
      </c>
      <c r="N67" s="313">
        <v>43202</v>
      </c>
      <c r="O67" s="314">
        <v>43472</v>
      </c>
      <c r="P67" s="313"/>
      <c r="Q67" s="313"/>
      <c r="R67" s="313"/>
      <c r="S67" s="313"/>
      <c r="T67" s="313"/>
      <c r="U67" s="313"/>
      <c r="V67" s="313"/>
      <c r="W67" s="323">
        <f ca="1" t="shared" si="26"/>
        <v>199.61546296296</v>
      </c>
      <c r="X67" s="324" t="str">
        <f ca="1" t="shared" si="25"/>
        <v>ACTIVE</v>
      </c>
      <c r="Y67" s="333">
        <v>8000000</v>
      </c>
      <c r="Z67" s="333">
        <v>20000</v>
      </c>
      <c r="AA67" s="333">
        <v>750000</v>
      </c>
      <c r="AB67" s="333">
        <v>150000</v>
      </c>
      <c r="AC67" s="337"/>
      <c r="AD67" s="333"/>
      <c r="AE67" s="337"/>
      <c r="AF67" s="333"/>
      <c r="AG67" s="347" t="s">
        <v>112</v>
      </c>
      <c r="AH67" s="347">
        <v>400</v>
      </c>
      <c r="AI67" s="347"/>
      <c r="AJ67" s="301" t="s">
        <v>15248</v>
      </c>
      <c r="AK67" s="1625" t="s">
        <v>15249</v>
      </c>
      <c r="AL67" s="358" t="s">
        <v>15250</v>
      </c>
      <c r="AM67" s="358" t="s">
        <v>15251</v>
      </c>
      <c r="AN67" s="358" t="s">
        <v>15252</v>
      </c>
      <c r="AO67" s="358"/>
      <c r="AP67" s="358"/>
      <c r="AQ67" s="149" t="s">
        <v>15253</v>
      </c>
      <c r="AR67" s="366"/>
      <c r="AS67" s="376" t="s">
        <v>15254</v>
      </c>
      <c r="AT67" s="377" t="e">
        <f>VLOOKUP(C67,[4]Sheet1!$B$6:$Y$67,23,0)</f>
        <v>#N/A</v>
      </c>
      <c r="AU67" s="378" t="e">
        <f>VLOOKUP(C67,[4]Sheet1!$B$6:$Y$67,24,0)</f>
        <v>#N/A</v>
      </c>
      <c r="AV67" s="378"/>
    </row>
    <row r="68" s="260" customFormat="1" ht="14.1" customHeight="1" spans="1:48">
      <c r="A68" s="1624" t="s">
        <v>730</v>
      </c>
      <c r="B68" s="1624" t="s">
        <v>15255</v>
      </c>
      <c r="C68" s="275" t="s">
        <v>15256</v>
      </c>
      <c r="D68" s="276" t="s">
        <v>15257</v>
      </c>
      <c r="E68" s="285"/>
      <c r="F68" s="286"/>
      <c r="G68" s="287" t="s">
        <v>125</v>
      </c>
      <c r="H68" s="288" t="s">
        <v>44</v>
      </c>
      <c r="I68" s="288" t="s">
        <v>3528</v>
      </c>
      <c r="J68" s="301" t="s">
        <v>15258</v>
      </c>
      <c r="K68" s="301" t="s">
        <v>14756</v>
      </c>
      <c r="L68" s="303"/>
      <c r="M68" s="313">
        <v>43126</v>
      </c>
      <c r="N68" s="313">
        <v>43202</v>
      </c>
      <c r="O68" s="314">
        <v>43490</v>
      </c>
      <c r="P68" s="313"/>
      <c r="Q68" s="313"/>
      <c r="R68" s="313"/>
      <c r="S68" s="313"/>
      <c r="T68" s="313"/>
      <c r="U68" s="313"/>
      <c r="V68" s="313"/>
      <c r="W68" s="323">
        <f ca="1" t="shared" si="26"/>
        <v>217.61546296296</v>
      </c>
      <c r="X68" s="324" t="str">
        <f ca="1" t="shared" si="25"/>
        <v>ACTIVE</v>
      </c>
      <c r="Y68" s="333">
        <v>8500000</v>
      </c>
      <c r="Z68" s="333">
        <v>20000</v>
      </c>
      <c r="AA68" s="333">
        <v>750000</v>
      </c>
      <c r="AB68" s="333">
        <v>150000</v>
      </c>
      <c r="AC68" s="337"/>
      <c r="AD68" s="333"/>
      <c r="AE68" s="337"/>
      <c r="AF68" s="333"/>
      <c r="AG68" s="347" t="s">
        <v>113</v>
      </c>
      <c r="AH68" s="348">
        <v>750</v>
      </c>
      <c r="AI68" s="347"/>
      <c r="AJ68" s="301" t="s">
        <v>15259</v>
      </c>
      <c r="AK68" s="1625" t="s">
        <v>15260</v>
      </c>
      <c r="AL68" s="358" t="s">
        <v>15261</v>
      </c>
      <c r="AM68" s="358" t="s">
        <v>15262</v>
      </c>
      <c r="AN68" s="358" t="s">
        <v>15263</v>
      </c>
      <c r="AO68" s="358"/>
      <c r="AP68" s="1625" t="s">
        <v>15264</v>
      </c>
      <c r="AQ68" s="149" t="s">
        <v>15265</v>
      </c>
      <c r="AR68" s="366"/>
      <c r="AS68" s="376" t="s">
        <v>14765</v>
      </c>
      <c r="AT68" s="377" t="e">
        <f>VLOOKUP(C68,[4]Sheet1!$B$6:$Y$67,23,0)</f>
        <v>#N/A</v>
      </c>
      <c r="AU68" s="378" t="e">
        <f>VLOOKUP(C68,[4]Sheet1!$B$6:$Y$67,24,0)</f>
        <v>#N/A</v>
      </c>
      <c r="AV68" s="378"/>
    </row>
    <row r="69" s="262" customFormat="1" ht="14.1" customHeight="1" spans="1:48">
      <c r="A69" s="1624" t="s">
        <v>740</v>
      </c>
      <c r="B69" s="1624" t="s">
        <v>15266</v>
      </c>
      <c r="C69" s="275" t="s">
        <v>15267</v>
      </c>
      <c r="D69" s="276" t="s">
        <v>15268</v>
      </c>
      <c r="E69" s="285"/>
      <c r="F69" s="286"/>
      <c r="G69" s="287" t="s">
        <v>43</v>
      </c>
      <c r="H69" s="288" t="s">
        <v>44</v>
      </c>
      <c r="I69" s="288" t="s">
        <v>15269</v>
      </c>
      <c r="J69" s="301" t="s">
        <v>15270</v>
      </c>
      <c r="K69" s="301" t="s">
        <v>15271</v>
      </c>
      <c r="L69" s="303"/>
      <c r="M69" s="313">
        <v>43108</v>
      </c>
      <c r="N69" s="313">
        <v>43202</v>
      </c>
      <c r="O69" s="314">
        <v>43288</v>
      </c>
      <c r="P69" s="313"/>
      <c r="Q69" s="313"/>
      <c r="R69" s="313"/>
      <c r="S69" s="313"/>
      <c r="T69" s="313"/>
      <c r="U69" s="313"/>
      <c r="V69" s="313"/>
      <c r="W69" s="323">
        <f ca="1" t="shared" si="26"/>
        <v>15.61546296296</v>
      </c>
      <c r="X69" s="324" t="str">
        <f ca="1" t="shared" si="25"/>
        <v>WARNING</v>
      </c>
      <c r="Y69" s="333">
        <v>5000000</v>
      </c>
      <c r="Z69" s="333">
        <v>15000</v>
      </c>
      <c r="AA69" s="333">
        <v>750000</v>
      </c>
      <c r="AB69" s="333">
        <v>315000</v>
      </c>
      <c r="AC69" s="337"/>
      <c r="AD69" s="333">
        <v>1650000</v>
      </c>
      <c r="AE69" s="337"/>
      <c r="AF69" s="333"/>
      <c r="AG69" s="347" t="s">
        <v>112</v>
      </c>
      <c r="AH69" s="347">
        <v>400</v>
      </c>
      <c r="AI69" s="347"/>
      <c r="AJ69" s="301" t="s">
        <v>15272</v>
      </c>
      <c r="AK69" s="1625" t="s">
        <v>15273</v>
      </c>
      <c r="AL69" s="358" t="s">
        <v>15274</v>
      </c>
      <c r="AM69" s="358" t="s">
        <v>15275</v>
      </c>
      <c r="AN69" s="358" t="s">
        <v>15276</v>
      </c>
      <c r="AO69" s="358" t="s">
        <v>15277</v>
      </c>
      <c r="AP69" s="1625" t="s">
        <v>15278</v>
      </c>
      <c r="AQ69" s="308" t="s">
        <v>15279</v>
      </c>
      <c r="AR69" s="366" t="s">
        <v>15280</v>
      </c>
      <c r="AS69" s="376" t="s">
        <v>15281</v>
      </c>
      <c r="AT69" s="381" t="e">
        <f>VLOOKUP(C69,[4]Sheet1!$B$6:$Y$67,23,0)</f>
        <v>#N/A</v>
      </c>
      <c r="AU69" s="382" t="e">
        <f>VLOOKUP(C69,[4]Sheet1!$B$6:$Y$67,24,0)</f>
        <v>#N/A</v>
      </c>
      <c r="AV69" s="382"/>
    </row>
    <row r="70" s="260" customFormat="1" ht="14.1" customHeight="1" spans="1:48">
      <c r="A70" s="1624" t="s">
        <v>753</v>
      </c>
      <c r="B70" s="1624" t="s">
        <v>15282</v>
      </c>
      <c r="C70" s="275" t="s">
        <v>15283</v>
      </c>
      <c r="D70" s="276" t="s">
        <v>15284</v>
      </c>
      <c r="E70" s="285"/>
      <c r="F70" s="286"/>
      <c r="G70" s="292" t="s">
        <v>43</v>
      </c>
      <c r="H70" s="293" t="s">
        <v>254</v>
      </c>
      <c r="I70" s="288" t="s">
        <v>3528</v>
      </c>
      <c r="J70" s="301" t="s">
        <v>15285</v>
      </c>
      <c r="K70" s="301" t="s">
        <v>15286</v>
      </c>
      <c r="L70" s="303">
        <v>43048</v>
      </c>
      <c r="M70" s="313">
        <v>43115</v>
      </c>
      <c r="N70" s="313">
        <v>43202</v>
      </c>
      <c r="O70" s="314">
        <v>43295</v>
      </c>
      <c r="P70" s="313"/>
      <c r="Q70" s="313"/>
      <c r="R70" s="313"/>
      <c r="S70" s="313"/>
      <c r="T70" s="313"/>
      <c r="U70" s="313"/>
      <c r="V70" s="313"/>
      <c r="W70" s="323">
        <f ca="1" t="shared" si="26"/>
        <v>22.61546296296</v>
      </c>
      <c r="X70" s="324" t="str">
        <f ca="1" t="shared" si="25"/>
        <v>WARNING</v>
      </c>
      <c r="Y70" s="333">
        <v>4500000</v>
      </c>
      <c r="Z70" s="333">
        <v>20000</v>
      </c>
      <c r="AA70" s="333">
        <v>750000</v>
      </c>
      <c r="AB70" s="333">
        <v>315000</v>
      </c>
      <c r="AC70" s="337"/>
      <c r="AD70" s="333">
        <v>1650000</v>
      </c>
      <c r="AE70" s="337"/>
      <c r="AF70" s="333"/>
      <c r="AG70" s="347" t="s">
        <v>112</v>
      </c>
      <c r="AH70" s="347">
        <v>400</v>
      </c>
      <c r="AI70" s="347"/>
      <c r="AJ70" s="301" t="s">
        <v>15287</v>
      </c>
      <c r="AK70" s="359" t="s">
        <v>15288</v>
      </c>
      <c r="AL70" s="359" t="s">
        <v>15289</v>
      </c>
      <c r="AM70" s="359" t="s">
        <v>15290</v>
      </c>
      <c r="AN70" s="359" t="s">
        <v>15291</v>
      </c>
      <c r="AO70" s="1628" t="s">
        <v>15292</v>
      </c>
      <c r="AP70" s="1628" t="s">
        <v>15293</v>
      </c>
      <c r="AQ70" s="374" t="s">
        <v>15294</v>
      </c>
      <c r="AR70" s="366"/>
      <c r="AS70" s="376" t="s">
        <v>15295</v>
      </c>
      <c r="AT70" s="377" t="e">
        <f>VLOOKUP(C70,[4]Sheet1!$B$6:$Y$67,23,0)</f>
        <v>#N/A</v>
      </c>
      <c r="AU70" s="378" t="e">
        <f>VLOOKUP(C70,[4]Sheet1!$B$6:$Y$67,24,0)</f>
        <v>#N/A</v>
      </c>
      <c r="AV70" s="378"/>
    </row>
    <row r="71" s="260" customFormat="1" ht="14.1" customHeight="1" spans="1:48">
      <c r="A71" s="1624" t="s">
        <v>766</v>
      </c>
      <c r="B71" s="1624" t="s">
        <v>15296</v>
      </c>
      <c r="C71" s="275" t="s">
        <v>15297</v>
      </c>
      <c r="D71" s="276" t="s">
        <v>15298</v>
      </c>
      <c r="E71" s="285"/>
      <c r="F71" s="286"/>
      <c r="G71" s="287" t="s">
        <v>125</v>
      </c>
      <c r="H71" s="288" t="s">
        <v>44</v>
      </c>
      <c r="I71" s="288" t="s">
        <v>3528</v>
      </c>
      <c r="J71" s="301" t="s">
        <v>15299</v>
      </c>
      <c r="K71" s="308" t="s">
        <v>14974</v>
      </c>
      <c r="L71" s="303"/>
      <c r="M71" s="313">
        <v>43130</v>
      </c>
      <c r="N71" s="313">
        <v>43202</v>
      </c>
      <c r="O71" s="314">
        <v>43494</v>
      </c>
      <c r="P71" s="313"/>
      <c r="Q71" s="313"/>
      <c r="R71" s="313"/>
      <c r="S71" s="313"/>
      <c r="T71" s="313"/>
      <c r="U71" s="313"/>
      <c r="V71" s="313"/>
      <c r="W71" s="323">
        <f ca="1" t="shared" si="26"/>
        <v>221.61546296296</v>
      </c>
      <c r="X71" s="324" t="str">
        <f ca="1" t="shared" si="25"/>
        <v>ACTIVE</v>
      </c>
      <c r="Y71" s="333">
        <v>6250000</v>
      </c>
      <c r="Z71" s="333">
        <v>20000</v>
      </c>
      <c r="AA71" s="333">
        <v>750000</v>
      </c>
      <c r="AB71" s="333">
        <v>150000</v>
      </c>
      <c r="AC71" s="337"/>
      <c r="AD71" s="333"/>
      <c r="AE71" s="337"/>
      <c r="AF71" s="333"/>
      <c r="AG71" s="347" t="s">
        <v>113</v>
      </c>
      <c r="AH71" s="347">
        <v>400</v>
      </c>
      <c r="AI71" s="347"/>
      <c r="AJ71" s="301" t="s">
        <v>15300</v>
      </c>
      <c r="AK71" s="1625" t="s">
        <v>15301</v>
      </c>
      <c r="AL71" s="358" t="s">
        <v>15302</v>
      </c>
      <c r="AM71" s="358" t="s">
        <v>15303</v>
      </c>
      <c r="AN71" s="358" t="s">
        <v>15304</v>
      </c>
      <c r="AO71" s="358" t="s">
        <v>15305</v>
      </c>
      <c r="AP71" s="1625" t="s">
        <v>15306</v>
      </c>
      <c r="AQ71" s="149" t="s">
        <v>15307</v>
      </c>
      <c r="AR71" s="366"/>
      <c r="AS71" s="376" t="s">
        <v>14981</v>
      </c>
      <c r="AT71" s="377" t="e">
        <f>VLOOKUP(C71,[4]Sheet1!$B$6:$Y$67,23,0)</f>
        <v>#N/A</v>
      </c>
      <c r="AU71" s="378" t="e">
        <f>VLOOKUP(C71,[4]Sheet1!$B$6:$Y$67,24,0)</f>
        <v>#N/A</v>
      </c>
      <c r="AV71" s="378"/>
    </row>
    <row r="72" s="260" customFormat="1" ht="14.1" customHeight="1" spans="1:49">
      <c r="A72" s="1624" t="s">
        <v>777</v>
      </c>
      <c r="B72" s="1624" t="s">
        <v>15308</v>
      </c>
      <c r="C72" s="275" t="s">
        <v>15309</v>
      </c>
      <c r="D72" s="276" t="s">
        <v>15310</v>
      </c>
      <c r="E72" s="285"/>
      <c r="F72" s="286"/>
      <c r="G72" s="287" t="s">
        <v>43</v>
      </c>
      <c r="H72" s="289" t="s">
        <v>60</v>
      </c>
      <c r="I72" s="288" t="s">
        <v>3528</v>
      </c>
      <c r="J72" s="301" t="s">
        <v>15311</v>
      </c>
      <c r="K72" s="308" t="s">
        <v>15312</v>
      </c>
      <c r="L72" s="303">
        <v>42927</v>
      </c>
      <c r="M72" s="313">
        <v>43143</v>
      </c>
      <c r="N72" s="313">
        <v>43202</v>
      </c>
      <c r="O72" s="314">
        <v>43507</v>
      </c>
      <c r="P72" s="314" t="s">
        <v>604</v>
      </c>
      <c r="Q72" s="313"/>
      <c r="R72" s="313"/>
      <c r="S72" s="313"/>
      <c r="T72" s="313"/>
      <c r="U72" s="313"/>
      <c r="V72" s="313"/>
      <c r="W72" s="323">
        <f ca="1" t="shared" si="26"/>
        <v>234.61546296296</v>
      </c>
      <c r="X72" s="324" t="str">
        <f ca="1" t="shared" si="25"/>
        <v>ACTIVE</v>
      </c>
      <c r="Y72" s="338">
        <f>6500000*104%</f>
        <v>6760000</v>
      </c>
      <c r="Z72" s="337">
        <v>220000</v>
      </c>
      <c r="AA72" s="337"/>
      <c r="AB72" s="337"/>
      <c r="AC72" s="337"/>
      <c r="AD72" s="337"/>
      <c r="AE72" s="337"/>
      <c r="AF72" s="337"/>
      <c r="AG72" s="347" t="s">
        <v>113</v>
      </c>
      <c r="AH72" s="347">
        <v>400</v>
      </c>
      <c r="AI72" s="348" t="s">
        <v>15313</v>
      </c>
      <c r="AJ72" s="301" t="s">
        <v>15314</v>
      </c>
      <c r="AK72" s="1625" t="s">
        <v>15315</v>
      </c>
      <c r="AL72" s="358" t="s">
        <v>15316</v>
      </c>
      <c r="AM72" s="358" t="s">
        <v>15317</v>
      </c>
      <c r="AN72" s="358" t="s">
        <v>15318</v>
      </c>
      <c r="AO72" s="358" t="s">
        <v>15319</v>
      </c>
      <c r="AP72" s="1625" t="s">
        <v>15320</v>
      </c>
      <c r="AQ72" s="149" t="s">
        <v>15321</v>
      </c>
      <c r="AR72" s="366"/>
      <c r="AT72" s="377">
        <f>VLOOKUP(C72,[4]Sheet1!$B$6:$Y$67,23,0)</f>
        <v>4</v>
      </c>
      <c r="AU72" s="378">
        <f>VLOOKUP(C72,[4]Sheet1!$B$6:$Y$67,24,0)</f>
        <v>6760000</v>
      </c>
      <c r="AV72" s="378">
        <f t="shared" ref="AV72:AV80" si="27">Y72*104%</f>
        <v>7030400</v>
      </c>
      <c r="AW72" s="387">
        <f>AV72-AU72</f>
        <v>270400</v>
      </c>
    </row>
    <row r="73" s="260" customFormat="1" ht="14.1" customHeight="1" spans="1:48">
      <c r="A73" s="1624" t="s">
        <v>790</v>
      </c>
      <c r="B73" s="1624" t="s">
        <v>15322</v>
      </c>
      <c r="C73" s="275" t="s">
        <v>15323</v>
      </c>
      <c r="D73" s="276" t="s">
        <v>15324</v>
      </c>
      <c r="E73" s="285"/>
      <c r="F73" s="286"/>
      <c r="G73" s="287" t="s">
        <v>125</v>
      </c>
      <c r="H73" s="288" t="s">
        <v>44</v>
      </c>
      <c r="I73" s="288" t="s">
        <v>3528</v>
      </c>
      <c r="J73" s="301" t="s">
        <v>15325</v>
      </c>
      <c r="K73" s="308" t="s">
        <v>15326</v>
      </c>
      <c r="L73" s="303"/>
      <c r="M73" s="313">
        <v>43150</v>
      </c>
      <c r="N73" s="313">
        <v>43202</v>
      </c>
      <c r="O73" s="314">
        <v>43514</v>
      </c>
      <c r="P73" s="313"/>
      <c r="Q73" s="313"/>
      <c r="R73" s="313"/>
      <c r="S73" s="313"/>
      <c r="T73" s="313"/>
      <c r="U73" s="313"/>
      <c r="V73" s="313"/>
      <c r="W73" s="323">
        <f ca="1" t="shared" si="26"/>
        <v>241.61546296296</v>
      </c>
      <c r="X73" s="324" t="str">
        <f ca="1" t="shared" si="25"/>
        <v>ACTIVE</v>
      </c>
      <c r="Y73" s="337">
        <v>8250000</v>
      </c>
      <c r="Z73" s="337">
        <v>20000</v>
      </c>
      <c r="AA73" s="337">
        <v>750000</v>
      </c>
      <c r="AB73" s="337">
        <v>150000</v>
      </c>
      <c r="AC73" s="337"/>
      <c r="AD73" s="337"/>
      <c r="AE73" s="337"/>
      <c r="AF73" s="337"/>
      <c r="AG73" s="347" t="s">
        <v>113</v>
      </c>
      <c r="AH73" s="347">
        <v>400</v>
      </c>
      <c r="AI73" s="347"/>
      <c r="AJ73" s="301" t="s">
        <v>15327</v>
      </c>
      <c r="AK73" s="1625" t="s">
        <v>15328</v>
      </c>
      <c r="AL73" s="358" t="s">
        <v>15329</v>
      </c>
      <c r="AM73" s="358" t="s">
        <v>15330</v>
      </c>
      <c r="AN73" s="358" t="s">
        <v>15331</v>
      </c>
      <c r="AO73" s="358" t="s">
        <v>15332</v>
      </c>
      <c r="AP73" s="1625" t="s">
        <v>15333</v>
      </c>
      <c r="AQ73" s="149" t="s">
        <v>15334</v>
      </c>
      <c r="AR73" s="366"/>
      <c r="AT73" s="377" t="e">
        <f>VLOOKUP(C73,[4]Sheet1!$B$6:$Y$67,23,0)</f>
        <v>#N/A</v>
      </c>
      <c r="AU73" s="378" t="e">
        <f>VLOOKUP(C73,[4]Sheet1!$B$6:$Y$67,24,0)</f>
        <v>#N/A</v>
      </c>
      <c r="AV73" s="378"/>
    </row>
    <row r="74" s="261" customFormat="1" ht="14.1" customHeight="1" spans="1:48">
      <c r="A74" s="1626" t="s">
        <v>798</v>
      </c>
      <c r="B74" s="1626" t="s">
        <v>15335</v>
      </c>
      <c r="C74" s="278" t="s">
        <v>15336</v>
      </c>
      <c r="D74" s="279" t="s">
        <v>15337</v>
      </c>
      <c r="E74" s="290"/>
      <c r="F74" s="291"/>
      <c r="G74" s="292" t="s">
        <v>125</v>
      </c>
      <c r="H74" s="293" t="s">
        <v>44</v>
      </c>
      <c r="I74" s="293" t="s">
        <v>3528</v>
      </c>
      <c r="J74" s="306" t="s">
        <v>15338</v>
      </c>
      <c r="K74" s="86" t="s">
        <v>15339</v>
      </c>
      <c r="L74" s="395"/>
      <c r="M74" s="315">
        <v>43143</v>
      </c>
      <c r="N74" s="315">
        <v>43202</v>
      </c>
      <c r="O74" s="316">
        <v>43323</v>
      </c>
      <c r="P74" s="315"/>
      <c r="Q74" s="315"/>
      <c r="R74" s="315"/>
      <c r="S74" s="315"/>
      <c r="T74" s="315"/>
      <c r="U74" s="315"/>
      <c r="V74" s="315"/>
      <c r="W74" s="325">
        <f ca="1" t="shared" si="26"/>
        <v>50.61546296296</v>
      </c>
      <c r="X74" s="326" t="str">
        <f ca="1" t="shared" si="25"/>
        <v>ACTIVE</v>
      </c>
      <c r="Y74" s="342">
        <v>100000</v>
      </c>
      <c r="Z74" s="342"/>
      <c r="AA74" s="342"/>
      <c r="AB74" s="342"/>
      <c r="AC74" s="342"/>
      <c r="AD74" s="342"/>
      <c r="AE74" s="342"/>
      <c r="AF74" s="342"/>
      <c r="AG74" s="349" t="s">
        <v>112</v>
      </c>
      <c r="AH74" s="349" t="s">
        <v>112</v>
      </c>
      <c r="AI74" s="349"/>
      <c r="AJ74" s="306" t="s">
        <v>15340</v>
      </c>
      <c r="AK74" s="1628" t="s">
        <v>15341</v>
      </c>
      <c r="AL74" s="359" t="s">
        <v>15342</v>
      </c>
      <c r="AM74" s="359"/>
      <c r="AN74" s="359" t="s">
        <v>15343</v>
      </c>
      <c r="AO74" s="359"/>
      <c r="AP74" s="359"/>
      <c r="AQ74" s="86" t="s">
        <v>15344</v>
      </c>
      <c r="AR74" s="369" t="s">
        <v>15345</v>
      </c>
      <c r="AT74" s="385" t="e">
        <f>VLOOKUP(C74,[4]Sheet1!$B$6:$Y$67,23,0)</f>
        <v>#N/A</v>
      </c>
      <c r="AU74" s="386" t="e">
        <f>VLOOKUP(C74,[4]Sheet1!$B$6:$Y$67,24,0)</f>
        <v>#N/A</v>
      </c>
      <c r="AV74" s="386"/>
    </row>
    <row r="75" s="260" customFormat="1" ht="14.1" customHeight="1" spans="1:48">
      <c r="A75" s="1624" t="s">
        <v>806</v>
      </c>
      <c r="B75" s="1624" t="s">
        <v>15346</v>
      </c>
      <c r="C75" s="275" t="s">
        <v>15347</v>
      </c>
      <c r="D75" s="276" t="s">
        <v>15348</v>
      </c>
      <c r="E75" s="285"/>
      <c r="F75" s="286"/>
      <c r="G75" s="287" t="s">
        <v>125</v>
      </c>
      <c r="H75" s="288" t="s">
        <v>44</v>
      </c>
      <c r="I75" s="288" t="s">
        <v>3528</v>
      </c>
      <c r="J75" s="301" t="s">
        <v>15349</v>
      </c>
      <c r="K75" s="308" t="s">
        <v>15350</v>
      </c>
      <c r="L75" s="303"/>
      <c r="M75" s="313">
        <v>43164</v>
      </c>
      <c r="N75" s="313">
        <v>43202</v>
      </c>
      <c r="O75" s="314">
        <v>43528</v>
      </c>
      <c r="P75" s="313"/>
      <c r="Q75" s="313"/>
      <c r="R75" s="313"/>
      <c r="S75" s="313"/>
      <c r="T75" s="313"/>
      <c r="U75" s="313"/>
      <c r="V75" s="313"/>
      <c r="W75" s="323">
        <f ca="1" t="shared" si="26"/>
        <v>255.61546296296</v>
      </c>
      <c r="X75" s="324" t="str">
        <f ca="1" t="shared" ref="X75:X81" si="28">IF(W75&lt;=46,"WARNING","ACTIVE")</f>
        <v>ACTIVE</v>
      </c>
      <c r="Y75" s="337">
        <v>6500000</v>
      </c>
      <c r="Z75" s="337">
        <v>20000</v>
      </c>
      <c r="AA75" s="337">
        <v>750000</v>
      </c>
      <c r="AB75" s="337">
        <v>150000</v>
      </c>
      <c r="AC75" s="337"/>
      <c r="AD75" s="337"/>
      <c r="AE75" s="337"/>
      <c r="AF75" s="337"/>
      <c r="AG75" s="347" t="s">
        <v>113</v>
      </c>
      <c r="AH75" s="347">
        <v>400</v>
      </c>
      <c r="AI75" s="347"/>
      <c r="AJ75" s="301" t="s">
        <v>15351</v>
      </c>
      <c r="AK75" s="1625" t="s">
        <v>15352</v>
      </c>
      <c r="AL75" s="358" t="s">
        <v>15353</v>
      </c>
      <c r="AM75" s="358" t="s">
        <v>15354</v>
      </c>
      <c r="AN75" s="358" t="s">
        <v>15355</v>
      </c>
      <c r="AO75" s="358" t="s">
        <v>15356</v>
      </c>
      <c r="AP75" s="358"/>
      <c r="AQ75" s="149" t="s">
        <v>15357</v>
      </c>
      <c r="AR75" s="366"/>
      <c r="AT75" s="377" t="e">
        <f>VLOOKUP(C75,[4]Sheet1!$B$6:$Y$67,23,0)</f>
        <v>#N/A</v>
      </c>
      <c r="AU75" s="378" t="e">
        <f>VLOOKUP(C75,[4]Sheet1!$B$6:$Y$67,24,0)</f>
        <v>#N/A</v>
      </c>
      <c r="AV75" s="378"/>
    </row>
    <row r="76" s="260" customFormat="1" ht="14.1" customHeight="1" spans="1:48">
      <c r="A76" s="1624" t="s">
        <v>816</v>
      </c>
      <c r="B76" s="1624" t="s">
        <v>15358</v>
      </c>
      <c r="C76" s="275" t="s">
        <v>15359</v>
      </c>
      <c r="D76" s="276" t="s">
        <v>15360</v>
      </c>
      <c r="E76" s="285"/>
      <c r="F76" s="286"/>
      <c r="G76" s="287" t="s">
        <v>125</v>
      </c>
      <c r="H76" s="288" t="s">
        <v>44</v>
      </c>
      <c r="I76" s="288" t="s">
        <v>3528</v>
      </c>
      <c r="J76" s="301" t="s">
        <v>15361</v>
      </c>
      <c r="K76" s="308" t="s">
        <v>15362</v>
      </c>
      <c r="L76" s="303"/>
      <c r="M76" s="314">
        <v>43157</v>
      </c>
      <c r="N76" s="313">
        <v>43202</v>
      </c>
      <c r="O76" s="314">
        <v>43521</v>
      </c>
      <c r="P76" s="313"/>
      <c r="Q76" s="313"/>
      <c r="R76" s="313"/>
      <c r="S76" s="313"/>
      <c r="T76" s="313"/>
      <c r="U76" s="313"/>
      <c r="V76" s="313"/>
      <c r="W76" s="323">
        <f ca="1" t="shared" si="26"/>
        <v>248.61546296296</v>
      </c>
      <c r="X76" s="324" t="str">
        <f ca="1" t="shared" si="28"/>
        <v>ACTIVE</v>
      </c>
      <c r="Y76" s="333">
        <v>7000000</v>
      </c>
      <c r="Z76" s="333">
        <v>20000</v>
      </c>
      <c r="AA76" s="333">
        <v>750000</v>
      </c>
      <c r="AB76" s="333">
        <v>150000</v>
      </c>
      <c r="AC76" s="337"/>
      <c r="AD76" s="333"/>
      <c r="AE76" s="337"/>
      <c r="AF76" s="333"/>
      <c r="AG76" s="347" t="s">
        <v>4670</v>
      </c>
      <c r="AH76" s="347">
        <v>400</v>
      </c>
      <c r="AI76" s="347"/>
      <c r="AJ76" s="301" t="s">
        <v>15363</v>
      </c>
      <c r="AK76" s="1625" t="s">
        <v>15364</v>
      </c>
      <c r="AL76" s="358" t="s">
        <v>15365</v>
      </c>
      <c r="AM76" s="358" t="s">
        <v>15366</v>
      </c>
      <c r="AN76" s="358" t="s">
        <v>15367</v>
      </c>
      <c r="AO76" s="358" t="s">
        <v>15368</v>
      </c>
      <c r="AP76" s="1625" t="s">
        <v>15369</v>
      </c>
      <c r="AQ76" s="308" t="s">
        <v>15370</v>
      </c>
      <c r="AR76" s="366"/>
      <c r="AT76" s="377" t="e">
        <f>VLOOKUP(C76,[4]Sheet1!$B$6:$Y$67,23,0)</f>
        <v>#N/A</v>
      </c>
      <c r="AU76" s="378" t="e">
        <f>VLOOKUP(C76,[4]Sheet1!$B$6:$Y$67,24,0)</f>
        <v>#N/A</v>
      </c>
      <c r="AV76" s="378"/>
    </row>
    <row r="77" s="260" customFormat="1" ht="14.1" customHeight="1" spans="1:48">
      <c r="A77" s="1624" t="s">
        <v>828</v>
      </c>
      <c r="B77" s="1624" t="s">
        <v>15371</v>
      </c>
      <c r="C77" s="275" t="s">
        <v>15372</v>
      </c>
      <c r="D77" s="276" t="s">
        <v>15373</v>
      </c>
      <c r="E77" s="285"/>
      <c r="F77" s="286"/>
      <c r="G77" s="287" t="s">
        <v>43</v>
      </c>
      <c r="H77" s="288" t="s">
        <v>60</v>
      </c>
      <c r="I77" s="288" t="s">
        <v>3528</v>
      </c>
      <c r="J77" s="301" t="s">
        <v>15374</v>
      </c>
      <c r="K77" s="308" t="s">
        <v>15375</v>
      </c>
      <c r="L77" s="303"/>
      <c r="M77" s="313">
        <v>43185</v>
      </c>
      <c r="N77" s="313">
        <v>43549</v>
      </c>
      <c r="O77" s="313"/>
      <c r="P77" s="313"/>
      <c r="Q77" s="313"/>
      <c r="R77" s="313"/>
      <c r="S77" s="313"/>
      <c r="T77" s="313"/>
      <c r="U77" s="313"/>
      <c r="V77" s="313"/>
      <c r="W77" s="323">
        <f ca="1" t="shared" ref="W77:W81" si="29">SUM(N77-NOW())</f>
        <v>276.61546296296</v>
      </c>
      <c r="X77" s="324" t="str">
        <f ca="1" t="shared" si="28"/>
        <v>ACTIVE</v>
      </c>
      <c r="Y77" s="403">
        <v>5000000</v>
      </c>
      <c r="Z77" s="404">
        <v>20000</v>
      </c>
      <c r="AA77" s="403">
        <v>750000</v>
      </c>
      <c r="AB77" s="404">
        <v>150000</v>
      </c>
      <c r="AC77" s="337"/>
      <c r="AD77" s="333"/>
      <c r="AE77" s="337"/>
      <c r="AF77" s="333"/>
      <c r="AG77" s="347" t="s">
        <v>113</v>
      </c>
      <c r="AH77" s="347">
        <v>400</v>
      </c>
      <c r="AI77" s="347"/>
      <c r="AJ77" s="301" t="s">
        <v>15376</v>
      </c>
      <c r="AK77" s="1625" t="s">
        <v>15377</v>
      </c>
      <c r="AL77" s="358" t="s">
        <v>15378</v>
      </c>
      <c r="AM77" s="358" t="s">
        <v>15379</v>
      </c>
      <c r="AN77" s="358" t="s">
        <v>15380</v>
      </c>
      <c r="AO77" s="358" t="s">
        <v>15381</v>
      </c>
      <c r="AP77" s="1625" t="s">
        <v>15382</v>
      </c>
      <c r="AQ77" s="149" t="s">
        <v>15383</v>
      </c>
      <c r="AR77" s="366"/>
      <c r="AT77" s="377" t="e">
        <f>VLOOKUP(C77,[4]Sheet1!$B$6:$Y$67,23,0)</f>
        <v>#N/A</v>
      </c>
      <c r="AU77" s="378" t="e">
        <f>VLOOKUP(C77,[4]Sheet1!$B$6:$Y$67,24,0)</f>
        <v>#N/A</v>
      </c>
      <c r="AV77" s="378"/>
    </row>
    <row r="78" s="260" customFormat="1" ht="14.1" customHeight="1" spans="1:48">
      <c r="A78" s="1624" t="s">
        <v>837</v>
      </c>
      <c r="B78" s="1624" t="s">
        <v>15384</v>
      </c>
      <c r="C78" s="275" t="s">
        <v>15385</v>
      </c>
      <c r="D78" s="276" t="s">
        <v>15386</v>
      </c>
      <c r="E78" s="285"/>
      <c r="F78" s="286"/>
      <c r="G78" s="287" t="s">
        <v>125</v>
      </c>
      <c r="H78" s="288" t="s">
        <v>254</v>
      </c>
      <c r="I78" s="288" t="s">
        <v>3528</v>
      </c>
      <c r="J78" s="301" t="s">
        <v>15387</v>
      </c>
      <c r="K78" s="308" t="s">
        <v>15388</v>
      </c>
      <c r="L78" s="303"/>
      <c r="M78" s="313">
        <v>43182</v>
      </c>
      <c r="N78" s="313">
        <v>43546</v>
      </c>
      <c r="O78" s="313"/>
      <c r="P78" s="313"/>
      <c r="Q78" s="313"/>
      <c r="R78" s="313"/>
      <c r="S78" s="313"/>
      <c r="T78" s="313"/>
      <c r="U78" s="313"/>
      <c r="V78" s="313"/>
      <c r="W78" s="323">
        <f ca="1" t="shared" si="29"/>
        <v>273.61546296296</v>
      </c>
      <c r="X78" s="324" t="str">
        <f ca="1" t="shared" si="28"/>
        <v>ACTIVE</v>
      </c>
      <c r="Y78" s="403">
        <v>13000000</v>
      </c>
      <c r="Z78" s="404">
        <v>20000</v>
      </c>
      <c r="AA78" s="403">
        <v>1300000</v>
      </c>
      <c r="AB78" s="404">
        <v>150000</v>
      </c>
      <c r="AC78" s="337"/>
      <c r="AD78" s="333"/>
      <c r="AE78" s="337"/>
      <c r="AF78" s="333"/>
      <c r="AG78" s="347" t="s">
        <v>112</v>
      </c>
      <c r="AH78" s="347">
        <v>750</v>
      </c>
      <c r="AI78" s="347"/>
      <c r="AJ78" s="301" t="s">
        <v>15389</v>
      </c>
      <c r="AK78" s="1625" t="s">
        <v>15390</v>
      </c>
      <c r="AL78" s="358" t="s">
        <v>15391</v>
      </c>
      <c r="AM78" s="358" t="s">
        <v>15392</v>
      </c>
      <c r="AN78" s="358" t="s">
        <v>15393</v>
      </c>
      <c r="AO78" s="358"/>
      <c r="AP78" s="1625" t="s">
        <v>15394</v>
      </c>
      <c r="AQ78" s="149" t="s">
        <v>15395</v>
      </c>
      <c r="AR78" s="366"/>
      <c r="AT78" s="377" t="e">
        <f>VLOOKUP(C78,[4]Sheet1!$B$6:$Y$67,23,0)</f>
        <v>#N/A</v>
      </c>
      <c r="AU78" s="378" t="e">
        <f>VLOOKUP(C78,[4]Sheet1!$B$6:$Y$67,24,0)</f>
        <v>#N/A</v>
      </c>
      <c r="AV78" s="378"/>
    </row>
    <row r="79" s="260" customFormat="1" ht="14.1" customHeight="1" spans="1:48">
      <c r="A79" s="1624" t="s">
        <v>847</v>
      </c>
      <c r="B79" s="1624" t="s">
        <v>15396</v>
      </c>
      <c r="C79" s="275" t="s">
        <v>15397</v>
      </c>
      <c r="D79" s="276" t="s">
        <v>15398</v>
      </c>
      <c r="E79" s="285">
        <f>2018-1973</f>
        <v>45</v>
      </c>
      <c r="F79" s="286"/>
      <c r="G79" s="287" t="s">
        <v>43</v>
      </c>
      <c r="H79" s="288" t="s">
        <v>96</v>
      </c>
      <c r="I79" s="289" t="s">
        <v>15399</v>
      </c>
      <c r="J79" s="301" t="s">
        <v>15400</v>
      </c>
      <c r="K79" s="308" t="s">
        <v>15401</v>
      </c>
      <c r="L79" s="303"/>
      <c r="M79" s="313">
        <v>43179</v>
      </c>
      <c r="N79" s="313">
        <v>43543</v>
      </c>
      <c r="O79" s="313"/>
      <c r="P79" s="313"/>
      <c r="Q79" s="313"/>
      <c r="R79" s="313"/>
      <c r="S79" s="313"/>
      <c r="T79" s="313"/>
      <c r="U79" s="313"/>
      <c r="V79" s="313"/>
      <c r="W79" s="323">
        <f ca="1" t="shared" si="29"/>
        <v>270.61546296296</v>
      </c>
      <c r="X79" s="324" t="str">
        <f ca="1" t="shared" si="28"/>
        <v>ACTIVE</v>
      </c>
      <c r="Y79" s="403">
        <v>15000000</v>
      </c>
      <c r="Z79" s="403">
        <v>13500</v>
      </c>
      <c r="AA79" s="403">
        <v>1300000</v>
      </c>
      <c r="AB79" s="404">
        <v>150000</v>
      </c>
      <c r="AC79" s="337"/>
      <c r="AD79" s="333"/>
      <c r="AE79" s="337"/>
      <c r="AF79" s="333"/>
      <c r="AG79" s="347" t="s">
        <v>112</v>
      </c>
      <c r="AH79" s="347">
        <v>750</v>
      </c>
      <c r="AI79" s="347"/>
      <c r="AJ79" s="301" t="s">
        <v>15402</v>
      </c>
      <c r="AK79" s="1625" t="s">
        <v>15403</v>
      </c>
      <c r="AL79" s="358"/>
      <c r="AM79" s="358" t="s">
        <v>15404</v>
      </c>
      <c r="AN79" s="358" t="s">
        <v>15405</v>
      </c>
      <c r="AO79" s="358" t="s">
        <v>15406</v>
      </c>
      <c r="AP79" s="1625" t="s">
        <v>15407</v>
      </c>
      <c r="AQ79" s="149" t="s">
        <v>15408</v>
      </c>
      <c r="AR79" s="366"/>
      <c r="AT79" s="377" t="e">
        <f>VLOOKUP(C79,[4]Sheet1!$B$6:$Y$67,23,0)</f>
        <v>#N/A</v>
      </c>
      <c r="AU79" s="378" t="e">
        <f>VLOOKUP(C79,[4]Sheet1!$B$6:$Y$67,24,0)</f>
        <v>#N/A</v>
      </c>
      <c r="AV79" s="378"/>
    </row>
    <row r="80" s="260" customFormat="1" ht="14.1" customHeight="1" spans="1:49">
      <c r="A80" s="1624" t="s">
        <v>858</v>
      </c>
      <c r="B80" s="1624" t="s">
        <v>15409</v>
      </c>
      <c r="C80" s="275" t="s">
        <v>15410</v>
      </c>
      <c r="D80" s="276" t="s">
        <v>15411</v>
      </c>
      <c r="E80" s="285">
        <v>34</v>
      </c>
      <c r="F80" s="286" t="s">
        <v>15412</v>
      </c>
      <c r="G80" s="287" t="s">
        <v>43</v>
      </c>
      <c r="H80" s="288" t="s">
        <v>60</v>
      </c>
      <c r="I80" s="288" t="s">
        <v>3528</v>
      </c>
      <c r="J80" s="301" t="s">
        <v>15413</v>
      </c>
      <c r="K80" s="305" t="s">
        <v>15414</v>
      </c>
      <c r="L80" s="303">
        <v>42002</v>
      </c>
      <c r="M80" s="313">
        <v>43160</v>
      </c>
      <c r="N80" s="313">
        <v>43524</v>
      </c>
      <c r="O80" s="314" t="s">
        <v>604</v>
      </c>
      <c r="P80" s="313"/>
      <c r="Q80" s="313"/>
      <c r="R80" s="313"/>
      <c r="S80" s="313"/>
      <c r="T80" s="313"/>
      <c r="U80" s="313"/>
      <c r="V80" s="313"/>
      <c r="W80" s="323">
        <f ca="1" t="shared" si="29"/>
        <v>251.61546296296</v>
      </c>
      <c r="X80" s="324" t="str">
        <f ca="1" t="shared" si="28"/>
        <v>ACTIVE</v>
      </c>
      <c r="Y80" s="332">
        <f>8050000*104%</f>
        <v>8372000</v>
      </c>
      <c r="Z80" s="333">
        <v>220000</v>
      </c>
      <c r="AA80" s="333"/>
      <c r="AB80" s="333"/>
      <c r="AC80" s="333"/>
      <c r="AD80" s="333"/>
      <c r="AE80" s="333"/>
      <c r="AF80" s="333"/>
      <c r="AG80" s="347" t="s">
        <v>48</v>
      </c>
      <c r="AH80" s="347">
        <v>400</v>
      </c>
      <c r="AI80" s="348" t="s">
        <v>15415</v>
      </c>
      <c r="AJ80" s="301" t="s">
        <v>15416</v>
      </c>
      <c r="AK80" s="1625" t="s">
        <v>15417</v>
      </c>
      <c r="AL80" s="358" t="s">
        <v>15418</v>
      </c>
      <c r="AM80" s="358" t="s">
        <v>15419</v>
      </c>
      <c r="AN80" s="358" t="s">
        <v>15420</v>
      </c>
      <c r="AO80" s="358">
        <v>13000418791</v>
      </c>
      <c r="AP80" s="1625" t="s">
        <v>15421</v>
      </c>
      <c r="AQ80" s="370" t="s">
        <v>15422</v>
      </c>
      <c r="AR80" s="366"/>
      <c r="AT80" s="377">
        <f>VLOOKUP(C80,[4]Sheet1!$B$6:$Y$67,23,0)</f>
        <v>4</v>
      </c>
      <c r="AU80" s="378">
        <f>VLOOKUP(C80,[4]Sheet1!$B$6:$Y$67,24,0)</f>
        <v>8372000</v>
      </c>
      <c r="AV80" s="378">
        <f t="shared" si="27"/>
        <v>8706880</v>
      </c>
      <c r="AW80" s="387">
        <f>AV80-AU80</f>
        <v>334880</v>
      </c>
    </row>
    <row r="81" s="260" customFormat="1" ht="14.1" customHeight="1" spans="1:48">
      <c r="A81" s="1624" t="s">
        <v>866</v>
      </c>
      <c r="B81" s="1624" t="s">
        <v>15423</v>
      </c>
      <c r="C81" s="275" t="s">
        <v>15424</v>
      </c>
      <c r="D81" s="276" t="s">
        <v>15425</v>
      </c>
      <c r="E81" s="285"/>
      <c r="F81" s="286"/>
      <c r="G81" s="287" t="s">
        <v>43</v>
      </c>
      <c r="H81" s="288" t="s">
        <v>254</v>
      </c>
      <c r="I81" s="288" t="s">
        <v>3528</v>
      </c>
      <c r="J81" s="301" t="s">
        <v>15426</v>
      </c>
      <c r="K81" s="304" t="s">
        <v>15427</v>
      </c>
      <c r="L81" s="303"/>
      <c r="M81" s="313">
        <v>43185</v>
      </c>
      <c r="N81" s="313">
        <v>43549</v>
      </c>
      <c r="O81" s="313"/>
      <c r="P81" s="313"/>
      <c r="Q81" s="313"/>
      <c r="R81" s="313"/>
      <c r="S81" s="313"/>
      <c r="T81" s="313"/>
      <c r="U81" s="313"/>
      <c r="V81" s="313"/>
      <c r="W81" s="323">
        <f ca="1" t="shared" si="29"/>
        <v>276.61546296296</v>
      </c>
      <c r="X81" s="324" t="str">
        <f ca="1" t="shared" si="28"/>
        <v>ACTIVE</v>
      </c>
      <c r="Y81" s="333">
        <v>5300000</v>
      </c>
      <c r="Z81" s="333">
        <v>20000</v>
      </c>
      <c r="AA81" s="333">
        <v>750000</v>
      </c>
      <c r="AB81" s="333">
        <v>150000</v>
      </c>
      <c r="AC81" s="333"/>
      <c r="AD81" s="333"/>
      <c r="AE81" s="333"/>
      <c r="AF81" s="333"/>
      <c r="AG81" s="347" t="s">
        <v>48</v>
      </c>
      <c r="AH81" s="347">
        <v>400</v>
      </c>
      <c r="AI81" s="347"/>
      <c r="AJ81" s="301" t="s">
        <v>15428</v>
      </c>
      <c r="AK81" s="358"/>
      <c r="AL81" s="358" t="s">
        <v>15429</v>
      </c>
      <c r="AM81" s="358" t="s">
        <v>15430</v>
      </c>
      <c r="AN81" s="358" t="s">
        <v>15431</v>
      </c>
      <c r="AO81" s="358" t="s">
        <v>15432</v>
      </c>
      <c r="AP81" s="1625" t="s">
        <v>15433</v>
      </c>
      <c r="AQ81" s="370"/>
      <c r="AR81" s="366"/>
      <c r="AT81" s="377" t="e">
        <f>VLOOKUP(C81,[4]Sheet1!$B$6:$Y$67,23,0)</f>
        <v>#N/A</v>
      </c>
      <c r="AU81" s="378" t="e">
        <f>VLOOKUP(C81,[4]Sheet1!$B$6:$Y$67,24,0)</f>
        <v>#N/A</v>
      </c>
      <c r="AV81" s="378"/>
    </row>
    <row r="82" s="260" customFormat="1" ht="14.1" customHeight="1" spans="1:48">
      <c r="A82" s="1624" t="s">
        <v>876</v>
      </c>
      <c r="B82" s="1624" t="s">
        <v>15434</v>
      </c>
      <c r="C82" s="275" t="s">
        <v>15435</v>
      </c>
      <c r="D82" s="276" t="s">
        <v>15436</v>
      </c>
      <c r="E82" s="285">
        <v>28</v>
      </c>
      <c r="F82" s="286" t="s">
        <v>15437</v>
      </c>
      <c r="G82" s="287" t="s">
        <v>125</v>
      </c>
      <c r="H82" s="288" t="s">
        <v>44</v>
      </c>
      <c r="I82" s="288" t="s">
        <v>3528</v>
      </c>
      <c r="J82" s="301" t="s">
        <v>15438</v>
      </c>
      <c r="K82" s="304" t="s">
        <v>15439</v>
      </c>
      <c r="L82" s="303"/>
      <c r="M82" s="313">
        <v>43199</v>
      </c>
      <c r="N82" s="313">
        <v>43563</v>
      </c>
      <c r="O82" s="313" t="s">
        <v>583</v>
      </c>
      <c r="P82" s="313" t="s">
        <v>583</v>
      </c>
      <c r="Q82" s="313"/>
      <c r="R82" s="313"/>
      <c r="S82" s="313"/>
      <c r="T82" s="313"/>
      <c r="U82" s="313"/>
      <c r="V82" s="313"/>
      <c r="W82" s="323">
        <f ca="1" t="shared" ref="W82:W85" si="30">SUM(N82-NOW())</f>
        <v>290.61546296296</v>
      </c>
      <c r="X82" s="324" t="str">
        <f ca="1" t="shared" ref="X82:X86" si="31">IF(W82&lt;=46,"WARNING","ACTIVE")</f>
        <v>ACTIVE</v>
      </c>
      <c r="Y82" s="333">
        <v>8000000</v>
      </c>
      <c r="Z82" s="333">
        <v>20000</v>
      </c>
      <c r="AA82" s="333">
        <v>750000</v>
      </c>
      <c r="AB82" s="333">
        <v>150000</v>
      </c>
      <c r="AC82" s="333"/>
      <c r="AD82" s="333"/>
      <c r="AE82" s="333"/>
      <c r="AF82" s="333"/>
      <c r="AG82" s="347" t="s">
        <v>48</v>
      </c>
      <c r="AH82" s="347">
        <v>400</v>
      </c>
      <c r="AI82" s="347"/>
      <c r="AJ82" s="301" t="s">
        <v>15440</v>
      </c>
      <c r="AK82" s="1625" t="s">
        <v>15441</v>
      </c>
      <c r="AL82" s="358" t="s">
        <v>15442</v>
      </c>
      <c r="AM82" s="1625" t="s">
        <v>15443</v>
      </c>
      <c r="AN82" s="1625" t="s">
        <v>15444</v>
      </c>
      <c r="AO82" s="358"/>
      <c r="AP82" s="358"/>
      <c r="AQ82" s="149" t="s">
        <v>15445</v>
      </c>
      <c r="AR82" s="366"/>
      <c r="AT82" s="377" t="e">
        <f>VLOOKUP(C82,[4]Sheet1!$B$6:$Y$67,23,0)</f>
        <v>#N/A</v>
      </c>
      <c r="AU82" s="378" t="e">
        <f>VLOOKUP(C82,[4]Sheet1!$B$6:$Y$67,24,0)</f>
        <v>#N/A</v>
      </c>
      <c r="AV82" s="378"/>
    </row>
    <row r="83" s="260" customFormat="1" ht="14.1" customHeight="1" spans="1:48">
      <c r="A83" s="1624" t="s">
        <v>888</v>
      </c>
      <c r="B83" s="1624" t="s">
        <v>15446</v>
      </c>
      <c r="C83" s="275" t="s">
        <v>15447</v>
      </c>
      <c r="D83" s="276" t="s">
        <v>15448</v>
      </c>
      <c r="E83" s="285">
        <v>30</v>
      </c>
      <c r="F83" s="286" t="s">
        <v>15449</v>
      </c>
      <c r="G83" s="287" t="s">
        <v>125</v>
      </c>
      <c r="H83" s="288" t="s">
        <v>44</v>
      </c>
      <c r="I83" s="288" t="s">
        <v>3528</v>
      </c>
      <c r="J83" s="301" t="s">
        <v>15450</v>
      </c>
      <c r="K83" s="304" t="s">
        <v>15451</v>
      </c>
      <c r="L83" s="303"/>
      <c r="M83" s="314">
        <v>43248</v>
      </c>
      <c r="N83" s="313">
        <v>43933</v>
      </c>
      <c r="O83" s="314">
        <v>43978</v>
      </c>
      <c r="P83" s="313" t="s">
        <v>583</v>
      </c>
      <c r="Q83" s="313"/>
      <c r="R83" s="313"/>
      <c r="S83" s="313"/>
      <c r="T83" s="313"/>
      <c r="U83" s="313"/>
      <c r="V83" s="313"/>
      <c r="W83" s="323">
        <f ca="1" t="shared" si="30"/>
        <v>660.61546296296</v>
      </c>
      <c r="X83" s="324" t="str">
        <f ca="1" t="shared" si="31"/>
        <v>ACTIVE</v>
      </c>
      <c r="Y83" s="333">
        <v>10500000</v>
      </c>
      <c r="Z83" s="333">
        <v>20000</v>
      </c>
      <c r="AA83" s="333">
        <v>750000</v>
      </c>
      <c r="AB83" s="333">
        <v>150000</v>
      </c>
      <c r="AC83" s="333"/>
      <c r="AD83" s="333"/>
      <c r="AE83" s="333"/>
      <c r="AF83" s="333"/>
      <c r="AG83" s="347" t="s">
        <v>48</v>
      </c>
      <c r="AH83" s="347">
        <v>750</v>
      </c>
      <c r="AI83" s="347"/>
      <c r="AJ83" s="301" t="s">
        <v>15452</v>
      </c>
      <c r="AK83" s="1625" t="s">
        <v>15453</v>
      </c>
      <c r="AL83" s="358" t="s">
        <v>15454</v>
      </c>
      <c r="AM83" s="358" t="s">
        <v>15455</v>
      </c>
      <c r="AN83" s="1625" t="s">
        <v>15456</v>
      </c>
      <c r="AO83" s="1625" t="s">
        <v>15457</v>
      </c>
      <c r="AP83" s="1625" t="s">
        <v>15458</v>
      </c>
      <c r="AQ83" s="149" t="s">
        <v>15459</v>
      </c>
      <c r="AR83" s="366"/>
      <c r="AT83" s="377" t="e">
        <f>VLOOKUP(C83,[4]Sheet1!$B$6:$Y$67,23,0)</f>
        <v>#N/A</v>
      </c>
      <c r="AU83" s="378" t="e">
        <f>VLOOKUP(C83,[4]Sheet1!$B$6:$Y$67,24,0)</f>
        <v>#N/A</v>
      </c>
      <c r="AV83" s="378"/>
    </row>
    <row r="84" s="260" customFormat="1" ht="14.1" customHeight="1" spans="1:48">
      <c r="A84" s="1624" t="s">
        <v>899</v>
      </c>
      <c r="B84" s="1624" t="s">
        <v>15460</v>
      </c>
      <c r="C84" s="275" t="s">
        <v>15461</v>
      </c>
      <c r="D84" s="276" t="s">
        <v>15462</v>
      </c>
      <c r="E84" s="285">
        <v>29</v>
      </c>
      <c r="F84" s="286" t="s">
        <v>15463</v>
      </c>
      <c r="G84" s="287" t="s">
        <v>125</v>
      </c>
      <c r="H84" s="288" t="s">
        <v>404</v>
      </c>
      <c r="I84" s="288" t="s">
        <v>3528</v>
      </c>
      <c r="J84" s="301" t="s">
        <v>15464</v>
      </c>
      <c r="K84" s="304" t="s">
        <v>15025</v>
      </c>
      <c r="L84" s="303"/>
      <c r="M84" s="313">
        <v>43199</v>
      </c>
      <c r="N84" s="313">
        <v>43746</v>
      </c>
      <c r="O84" s="313" t="s">
        <v>583</v>
      </c>
      <c r="P84" s="313" t="s">
        <v>583</v>
      </c>
      <c r="Q84" s="313"/>
      <c r="R84" s="313"/>
      <c r="S84" s="313"/>
      <c r="T84" s="313"/>
      <c r="U84" s="313"/>
      <c r="V84" s="313"/>
      <c r="W84" s="323">
        <f ca="1" t="shared" si="30"/>
        <v>473.61546296296</v>
      </c>
      <c r="X84" s="324" t="str">
        <f ca="1" t="shared" si="31"/>
        <v>ACTIVE</v>
      </c>
      <c r="Y84" s="333">
        <v>18000000</v>
      </c>
      <c r="Z84" s="333">
        <v>20000</v>
      </c>
      <c r="AA84" s="333">
        <v>1300000</v>
      </c>
      <c r="AB84" s="333">
        <v>150000</v>
      </c>
      <c r="AC84" s="333"/>
      <c r="AD84" s="333"/>
      <c r="AE84" s="333"/>
      <c r="AF84" s="333"/>
      <c r="AG84" s="347" t="s">
        <v>112</v>
      </c>
      <c r="AH84" s="347">
        <v>750</v>
      </c>
      <c r="AI84" s="347"/>
      <c r="AJ84" s="301" t="s">
        <v>15465</v>
      </c>
      <c r="AK84" s="1625" t="s">
        <v>15466</v>
      </c>
      <c r="AL84" s="358" t="s">
        <v>15467</v>
      </c>
      <c r="AM84" s="358" t="s">
        <v>15468</v>
      </c>
      <c r="AN84" s="358" t="s">
        <v>15469</v>
      </c>
      <c r="AO84" s="358"/>
      <c r="AP84" s="1625" t="s">
        <v>15470</v>
      </c>
      <c r="AQ84" s="149" t="s">
        <v>15471</v>
      </c>
      <c r="AR84" s="366"/>
      <c r="AT84" s="377" t="e">
        <f>VLOOKUP(C84,[4]Sheet1!$B$6:$Y$67,23,0)</f>
        <v>#N/A</v>
      </c>
      <c r="AU84" s="378" t="e">
        <f>VLOOKUP(C84,[4]Sheet1!$B$6:$Y$67,24,0)</f>
        <v>#N/A</v>
      </c>
      <c r="AV84" s="378"/>
    </row>
    <row r="85" s="260" customFormat="1" ht="14.1" customHeight="1" spans="1:48">
      <c r="A85" s="1624" t="s">
        <v>908</v>
      </c>
      <c r="B85" s="1624" t="s">
        <v>15472</v>
      </c>
      <c r="C85" s="275" t="s">
        <v>15473</v>
      </c>
      <c r="D85" s="276" t="s">
        <v>15474</v>
      </c>
      <c r="E85" s="285">
        <f>2018-1985</f>
        <v>33</v>
      </c>
      <c r="F85" s="286" t="s">
        <v>15475</v>
      </c>
      <c r="G85" s="287" t="s">
        <v>125</v>
      </c>
      <c r="H85" s="288" t="s">
        <v>404</v>
      </c>
      <c r="I85" s="288" t="s">
        <v>3528</v>
      </c>
      <c r="J85" s="301" t="s">
        <v>11843</v>
      </c>
      <c r="K85" s="304" t="s">
        <v>14931</v>
      </c>
      <c r="L85" s="303">
        <v>42373</v>
      </c>
      <c r="M85" s="313">
        <v>43191</v>
      </c>
      <c r="N85" s="313">
        <v>43555</v>
      </c>
      <c r="O85" s="314" t="s">
        <v>604</v>
      </c>
      <c r="P85" s="313"/>
      <c r="Q85" s="313"/>
      <c r="R85" s="313"/>
      <c r="S85" s="313"/>
      <c r="T85" s="313"/>
      <c r="U85" s="313"/>
      <c r="V85" s="313"/>
      <c r="W85" s="323">
        <f ca="1" t="shared" si="30"/>
        <v>282.61546296296</v>
      </c>
      <c r="X85" s="324" t="str">
        <f ca="1" t="shared" si="31"/>
        <v>ACTIVE</v>
      </c>
      <c r="Y85" s="332">
        <v>7800000</v>
      </c>
      <c r="Z85" s="333" t="s">
        <v>583</v>
      </c>
      <c r="AA85" s="333">
        <v>220000</v>
      </c>
      <c r="AB85" s="333"/>
      <c r="AC85" s="333" t="s">
        <v>583</v>
      </c>
      <c r="AD85" s="333" t="s">
        <v>583</v>
      </c>
      <c r="AE85" s="333"/>
      <c r="AF85" s="333"/>
      <c r="AG85" s="347" t="s">
        <v>48</v>
      </c>
      <c r="AH85" s="347">
        <v>400</v>
      </c>
      <c r="AI85" s="348" t="s">
        <v>15476</v>
      </c>
      <c r="AJ85" s="301" t="s">
        <v>15477</v>
      </c>
      <c r="AK85" s="1625" t="s">
        <v>15478</v>
      </c>
      <c r="AL85" s="1625" t="s">
        <v>15479</v>
      </c>
      <c r="AM85" s="358" t="s">
        <v>15480</v>
      </c>
      <c r="AN85" s="1625" t="s">
        <v>15481</v>
      </c>
      <c r="AO85" s="1625" t="s">
        <v>15482</v>
      </c>
      <c r="AP85" s="358"/>
      <c r="AQ85" s="149" t="s">
        <v>15483</v>
      </c>
      <c r="AR85" s="366"/>
      <c r="AT85" s="377" t="e">
        <f>VLOOKUP(C85,[4]Sheet1!$B$6:$Y$67,23,0)</f>
        <v>#N/A</v>
      </c>
      <c r="AU85" s="378" t="e">
        <f>VLOOKUP(C85,[4]Sheet1!$B$6:$Y$67,24,0)</f>
        <v>#N/A</v>
      </c>
      <c r="AV85" s="378"/>
    </row>
    <row r="86" s="261" customFormat="1" ht="14.1" customHeight="1" spans="1:48">
      <c r="A86" s="1626" t="s">
        <v>916</v>
      </c>
      <c r="B86" s="1626" t="s">
        <v>15484</v>
      </c>
      <c r="C86" s="278" t="s">
        <v>15485</v>
      </c>
      <c r="D86" s="279" t="s">
        <v>15486</v>
      </c>
      <c r="E86" s="290">
        <f>2018-1995</f>
        <v>23</v>
      </c>
      <c r="F86" s="291"/>
      <c r="G86" s="292" t="s">
        <v>125</v>
      </c>
      <c r="H86" s="293" t="s">
        <v>44</v>
      </c>
      <c r="I86" s="293" t="s">
        <v>3528</v>
      </c>
      <c r="J86" s="396" t="s">
        <v>15487</v>
      </c>
      <c r="K86" s="397" t="s">
        <v>15488</v>
      </c>
      <c r="L86" s="303"/>
      <c r="M86" s="315">
        <v>43206</v>
      </c>
      <c r="N86" s="315">
        <v>43296</v>
      </c>
      <c r="O86" s="315"/>
      <c r="P86" s="315"/>
      <c r="Q86" s="315"/>
      <c r="R86" s="315"/>
      <c r="S86" s="315"/>
      <c r="T86" s="315"/>
      <c r="U86" s="315"/>
      <c r="V86" s="315"/>
      <c r="W86" s="325">
        <f ca="1" t="shared" ref="W86:W91" si="32">SUM(N86-NOW())</f>
        <v>23.61546296296</v>
      </c>
      <c r="X86" s="326" t="str">
        <f ca="1" t="shared" si="31"/>
        <v>WARNING</v>
      </c>
      <c r="Y86" s="335">
        <v>100000</v>
      </c>
      <c r="Z86" s="335" t="s">
        <v>583</v>
      </c>
      <c r="AA86" s="335" t="s">
        <v>583</v>
      </c>
      <c r="AB86" s="335" t="s">
        <v>583</v>
      </c>
      <c r="AC86" s="335" t="s">
        <v>583</v>
      </c>
      <c r="AD86" s="335" t="s">
        <v>583</v>
      </c>
      <c r="AE86" s="335"/>
      <c r="AF86" s="335"/>
      <c r="AG86" s="349" t="s">
        <v>0</v>
      </c>
      <c r="AH86" s="349" t="s">
        <v>0</v>
      </c>
      <c r="AI86" s="349"/>
      <c r="AJ86" s="306" t="s">
        <v>15489</v>
      </c>
      <c r="AK86" s="1628" t="s">
        <v>15490</v>
      </c>
      <c r="AL86" s="359" t="s">
        <v>15491</v>
      </c>
      <c r="AM86" s="359"/>
      <c r="AN86" s="1628" t="s">
        <v>15492</v>
      </c>
      <c r="AO86" s="359"/>
      <c r="AP86" s="359"/>
      <c r="AQ86" s="86" t="s">
        <v>15493</v>
      </c>
      <c r="AR86" s="369" t="s">
        <v>14739</v>
      </c>
      <c r="AT86" s="385" t="e">
        <f>VLOOKUP(C86,[4]Sheet1!$B$6:$Y$67,23,0)</f>
        <v>#N/A</v>
      </c>
      <c r="AU86" s="386" t="e">
        <f>VLOOKUP(C86,[4]Sheet1!$B$6:$Y$67,24,0)</f>
        <v>#N/A</v>
      </c>
      <c r="AV86" s="386"/>
    </row>
    <row r="87" s="260" customFormat="1" ht="14.1" customHeight="1" spans="1:48">
      <c r="A87" s="1624" t="s">
        <v>926</v>
      </c>
      <c r="B87" s="1624" t="s">
        <v>15494</v>
      </c>
      <c r="C87" s="275" t="s">
        <v>15495</v>
      </c>
      <c r="D87" s="276" t="s">
        <v>15496</v>
      </c>
      <c r="E87" s="285">
        <f>2018-1985</f>
        <v>33</v>
      </c>
      <c r="F87" s="286" t="s">
        <v>15497</v>
      </c>
      <c r="G87" s="287" t="s">
        <v>125</v>
      </c>
      <c r="H87" s="288" t="s">
        <v>44</v>
      </c>
      <c r="I87" s="288" t="s">
        <v>3528</v>
      </c>
      <c r="J87" s="301" t="s">
        <v>15498</v>
      </c>
      <c r="K87" s="304" t="s">
        <v>14518</v>
      </c>
      <c r="L87" s="303"/>
      <c r="M87" s="313">
        <v>43222</v>
      </c>
      <c r="N87" s="313">
        <v>43586</v>
      </c>
      <c r="O87" s="313"/>
      <c r="P87" s="313"/>
      <c r="Q87" s="313"/>
      <c r="R87" s="313"/>
      <c r="S87" s="313"/>
      <c r="T87" s="313"/>
      <c r="U87" s="313"/>
      <c r="V87" s="313"/>
      <c r="W87" s="323">
        <f ca="1" t="shared" si="32"/>
        <v>313.61546296296</v>
      </c>
      <c r="X87" s="324" t="str">
        <f ca="1" t="shared" ref="X87:X91" si="33">IF(W87&lt;=46,"WARNING","ACTIVE")</f>
        <v>ACTIVE</v>
      </c>
      <c r="Y87" s="333">
        <v>8500000</v>
      </c>
      <c r="Z87" s="333">
        <v>20000</v>
      </c>
      <c r="AA87" s="333">
        <v>750000</v>
      </c>
      <c r="AB87" s="333">
        <v>150000</v>
      </c>
      <c r="AC87" s="333"/>
      <c r="AD87" s="333" t="s">
        <v>583</v>
      </c>
      <c r="AE87" s="333"/>
      <c r="AF87" s="333"/>
      <c r="AG87" s="347" t="s">
        <v>48</v>
      </c>
      <c r="AH87" s="348">
        <v>400</v>
      </c>
      <c r="AI87" s="347"/>
      <c r="AJ87" s="301" t="s">
        <v>15499</v>
      </c>
      <c r="AK87" s="1625" t="s">
        <v>15500</v>
      </c>
      <c r="AL87" s="358" t="s">
        <v>15501</v>
      </c>
      <c r="AM87" s="358" t="s">
        <v>15502</v>
      </c>
      <c r="AN87" s="1625" t="s">
        <v>15503</v>
      </c>
      <c r="AO87" s="358"/>
      <c r="AP87" s="358"/>
      <c r="AQ87" s="149" t="s">
        <v>15504</v>
      </c>
      <c r="AR87" s="366"/>
      <c r="AT87" s="377" t="e">
        <f>VLOOKUP(C87,[4]Sheet1!$B$6:$Y$67,23,0)</f>
        <v>#N/A</v>
      </c>
      <c r="AU87" s="378" t="e">
        <f>VLOOKUP(C87,[4]Sheet1!$B$6:$Y$67,24,0)</f>
        <v>#N/A</v>
      </c>
      <c r="AV87" s="378"/>
    </row>
    <row r="88" s="260" customFormat="1" ht="14.1" customHeight="1" spans="1:48">
      <c r="A88" s="1624" t="s">
        <v>940</v>
      </c>
      <c r="B88" s="1624" t="s">
        <v>15505</v>
      </c>
      <c r="C88" s="275" t="s">
        <v>15506</v>
      </c>
      <c r="D88" s="276" t="s">
        <v>15507</v>
      </c>
      <c r="E88" s="285">
        <f>2018-1995</f>
        <v>23</v>
      </c>
      <c r="F88" s="286" t="s">
        <v>14455</v>
      </c>
      <c r="G88" s="287" t="s">
        <v>125</v>
      </c>
      <c r="H88" s="288" t="s">
        <v>44</v>
      </c>
      <c r="I88" s="288" t="s">
        <v>3528</v>
      </c>
      <c r="J88" s="301" t="s">
        <v>15508</v>
      </c>
      <c r="K88" s="304" t="s">
        <v>15509</v>
      </c>
      <c r="L88" s="303"/>
      <c r="M88" s="313">
        <v>43203</v>
      </c>
      <c r="N88" s="313">
        <v>43385</v>
      </c>
      <c r="O88" s="313"/>
      <c r="P88" s="313"/>
      <c r="Q88" s="313"/>
      <c r="R88" s="313"/>
      <c r="S88" s="313"/>
      <c r="T88" s="313"/>
      <c r="U88" s="313"/>
      <c r="V88" s="313"/>
      <c r="W88" s="323">
        <f ca="1" t="shared" si="32"/>
        <v>112.61546296296</v>
      </c>
      <c r="X88" s="324" t="str">
        <f ca="1" t="shared" si="33"/>
        <v>ACTIVE</v>
      </c>
      <c r="Y88" s="333">
        <v>4500000</v>
      </c>
      <c r="Z88" s="333"/>
      <c r="AA88" s="333"/>
      <c r="AB88" s="333"/>
      <c r="AC88" s="333"/>
      <c r="AD88" s="333"/>
      <c r="AE88" s="333"/>
      <c r="AF88" s="333"/>
      <c r="AG88" s="347" t="s">
        <v>48</v>
      </c>
      <c r="AH88" s="347">
        <v>400</v>
      </c>
      <c r="AI88" s="347"/>
      <c r="AJ88" s="301" t="s">
        <v>15510</v>
      </c>
      <c r="AK88" s="1625" t="s">
        <v>15511</v>
      </c>
      <c r="AL88" s="358" t="s">
        <v>15512</v>
      </c>
      <c r="AM88" s="358"/>
      <c r="AN88" s="1625" t="s">
        <v>15513</v>
      </c>
      <c r="AO88" s="358"/>
      <c r="AP88" s="358"/>
      <c r="AQ88" s="149" t="s">
        <v>15514</v>
      </c>
      <c r="AR88" s="366"/>
      <c r="AS88" s="260" t="s">
        <v>15515</v>
      </c>
      <c r="AT88" s="260" t="e">
        <v>#N/A</v>
      </c>
      <c r="AU88" s="270" t="e">
        <v>#N/A</v>
      </c>
      <c r="AV88" s="270"/>
    </row>
    <row r="89" s="260" customFormat="1" ht="14.1" customHeight="1" spans="1:48">
      <c r="A89" s="1624" t="s">
        <v>949</v>
      </c>
      <c r="B89" s="1624" t="s">
        <v>15516</v>
      </c>
      <c r="C89" s="275" t="s">
        <v>15517</v>
      </c>
      <c r="D89" s="276" t="s">
        <v>15518</v>
      </c>
      <c r="E89" s="285">
        <f>2018-1992</f>
        <v>26</v>
      </c>
      <c r="F89" s="286" t="s">
        <v>15519</v>
      </c>
      <c r="G89" s="287" t="s">
        <v>43</v>
      </c>
      <c r="H89" s="288" t="s">
        <v>60</v>
      </c>
      <c r="I89" s="288" t="s">
        <v>3719</v>
      </c>
      <c r="J89" s="301" t="s">
        <v>15520</v>
      </c>
      <c r="K89" s="304" t="s">
        <v>15401</v>
      </c>
      <c r="L89" s="303"/>
      <c r="M89" s="313">
        <v>43207</v>
      </c>
      <c r="N89" s="313">
        <v>43571</v>
      </c>
      <c r="O89" s="313"/>
      <c r="P89" s="313" t="s">
        <v>583</v>
      </c>
      <c r="Q89" s="313"/>
      <c r="R89" s="313"/>
      <c r="S89" s="313"/>
      <c r="T89" s="313"/>
      <c r="U89" s="313"/>
      <c r="V89" s="313"/>
      <c r="W89" s="323">
        <f ca="1" t="shared" si="32"/>
        <v>298.61546296296</v>
      </c>
      <c r="X89" s="324" t="str">
        <f ca="1" t="shared" si="33"/>
        <v>ACTIVE</v>
      </c>
      <c r="Y89" s="333">
        <v>12500000</v>
      </c>
      <c r="Z89" s="333">
        <v>15000</v>
      </c>
      <c r="AA89" s="333">
        <v>1300000</v>
      </c>
      <c r="AB89" s="333">
        <v>150000</v>
      </c>
      <c r="AC89" s="333"/>
      <c r="AD89" s="333"/>
      <c r="AE89" s="333"/>
      <c r="AF89" s="333"/>
      <c r="AG89" s="347" t="s">
        <v>0</v>
      </c>
      <c r="AH89" s="348">
        <v>750</v>
      </c>
      <c r="AI89" s="347"/>
      <c r="AJ89" s="301" t="s">
        <v>15521</v>
      </c>
      <c r="AK89" s="1625" t="s">
        <v>15522</v>
      </c>
      <c r="AL89" s="358" t="s">
        <v>15523</v>
      </c>
      <c r="AM89" s="1625" t="s">
        <v>15524</v>
      </c>
      <c r="AN89" s="1625" t="s">
        <v>15525</v>
      </c>
      <c r="AO89" s="1625" t="s">
        <v>15526</v>
      </c>
      <c r="AP89" s="1625" t="s">
        <v>15527</v>
      </c>
      <c r="AQ89" s="149" t="s">
        <v>15528</v>
      </c>
      <c r="AR89" s="366"/>
      <c r="AU89" s="270"/>
      <c r="AV89" s="270"/>
    </row>
    <row r="90" s="260" customFormat="1" ht="14.1" customHeight="1" spans="1:48">
      <c r="A90" s="1624" t="s">
        <v>961</v>
      </c>
      <c r="B90" s="1624" t="s">
        <v>15529</v>
      </c>
      <c r="C90" s="275" t="s">
        <v>15530</v>
      </c>
      <c r="D90" s="276" t="s">
        <v>15531</v>
      </c>
      <c r="E90" s="285"/>
      <c r="F90" s="286"/>
      <c r="G90" s="287" t="s">
        <v>43</v>
      </c>
      <c r="H90" s="288" t="s">
        <v>254</v>
      </c>
      <c r="I90" s="288" t="s">
        <v>3528</v>
      </c>
      <c r="J90" s="301" t="s">
        <v>15532</v>
      </c>
      <c r="K90" s="304" t="s">
        <v>14803</v>
      </c>
      <c r="L90" s="303"/>
      <c r="M90" s="313">
        <v>43213</v>
      </c>
      <c r="N90" s="313">
        <v>43577</v>
      </c>
      <c r="O90" s="313"/>
      <c r="P90" s="313"/>
      <c r="Q90" s="313"/>
      <c r="R90" s="313"/>
      <c r="S90" s="313"/>
      <c r="T90" s="313"/>
      <c r="U90" s="313"/>
      <c r="V90" s="313"/>
      <c r="W90" s="323">
        <f ca="1" t="shared" si="32"/>
        <v>304.61546296296</v>
      </c>
      <c r="X90" s="324" t="str">
        <f ca="1" t="shared" si="33"/>
        <v>ACTIVE</v>
      </c>
      <c r="Y90" s="333">
        <v>9000000</v>
      </c>
      <c r="Z90" s="333">
        <v>420000</v>
      </c>
      <c r="AA90" s="333">
        <v>1300000</v>
      </c>
      <c r="AB90" s="333">
        <v>150000</v>
      </c>
      <c r="AC90" s="333"/>
      <c r="AD90" s="333" t="s">
        <v>583</v>
      </c>
      <c r="AE90" s="333"/>
      <c r="AF90" s="333"/>
      <c r="AG90" s="347" t="s">
        <v>0</v>
      </c>
      <c r="AH90" s="347">
        <v>750</v>
      </c>
      <c r="AI90" s="347"/>
      <c r="AJ90" s="301" t="s">
        <v>15533</v>
      </c>
      <c r="AK90" s="1625" t="s">
        <v>15534</v>
      </c>
      <c r="AL90" s="358" t="s">
        <v>15535</v>
      </c>
      <c r="AM90" s="1625" t="s">
        <v>15536</v>
      </c>
      <c r="AN90" s="1625" t="s">
        <v>15537</v>
      </c>
      <c r="AO90" s="358"/>
      <c r="AP90" s="358"/>
      <c r="AQ90" s="149" t="s">
        <v>15538</v>
      </c>
      <c r="AR90" s="366"/>
      <c r="AU90" s="270"/>
      <c r="AV90" s="270"/>
    </row>
    <row r="91" s="260" customFormat="1" ht="14.1" customHeight="1" spans="1:48">
      <c r="A91" s="1624" t="s">
        <v>970</v>
      </c>
      <c r="B91" s="1624" t="s">
        <v>15539</v>
      </c>
      <c r="C91" s="275" t="s">
        <v>15540</v>
      </c>
      <c r="D91" s="276" t="s">
        <v>15541</v>
      </c>
      <c r="E91" s="285">
        <f>2018-1994</f>
        <v>24</v>
      </c>
      <c r="F91" s="286" t="s">
        <v>14455</v>
      </c>
      <c r="G91" s="287" t="s">
        <v>125</v>
      </c>
      <c r="H91" s="288" t="s">
        <v>44</v>
      </c>
      <c r="I91" s="288" t="s">
        <v>3528</v>
      </c>
      <c r="J91" s="301" t="s">
        <v>14960</v>
      </c>
      <c r="K91" s="304" t="s">
        <v>15542</v>
      </c>
      <c r="L91" s="303"/>
      <c r="M91" s="313">
        <v>43227</v>
      </c>
      <c r="N91" s="313">
        <v>43410</v>
      </c>
      <c r="O91" s="313"/>
      <c r="P91" s="313"/>
      <c r="Q91" s="313"/>
      <c r="R91" s="313"/>
      <c r="S91" s="313"/>
      <c r="T91" s="313"/>
      <c r="U91" s="313"/>
      <c r="V91" s="313"/>
      <c r="W91" s="323">
        <f ca="1" t="shared" si="32"/>
        <v>137.61546296296</v>
      </c>
      <c r="X91" s="324" t="str">
        <f ca="1" t="shared" si="33"/>
        <v>ACTIVE</v>
      </c>
      <c r="Y91" s="333">
        <v>3300000</v>
      </c>
      <c r="Z91" s="333">
        <v>20000</v>
      </c>
      <c r="AA91" s="333">
        <v>500000</v>
      </c>
      <c r="AB91" s="333">
        <v>125000</v>
      </c>
      <c r="AC91" s="333"/>
      <c r="AD91" s="333" t="s">
        <v>583</v>
      </c>
      <c r="AE91" s="333"/>
      <c r="AF91" s="333"/>
      <c r="AG91" s="347" t="s">
        <v>48</v>
      </c>
      <c r="AH91" s="347">
        <v>400</v>
      </c>
      <c r="AI91" s="347"/>
      <c r="AJ91" s="301" t="s">
        <v>15543</v>
      </c>
      <c r="AK91" s="1625" t="s">
        <v>15544</v>
      </c>
      <c r="AL91" s="358" t="s">
        <v>15545</v>
      </c>
      <c r="AM91" s="1625" t="s">
        <v>15546</v>
      </c>
      <c r="AN91" s="1625" t="s">
        <v>15547</v>
      </c>
      <c r="AO91" s="358"/>
      <c r="AP91" s="1625" t="s">
        <v>15548</v>
      </c>
      <c r="AQ91" s="149" t="s">
        <v>15549</v>
      </c>
      <c r="AR91" s="366"/>
      <c r="AU91" s="270"/>
      <c r="AV91" s="270"/>
    </row>
    <row r="92" s="260" customFormat="1" ht="14.1" customHeight="1" spans="1:48">
      <c r="A92" s="1624" t="s">
        <v>3214</v>
      </c>
      <c r="B92" s="1624" t="s">
        <v>15550</v>
      </c>
      <c r="C92" s="275" t="s">
        <v>15551</v>
      </c>
      <c r="D92" s="276" t="s">
        <v>15552</v>
      </c>
      <c r="E92" s="285"/>
      <c r="F92" s="286"/>
      <c r="G92" s="287" t="s">
        <v>43</v>
      </c>
      <c r="H92" s="288" t="s">
        <v>44</v>
      </c>
      <c r="I92" s="288" t="s">
        <v>3528</v>
      </c>
      <c r="J92" s="301" t="s">
        <v>15553</v>
      </c>
      <c r="K92" s="304" t="s">
        <v>583</v>
      </c>
      <c r="L92" s="303"/>
      <c r="M92" s="320">
        <v>43241</v>
      </c>
      <c r="N92" s="320">
        <v>43332</v>
      </c>
      <c r="O92" s="313" t="s">
        <v>583</v>
      </c>
      <c r="P92" s="313" t="s">
        <v>583</v>
      </c>
      <c r="Q92" s="313"/>
      <c r="R92" s="313"/>
      <c r="S92" s="313"/>
      <c r="T92" s="313"/>
      <c r="U92" s="313"/>
      <c r="V92" s="313"/>
      <c r="W92" s="323">
        <f ca="1" t="shared" ref="W92" si="34">SUM(N92-NOW())</f>
        <v>59.61546296296</v>
      </c>
      <c r="X92" s="324" t="str">
        <f ca="1" t="shared" ref="X92" si="35">IF(W92&lt;=46,"WARNING","ACTIVE")</f>
        <v>ACTIVE</v>
      </c>
      <c r="Y92" s="333">
        <v>100000</v>
      </c>
      <c r="Z92" s="333"/>
      <c r="AA92" s="333"/>
      <c r="AB92" s="333"/>
      <c r="AC92" s="333"/>
      <c r="AD92" s="333"/>
      <c r="AE92" s="333"/>
      <c r="AF92" s="333"/>
      <c r="AG92" s="347"/>
      <c r="AH92" s="347"/>
      <c r="AI92" s="347"/>
      <c r="AJ92" s="301" t="s">
        <v>15554</v>
      </c>
      <c r="AK92" s="358"/>
      <c r="AL92" s="358" t="s">
        <v>15555</v>
      </c>
      <c r="AM92" s="358"/>
      <c r="AN92" s="1625" t="s">
        <v>15556</v>
      </c>
      <c r="AO92" s="358"/>
      <c r="AP92" s="358"/>
      <c r="AQ92" s="149"/>
      <c r="AR92" s="366"/>
      <c r="AU92" s="270"/>
      <c r="AV92" s="270"/>
    </row>
    <row r="93" s="260" customFormat="1" ht="14.1" customHeight="1" spans="1:48">
      <c r="A93" s="1624" t="s">
        <v>979</v>
      </c>
      <c r="B93" s="274"/>
      <c r="C93" s="275" t="s">
        <v>15557</v>
      </c>
      <c r="D93" s="276" t="s">
        <v>15558</v>
      </c>
      <c r="E93" s="285"/>
      <c r="F93" s="286"/>
      <c r="G93" s="287" t="s">
        <v>125</v>
      </c>
      <c r="H93" s="288" t="s">
        <v>44</v>
      </c>
      <c r="I93" s="288" t="s">
        <v>3528</v>
      </c>
      <c r="J93" s="301" t="s">
        <v>15559</v>
      </c>
      <c r="K93" s="304" t="s">
        <v>583</v>
      </c>
      <c r="L93" s="303"/>
      <c r="M93" s="320">
        <v>43241</v>
      </c>
      <c r="N93" s="320">
        <v>43424</v>
      </c>
      <c r="O93" s="313" t="s">
        <v>583</v>
      </c>
      <c r="P93" s="313" t="s">
        <v>583</v>
      </c>
      <c r="Q93" s="313"/>
      <c r="R93" s="313"/>
      <c r="S93" s="313"/>
      <c r="T93" s="313"/>
      <c r="U93" s="313"/>
      <c r="V93" s="313"/>
      <c r="W93" s="323">
        <f ca="1" t="shared" ref="W93" si="36">SUM(N93-NOW())</f>
        <v>151.61546296296</v>
      </c>
      <c r="X93" s="324" t="str">
        <f ca="1" t="shared" ref="X93" si="37">IF(W93&lt;=46,"WARNING","ACTIVE")</f>
        <v>ACTIVE</v>
      </c>
      <c r="Y93" s="333">
        <v>100000</v>
      </c>
      <c r="Z93" s="333"/>
      <c r="AA93" s="333"/>
      <c r="AB93" s="333"/>
      <c r="AC93" s="333"/>
      <c r="AD93" s="333"/>
      <c r="AE93" s="333"/>
      <c r="AF93" s="333"/>
      <c r="AG93" s="347"/>
      <c r="AH93" s="347"/>
      <c r="AI93" s="347"/>
      <c r="AJ93" s="301" t="s">
        <v>15560</v>
      </c>
      <c r="AK93" s="358"/>
      <c r="AL93" s="358" t="s">
        <v>15561</v>
      </c>
      <c r="AM93" s="1625" t="s">
        <v>15562</v>
      </c>
      <c r="AN93" s="1625" t="s">
        <v>15563</v>
      </c>
      <c r="AO93" s="358"/>
      <c r="AP93" s="358"/>
      <c r="AQ93" s="149"/>
      <c r="AR93" s="366"/>
      <c r="AU93" s="270"/>
      <c r="AV93" s="270"/>
    </row>
    <row r="94" s="260" customFormat="1" ht="14.1" customHeight="1" spans="2:48">
      <c r="B94" s="392"/>
      <c r="C94" s="392"/>
      <c r="D94" s="392"/>
      <c r="I94" s="392"/>
      <c r="J94" s="392"/>
      <c r="K94" s="262"/>
      <c r="L94" s="398"/>
      <c r="M94" s="392"/>
      <c r="N94" s="392"/>
      <c r="Y94" s="392"/>
      <c r="Z94" s="392"/>
      <c r="AA94" s="392"/>
      <c r="AB94" s="392"/>
      <c r="AC94" s="392"/>
      <c r="AD94" s="392"/>
      <c r="AE94" s="405"/>
      <c r="AF94" s="405"/>
      <c r="AJ94" s="392"/>
      <c r="AK94" s="407"/>
      <c r="AL94" s="407"/>
      <c r="AM94" s="407"/>
      <c r="AN94" s="407"/>
      <c r="AO94" s="407"/>
      <c r="AP94" s="407"/>
      <c r="AR94" s="411"/>
      <c r="AU94" s="270"/>
      <c r="AV94" s="270"/>
    </row>
    <row r="95" s="260" customFormat="1" ht="14.1" customHeight="1" spans="2:48">
      <c r="B95" s="392"/>
      <c r="C95" s="392"/>
      <c r="D95" s="392"/>
      <c r="I95" s="392"/>
      <c r="J95" s="392"/>
      <c r="K95" s="262"/>
      <c r="L95" s="398"/>
      <c r="M95" s="392"/>
      <c r="N95" s="392"/>
      <c r="Y95" s="392"/>
      <c r="Z95" s="392"/>
      <c r="AA95" s="392"/>
      <c r="AB95" s="392"/>
      <c r="AC95" s="392"/>
      <c r="AD95" s="392"/>
      <c r="AE95" s="405"/>
      <c r="AF95" s="405"/>
      <c r="AJ95" s="392"/>
      <c r="AK95" s="407"/>
      <c r="AL95" s="407"/>
      <c r="AM95" s="407"/>
      <c r="AN95" s="407"/>
      <c r="AO95" s="407"/>
      <c r="AP95" s="407"/>
      <c r="AR95" s="411"/>
      <c r="AU95" s="270"/>
      <c r="AV95" s="270"/>
    </row>
    <row r="96" s="260" customFormat="1" ht="14.1" customHeight="1" spans="11:48">
      <c r="K96" s="262"/>
      <c r="L96" s="398"/>
      <c r="Y96" s="405"/>
      <c r="Z96" s="405"/>
      <c r="AA96" s="405"/>
      <c r="AB96" s="405"/>
      <c r="AC96" s="405"/>
      <c r="AD96" s="405"/>
      <c r="AE96" s="405"/>
      <c r="AF96" s="405"/>
      <c r="AK96" s="407"/>
      <c r="AL96" s="407"/>
      <c r="AM96" s="407"/>
      <c r="AN96" s="407"/>
      <c r="AO96" s="407"/>
      <c r="AP96" s="407"/>
      <c r="AR96" s="411"/>
      <c r="AU96" s="270"/>
      <c r="AV96" s="270"/>
    </row>
    <row r="97" s="260" customFormat="1" ht="14.1" customHeight="1" spans="1:48">
      <c r="A97" s="393" t="s">
        <v>2552</v>
      </c>
      <c r="B97" s="393"/>
      <c r="C97" s="383"/>
      <c r="D97" s="383"/>
      <c r="E97" s="383"/>
      <c r="F97" s="383"/>
      <c r="G97" s="383"/>
      <c r="H97" s="383"/>
      <c r="I97" s="383"/>
      <c r="J97" s="383"/>
      <c r="K97" s="383"/>
      <c r="L97" s="399"/>
      <c r="M97" s="383"/>
      <c r="N97" s="383"/>
      <c r="O97" s="383"/>
      <c r="P97" s="383"/>
      <c r="Q97" s="383"/>
      <c r="R97" s="383"/>
      <c r="S97" s="383"/>
      <c r="T97" s="383"/>
      <c r="U97" s="383"/>
      <c r="V97" s="383"/>
      <c r="W97" s="383"/>
      <c r="X97" s="383"/>
      <c r="Y97" s="406"/>
      <c r="Z97" s="406"/>
      <c r="AA97" s="406"/>
      <c r="AB97" s="406"/>
      <c r="AC97" s="406"/>
      <c r="AD97" s="335"/>
      <c r="AE97" s="406"/>
      <c r="AF97" s="406"/>
      <c r="AG97" s="383"/>
      <c r="AH97" s="383"/>
      <c r="AI97" s="383"/>
      <c r="AJ97" s="383"/>
      <c r="AK97" s="408"/>
      <c r="AL97" s="408"/>
      <c r="AM97" s="408"/>
      <c r="AN97" s="408"/>
      <c r="AO97" s="408"/>
      <c r="AP97" s="408"/>
      <c r="AQ97" s="383"/>
      <c r="AR97" s="379"/>
      <c r="AS97" s="383"/>
      <c r="AU97" s="270"/>
      <c r="AV97" s="270"/>
    </row>
    <row r="98" s="260" customFormat="1" ht="14.1" customHeight="1" spans="1:48">
      <c r="A98" s="394">
        <v>120</v>
      </c>
      <c r="B98" s="1626" t="s">
        <v>15564</v>
      </c>
      <c r="C98" s="278" t="s">
        <v>15565</v>
      </c>
      <c r="D98" s="279" t="s">
        <v>15566</v>
      </c>
      <c r="E98" s="285">
        <v>29</v>
      </c>
      <c r="F98" s="286" t="s">
        <v>15567</v>
      </c>
      <c r="G98" s="292" t="s">
        <v>125</v>
      </c>
      <c r="H98" s="293" t="s">
        <v>43</v>
      </c>
      <c r="I98" s="293" t="s">
        <v>3528</v>
      </c>
      <c r="J98" s="306" t="s">
        <v>15568</v>
      </c>
      <c r="K98" s="347" t="s">
        <v>15569</v>
      </c>
      <c r="L98" s="303"/>
      <c r="M98" s="315">
        <v>42696</v>
      </c>
      <c r="N98" s="315">
        <v>42876</v>
      </c>
      <c r="O98" s="315">
        <v>42907</v>
      </c>
      <c r="P98" s="315"/>
      <c r="Q98" s="315"/>
      <c r="R98" s="315"/>
      <c r="S98" s="315"/>
      <c r="T98" s="315"/>
      <c r="U98" s="315"/>
      <c r="V98" s="315"/>
      <c r="W98" s="402">
        <v>-29.4485333333359</v>
      </c>
      <c r="X98" s="306" t="s">
        <v>2569</v>
      </c>
      <c r="Y98" s="335">
        <v>19500000</v>
      </c>
      <c r="Z98" s="335">
        <v>20000</v>
      </c>
      <c r="AA98" s="335">
        <v>1300000</v>
      </c>
      <c r="AB98" s="335">
        <v>150000</v>
      </c>
      <c r="AC98" s="335"/>
      <c r="AD98" s="335"/>
      <c r="AE98" s="335"/>
      <c r="AF98" s="335"/>
      <c r="AG98" s="349" t="s">
        <v>0</v>
      </c>
      <c r="AH98" s="349" t="s">
        <v>14576</v>
      </c>
      <c r="AI98" s="349"/>
      <c r="AJ98" s="306" t="s">
        <v>15570</v>
      </c>
      <c r="AK98" s="359" t="s">
        <v>15571</v>
      </c>
      <c r="AL98" s="359" t="s">
        <v>15572</v>
      </c>
      <c r="AM98" s="359" t="s">
        <v>15573</v>
      </c>
      <c r="AN98" s="359" t="s">
        <v>15574</v>
      </c>
      <c r="AO98" s="359" t="s">
        <v>15575</v>
      </c>
      <c r="AP98" s="358"/>
      <c r="AQ98" s="368" t="s">
        <v>15576</v>
      </c>
      <c r="AR98" s="375" t="s">
        <v>15577</v>
      </c>
      <c r="AS98" s="413" t="s">
        <v>15569</v>
      </c>
      <c r="AU98" s="270"/>
      <c r="AV98" s="270"/>
    </row>
    <row r="99" s="260" customFormat="1" ht="14.1" customHeight="1" spans="1:48">
      <c r="A99" s="394">
        <v>121</v>
      </c>
      <c r="B99" s="1626" t="s">
        <v>15578</v>
      </c>
      <c r="C99" s="278" t="s">
        <v>15579</v>
      </c>
      <c r="D99" s="279" t="s">
        <v>15580</v>
      </c>
      <c r="E99" s="285">
        <v>28</v>
      </c>
      <c r="F99" s="286"/>
      <c r="G99" s="292" t="s">
        <v>125</v>
      </c>
      <c r="H99" s="293" t="s">
        <v>44</v>
      </c>
      <c r="I99" s="293" t="s">
        <v>3528</v>
      </c>
      <c r="J99" s="306" t="s">
        <v>15581</v>
      </c>
      <c r="K99" s="347"/>
      <c r="L99" s="303"/>
      <c r="M99" s="315">
        <v>42780</v>
      </c>
      <c r="N99" s="315">
        <v>42868</v>
      </c>
      <c r="O99" s="315">
        <v>42896</v>
      </c>
      <c r="P99" s="315"/>
      <c r="Q99" s="315"/>
      <c r="R99" s="315"/>
      <c r="S99" s="315"/>
      <c r="T99" s="315"/>
      <c r="U99" s="315"/>
      <c r="V99" s="315"/>
      <c r="W99" s="402">
        <v>-40.4485333333359</v>
      </c>
      <c r="X99" s="306" t="s">
        <v>2569</v>
      </c>
      <c r="Y99" s="335">
        <v>14500000</v>
      </c>
      <c r="Z99" s="335">
        <v>420000</v>
      </c>
      <c r="AA99" s="335">
        <v>1300000</v>
      </c>
      <c r="AB99" s="335">
        <v>150000</v>
      </c>
      <c r="AC99" s="335"/>
      <c r="AD99" s="335" t="s">
        <v>583</v>
      </c>
      <c r="AE99" s="335"/>
      <c r="AF99" s="335"/>
      <c r="AG99" s="349" t="s">
        <v>112</v>
      </c>
      <c r="AH99" s="349" t="s">
        <v>14428</v>
      </c>
      <c r="AI99" s="349"/>
      <c r="AJ99" s="306" t="s">
        <v>15582</v>
      </c>
      <c r="AK99" s="359" t="s">
        <v>15583</v>
      </c>
      <c r="AL99" s="359" t="s">
        <v>15584</v>
      </c>
      <c r="AM99" s="359" t="s">
        <v>15585</v>
      </c>
      <c r="AN99" s="359" t="s">
        <v>15586</v>
      </c>
      <c r="AO99" s="359">
        <v>14015093413</v>
      </c>
      <c r="AP99" s="358" t="s">
        <v>15587</v>
      </c>
      <c r="AQ99" s="368" t="s">
        <v>15588</v>
      </c>
      <c r="AR99" s="375" t="s">
        <v>15589</v>
      </c>
      <c r="AS99" s="413" t="s">
        <v>15590</v>
      </c>
      <c r="AU99" s="270"/>
      <c r="AV99" s="270"/>
    </row>
    <row r="100" s="260" customFormat="1" ht="14.1" customHeight="1" spans="1:48">
      <c r="A100" s="394">
        <v>122</v>
      </c>
      <c r="B100" s="1626" t="s">
        <v>15591</v>
      </c>
      <c r="C100" s="278" t="s">
        <v>15592</v>
      </c>
      <c r="D100" s="279" t="s">
        <v>14188</v>
      </c>
      <c r="E100" s="285">
        <v>28</v>
      </c>
      <c r="F100" s="286"/>
      <c r="G100" s="292" t="s">
        <v>125</v>
      </c>
      <c r="H100" s="293" t="s">
        <v>44</v>
      </c>
      <c r="I100" s="293" t="s">
        <v>3528</v>
      </c>
      <c r="J100" s="306" t="s">
        <v>15593</v>
      </c>
      <c r="K100" s="347" t="s">
        <v>15594</v>
      </c>
      <c r="L100" s="303"/>
      <c r="M100" s="315" t="s">
        <v>15595</v>
      </c>
      <c r="N100" s="315">
        <v>43017</v>
      </c>
      <c r="O100" s="315"/>
      <c r="P100" s="315"/>
      <c r="Q100" s="315"/>
      <c r="R100" s="315"/>
      <c r="S100" s="315"/>
      <c r="T100" s="315"/>
      <c r="U100" s="315"/>
      <c r="V100" s="315"/>
      <c r="W100" s="402">
        <v>80.5514666666641</v>
      </c>
      <c r="X100" s="306" t="s">
        <v>745</v>
      </c>
      <c r="Y100" s="335">
        <v>7000000</v>
      </c>
      <c r="Z100" s="335">
        <v>20000</v>
      </c>
      <c r="AA100" s="335">
        <v>150000</v>
      </c>
      <c r="AB100" s="335">
        <v>750000</v>
      </c>
      <c r="AC100" s="335" t="s">
        <v>583</v>
      </c>
      <c r="AD100" s="335"/>
      <c r="AE100" s="335"/>
      <c r="AF100" s="335"/>
      <c r="AG100" s="349" t="s">
        <v>48</v>
      </c>
      <c r="AH100" s="349" t="s">
        <v>14428</v>
      </c>
      <c r="AI100" s="349"/>
      <c r="AJ100" s="306" t="s">
        <v>15596</v>
      </c>
      <c r="AK100" s="359" t="s">
        <v>15597</v>
      </c>
      <c r="AL100" s="359" t="s">
        <v>15598</v>
      </c>
      <c r="AM100" s="359" t="s">
        <v>15599</v>
      </c>
      <c r="AN100" s="359" t="s">
        <v>15600</v>
      </c>
      <c r="AO100" s="359"/>
      <c r="AP100" s="358" t="s">
        <v>15601</v>
      </c>
      <c r="AQ100" s="368" t="s">
        <v>15602</v>
      </c>
      <c r="AR100" s="375" t="s">
        <v>15603</v>
      </c>
      <c r="AS100" s="413"/>
      <c r="AU100" s="270"/>
      <c r="AV100" s="270"/>
    </row>
    <row r="101" s="260" customFormat="1" ht="14.1" customHeight="1" spans="1:48">
      <c r="A101" s="394">
        <v>123</v>
      </c>
      <c r="B101" s="1626" t="s">
        <v>15604</v>
      </c>
      <c r="C101" s="278" t="s">
        <v>15605</v>
      </c>
      <c r="D101" s="279" t="s">
        <v>15606</v>
      </c>
      <c r="E101" s="285">
        <v>23</v>
      </c>
      <c r="F101" s="286"/>
      <c r="G101" s="292" t="s">
        <v>43</v>
      </c>
      <c r="H101" s="293" t="s">
        <v>44</v>
      </c>
      <c r="I101" s="293" t="s">
        <v>3528</v>
      </c>
      <c r="J101" s="306" t="s">
        <v>15607</v>
      </c>
      <c r="K101" s="347" t="s">
        <v>15608</v>
      </c>
      <c r="L101" s="303"/>
      <c r="M101" s="315">
        <v>42954</v>
      </c>
      <c r="N101" s="315">
        <v>43137</v>
      </c>
      <c r="O101" s="315"/>
      <c r="P101" s="315" t="s">
        <v>583</v>
      </c>
      <c r="Q101" s="315"/>
      <c r="R101" s="315"/>
      <c r="S101" s="315"/>
      <c r="T101" s="315"/>
      <c r="U101" s="315"/>
      <c r="V101" s="315"/>
      <c r="W101" s="402">
        <v>200.551466666664</v>
      </c>
      <c r="X101" s="306" t="s">
        <v>745</v>
      </c>
      <c r="Y101" s="335">
        <v>8500000</v>
      </c>
      <c r="Z101" s="335">
        <v>20000</v>
      </c>
      <c r="AA101" s="335">
        <v>750000</v>
      </c>
      <c r="AB101" s="335">
        <v>150000</v>
      </c>
      <c r="AC101" s="335"/>
      <c r="AD101" s="335" t="s">
        <v>583</v>
      </c>
      <c r="AE101" s="335"/>
      <c r="AF101" s="335"/>
      <c r="AG101" s="349" t="s">
        <v>4669</v>
      </c>
      <c r="AH101" s="349" t="s">
        <v>14458</v>
      </c>
      <c r="AI101" s="349"/>
      <c r="AJ101" s="306" t="s">
        <v>15609</v>
      </c>
      <c r="AK101" s="359">
        <v>82197122896</v>
      </c>
      <c r="AL101" s="359" t="s">
        <v>15610</v>
      </c>
      <c r="AM101" s="359" t="s">
        <v>15611</v>
      </c>
      <c r="AN101" s="359" t="s">
        <v>15612</v>
      </c>
      <c r="AO101" s="359" t="s">
        <v>15613</v>
      </c>
      <c r="AP101" s="358" t="s">
        <v>15614</v>
      </c>
      <c r="AQ101" s="368" t="s">
        <v>15615</v>
      </c>
      <c r="AR101" s="375" t="s">
        <v>15616</v>
      </c>
      <c r="AS101" s="413"/>
      <c r="AU101" s="270"/>
      <c r="AV101" s="270"/>
    </row>
    <row r="102" s="260" customFormat="1" ht="14.1" customHeight="1" spans="1:48">
      <c r="A102" s="277">
        <v>20</v>
      </c>
      <c r="B102" s="1626" t="s">
        <v>15617</v>
      </c>
      <c r="C102" s="278" t="s">
        <v>15618</v>
      </c>
      <c r="D102" s="279" t="s">
        <v>15619</v>
      </c>
      <c r="E102" s="290">
        <v>25</v>
      </c>
      <c r="F102" s="291"/>
      <c r="G102" s="292" t="s">
        <v>43</v>
      </c>
      <c r="H102" s="293" t="s">
        <v>44</v>
      </c>
      <c r="I102" s="293" t="s">
        <v>3528</v>
      </c>
      <c r="J102" s="306" t="s">
        <v>14560</v>
      </c>
      <c r="K102" s="305" t="s">
        <v>14561</v>
      </c>
      <c r="L102" s="303"/>
      <c r="M102" s="315">
        <v>42657</v>
      </c>
      <c r="N102" s="315">
        <v>43021</v>
      </c>
      <c r="O102" s="315"/>
      <c r="P102" s="315"/>
      <c r="Q102" s="315"/>
      <c r="R102" s="315"/>
      <c r="S102" s="315"/>
      <c r="T102" s="315"/>
      <c r="U102" s="315"/>
      <c r="V102" s="315"/>
      <c r="W102" s="323">
        <f ca="1">SUM(N102-NOW())</f>
        <v>-251.38453703704</v>
      </c>
      <c r="X102" s="324" t="str">
        <f ca="1">IF(W102&lt;=46,"WARNING","ACTIVE")</f>
        <v>WARNING</v>
      </c>
      <c r="Y102" s="335">
        <v>3125000</v>
      </c>
      <c r="Z102" s="335">
        <v>20000</v>
      </c>
      <c r="AA102" s="335">
        <v>750000</v>
      </c>
      <c r="AB102" s="335">
        <v>150000</v>
      </c>
      <c r="AC102" s="335"/>
      <c r="AD102" s="335"/>
      <c r="AE102" s="335"/>
      <c r="AF102" s="335"/>
      <c r="AG102" s="349" t="s">
        <v>48</v>
      </c>
      <c r="AH102" s="349" t="s">
        <v>11917</v>
      </c>
      <c r="AI102" s="349"/>
      <c r="AJ102" s="306" t="s">
        <v>15620</v>
      </c>
      <c r="AK102" s="1628" t="s">
        <v>15621</v>
      </c>
      <c r="AL102" s="359" t="s">
        <v>15622</v>
      </c>
      <c r="AM102" s="359" t="s">
        <v>15623</v>
      </c>
      <c r="AN102" s="359" t="s">
        <v>15624</v>
      </c>
      <c r="AO102" s="359" t="s">
        <v>15625</v>
      </c>
      <c r="AP102" s="359"/>
      <c r="AQ102" s="368" t="s">
        <v>15626</v>
      </c>
      <c r="AR102" s="375" t="s">
        <v>15627</v>
      </c>
      <c r="AS102" s="413" t="s">
        <v>14561</v>
      </c>
      <c r="AU102" s="270"/>
      <c r="AV102" s="270"/>
    </row>
    <row r="103" s="260" customFormat="1" ht="14.1" customHeight="1" spans="1:48">
      <c r="A103" s="1626" t="s">
        <v>450</v>
      </c>
      <c r="B103" s="1626" t="s">
        <v>15628</v>
      </c>
      <c r="C103" s="278" t="s">
        <v>15629</v>
      </c>
      <c r="D103" s="279" t="s">
        <v>15630</v>
      </c>
      <c r="E103" s="290">
        <v>28</v>
      </c>
      <c r="F103" s="291"/>
      <c r="G103" s="292" t="s">
        <v>43</v>
      </c>
      <c r="H103" s="293" t="s">
        <v>44</v>
      </c>
      <c r="I103" s="293" t="s">
        <v>3528</v>
      </c>
      <c r="J103" s="306" t="s">
        <v>14695</v>
      </c>
      <c r="K103" s="305" t="s">
        <v>14503</v>
      </c>
      <c r="L103" s="303"/>
      <c r="M103" s="315">
        <v>42826</v>
      </c>
      <c r="N103" s="315">
        <v>43008</v>
      </c>
      <c r="O103" s="315"/>
      <c r="P103" s="315"/>
      <c r="Q103" s="315"/>
      <c r="R103" s="315"/>
      <c r="S103" s="315"/>
      <c r="T103" s="315"/>
      <c r="U103" s="315"/>
      <c r="V103" s="315"/>
      <c r="W103" s="325">
        <v>31.2715304398153</v>
      </c>
      <c r="X103" s="326" t="s">
        <v>2569</v>
      </c>
      <c r="Y103" s="335">
        <v>4625000</v>
      </c>
      <c r="Z103" s="335">
        <v>440000</v>
      </c>
      <c r="AA103" s="335">
        <v>500000</v>
      </c>
      <c r="AB103" s="335">
        <v>130000</v>
      </c>
      <c r="AC103" s="335"/>
      <c r="AD103" s="335"/>
      <c r="AE103" s="335"/>
      <c r="AF103" s="335"/>
      <c r="AG103" s="349" t="s">
        <v>48</v>
      </c>
      <c r="AH103" s="349" t="s">
        <v>11917</v>
      </c>
      <c r="AI103" s="349" t="s">
        <v>15631</v>
      </c>
      <c r="AJ103" s="306" t="s">
        <v>15632</v>
      </c>
      <c r="AK103" s="1628" t="s">
        <v>15633</v>
      </c>
      <c r="AL103" s="359" t="s">
        <v>15634</v>
      </c>
      <c r="AM103" s="359" t="s">
        <v>15635</v>
      </c>
      <c r="AN103" s="359" t="s">
        <v>15636</v>
      </c>
      <c r="AO103" s="359" t="s">
        <v>15637</v>
      </c>
      <c r="AP103" s="1628" t="s">
        <v>15638</v>
      </c>
      <c r="AQ103" s="368" t="s">
        <v>15639</v>
      </c>
      <c r="AR103" s="375" t="s">
        <v>15640</v>
      </c>
      <c r="AU103" s="270"/>
      <c r="AV103" s="270"/>
    </row>
    <row r="104" s="260" customFormat="1" ht="14.1" customHeight="1" spans="1:48">
      <c r="A104" s="1626" t="s">
        <v>866</v>
      </c>
      <c r="B104" s="277" t="s">
        <v>15641</v>
      </c>
      <c r="C104" s="278" t="s">
        <v>15642</v>
      </c>
      <c r="D104" s="279" t="s">
        <v>15643</v>
      </c>
      <c r="E104" s="290"/>
      <c r="F104" s="291"/>
      <c r="G104" s="292" t="s">
        <v>43</v>
      </c>
      <c r="H104" s="293" t="s">
        <v>404</v>
      </c>
      <c r="I104" s="293" t="s">
        <v>3528</v>
      </c>
      <c r="J104" s="306" t="s">
        <v>15644</v>
      </c>
      <c r="K104" s="305" t="s">
        <v>15645</v>
      </c>
      <c r="L104" s="303"/>
      <c r="M104" s="315">
        <v>42961</v>
      </c>
      <c r="N104" s="315">
        <v>43052</v>
      </c>
      <c r="O104" s="315"/>
      <c r="P104" s="315"/>
      <c r="Q104" s="315"/>
      <c r="R104" s="315"/>
      <c r="S104" s="315"/>
      <c r="T104" s="315"/>
      <c r="U104" s="315"/>
      <c r="V104" s="315"/>
      <c r="W104" s="325">
        <v>75.2715304398153</v>
      </c>
      <c r="X104" s="326" t="s">
        <v>745</v>
      </c>
      <c r="Y104" s="342">
        <v>7500000</v>
      </c>
      <c r="Z104" s="335">
        <v>20000</v>
      </c>
      <c r="AA104" s="335">
        <v>750000</v>
      </c>
      <c r="AB104" s="335">
        <v>315000</v>
      </c>
      <c r="AC104" s="342"/>
      <c r="AD104" s="335">
        <v>1650000</v>
      </c>
      <c r="AE104" s="335"/>
      <c r="AF104" s="335"/>
      <c r="AG104" s="349" t="s">
        <v>112</v>
      </c>
      <c r="AH104" s="349">
        <v>400</v>
      </c>
      <c r="AI104" s="349"/>
      <c r="AJ104" s="306" t="s">
        <v>15646</v>
      </c>
      <c r="AK104" s="359" t="s">
        <v>15647</v>
      </c>
      <c r="AL104" s="359" t="s">
        <v>15648</v>
      </c>
      <c r="AM104" s="359" t="s">
        <v>15649</v>
      </c>
      <c r="AN104" s="359" t="s">
        <v>15650</v>
      </c>
      <c r="AO104" s="359"/>
      <c r="AP104" s="359"/>
      <c r="AQ104" s="86" t="s">
        <v>15651</v>
      </c>
      <c r="AR104" s="375" t="s">
        <v>15616</v>
      </c>
      <c r="AU104" s="270"/>
      <c r="AV104" s="270"/>
    </row>
    <row r="105" s="260" customFormat="1" ht="14.1" customHeight="1" spans="1:48">
      <c r="A105" s="1626" t="s">
        <v>940</v>
      </c>
      <c r="B105" s="277" t="s">
        <v>15652</v>
      </c>
      <c r="C105" s="278" t="s">
        <v>15653</v>
      </c>
      <c r="D105" s="279" t="s">
        <v>15654</v>
      </c>
      <c r="E105" s="290"/>
      <c r="F105" s="291"/>
      <c r="G105" s="292" t="s">
        <v>43</v>
      </c>
      <c r="H105" s="293" t="s">
        <v>96</v>
      </c>
      <c r="I105" s="293" t="s">
        <v>15655</v>
      </c>
      <c r="J105" s="306" t="s">
        <v>15656</v>
      </c>
      <c r="K105" s="305" t="s">
        <v>15657</v>
      </c>
      <c r="L105" s="303"/>
      <c r="M105" s="315">
        <v>42948</v>
      </c>
      <c r="N105" s="315">
        <v>43131</v>
      </c>
      <c r="O105" s="315"/>
      <c r="P105" s="315"/>
      <c r="Q105" s="315"/>
      <c r="R105" s="315"/>
      <c r="S105" s="315"/>
      <c r="T105" s="315"/>
      <c r="U105" s="315"/>
      <c r="V105" s="315"/>
      <c r="W105" s="325">
        <v>154.271530439815</v>
      </c>
      <c r="X105" s="326" t="s">
        <v>745</v>
      </c>
      <c r="Y105" s="342">
        <v>8000000</v>
      </c>
      <c r="Z105" s="342">
        <v>15000</v>
      </c>
      <c r="AA105" s="335">
        <v>750000</v>
      </c>
      <c r="AB105" s="335">
        <v>300000</v>
      </c>
      <c r="AC105" s="342"/>
      <c r="AD105" s="335">
        <v>1650000</v>
      </c>
      <c r="AE105" s="335"/>
      <c r="AF105" s="335"/>
      <c r="AG105" s="349" t="s">
        <v>4669</v>
      </c>
      <c r="AH105" s="349">
        <v>400</v>
      </c>
      <c r="AI105" s="349"/>
      <c r="AJ105" s="306" t="s">
        <v>15658</v>
      </c>
      <c r="AK105" s="359" t="s">
        <v>15659</v>
      </c>
      <c r="AL105" s="359" t="s">
        <v>15660</v>
      </c>
      <c r="AM105" s="359" t="s">
        <v>15661</v>
      </c>
      <c r="AN105" s="359" t="s">
        <v>15662</v>
      </c>
      <c r="AO105" s="359"/>
      <c r="AP105" s="359"/>
      <c r="AQ105" s="86" t="s">
        <v>15663</v>
      </c>
      <c r="AR105" s="375" t="s">
        <v>15664</v>
      </c>
      <c r="AU105" s="270"/>
      <c r="AV105" s="270"/>
    </row>
    <row r="106" s="260" customFormat="1" ht="14.1" customHeight="1" spans="1:48">
      <c r="A106" s="1626" t="s">
        <v>1064</v>
      </c>
      <c r="B106" s="277" t="s">
        <v>15665</v>
      </c>
      <c r="C106" s="278" t="s">
        <v>15666</v>
      </c>
      <c r="D106" s="279" t="s">
        <v>15667</v>
      </c>
      <c r="E106" s="290"/>
      <c r="F106" s="291" t="s">
        <v>15668</v>
      </c>
      <c r="G106" s="292" t="s">
        <v>43</v>
      </c>
      <c r="H106" s="293" t="s">
        <v>60</v>
      </c>
      <c r="I106" s="293" t="s">
        <v>15669</v>
      </c>
      <c r="J106" s="306" t="s">
        <v>15670</v>
      </c>
      <c r="K106" s="305"/>
      <c r="L106" s="303"/>
      <c r="M106" s="315">
        <v>42961</v>
      </c>
      <c r="N106" s="315">
        <v>43052</v>
      </c>
      <c r="O106" s="315"/>
      <c r="P106" s="315"/>
      <c r="Q106" s="315"/>
      <c r="R106" s="315"/>
      <c r="S106" s="315"/>
      <c r="T106" s="315"/>
      <c r="U106" s="315"/>
      <c r="V106" s="315"/>
      <c r="W106" s="325">
        <v>75.2715304398153</v>
      </c>
      <c r="X106" s="326" t="s">
        <v>745</v>
      </c>
      <c r="Y106" s="342">
        <v>10000000</v>
      </c>
      <c r="Z106" s="342">
        <v>13500</v>
      </c>
      <c r="AA106" s="335">
        <v>750000</v>
      </c>
      <c r="AB106" s="335">
        <v>315000</v>
      </c>
      <c r="AC106" s="342"/>
      <c r="AD106" s="335">
        <v>1650000</v>
      </c>
      <c r="AE106" s="335"/>
      <c r="AF106" s="335"/>
      <c r="AG106" s="349" t="s">
        <v>112</v>
      </c>
      <c r="AH106" s="349">
        <v>750</v>
      </c>
      <c r="AI106" s="349"/>
      <c r="AJ106" s="306" t="s">
        <v>15671</v>
      </c>
      <c r="AK106" s="1628" t="s">
        <v>15672</v>
      </c>
      <c r="AL106" s="359" t="s">
        <v>15673</v>
      </c>
      <c r="AM106" s="359" t="s">
        <v>15674</v>
      </c>
      <c r="AN106" s="359" t="s">
        <v>15675</v>
      </c>
      <c r="AO106" s="359" t="s">
        <v>15676</v>
      </c>
      <c r="AP106" s="1628" t="s">
        <v>15677</v>
      </c>
      <c r="AQ106" s="86" t="s">
        <v>15678</v>
      </c>
      <c r="AR106" s="375" t="s">
        <v>15679</v>
      </c>
      <c r="AU106" s="270"/>
      <c r="AV106" s="270"/>
    </row>
    <row r="107" s="260" customFormat="1" ht="14.1" customHeight="1" spans="1:48">
      <c r="A107" s="1626" t="s">
        <v>286</v>
      </c>
      <c r="B107" s="1626" t="s">
        <v>15680</v>
      </c>
      <c r="C107" s="278" t="s">
        <v>15681</v>
      </c>
      <c r="D107" s="279" t="s">
        <v>15682</v>
      </c>
      <c r="E107" s="290">
        <v>25</v>
      </c>
      <c r="F107" s="291" t="s">
        <v>15683</v>
      </c>
      <c r="G107" s="292" t="s">
        <v>125</v>
      </c>
      <c r="H107" s="293" t="s">
        <v>44</v>
      </c>
      <c r="I107" s="293" t="s">
        <v>3528</v>
      </c>
      <c r="J107" s="306" t="s">
        <v>15684</v>
      </c>
      <c r="K107" s="305" t="s">
        <v>15685</v>
      </c>
      <c r="L107" s="303"/>
      <c r="M107" s="315">
        <v>42695</v>
      </c>
      <c r="N107" s="315">
        <v>42875</v>
      </c>
      <c r="O107" s="315">
        <v>43240</v>
      </c>
      <c r="P107" s="315"/>
      <c r="Q107" s="315"/>
      <c r="R107" s="315"/>
      <c r="S107" s="315"/>
      <c r="T107" s="315"/>
      <c r="U107" s="315"/>
      <c r="V107" s="315"/>
      <c r="W107" s="325">
        <v>255.324090277776</v>
      </c>
      <c r="X107" s="326" t="s">
        <v>745</v>
      </c>
      <c r="Y107" s="335">
        <v>5500000</v>
      </c>
      <c r="Z107" s="335">
        <v>420000</v>
      </c>
      <c r="AA107" s="335">
        <v>500000</v>
      </c>
      <c r="AB107" s="335">
        <v>125000</v>
      </c>
      <c r="AC107" s="335"/>
      <c r="AD107" s="335"/>
      <c r="AE107" s="335"/>
      <c r="AF107" s="335"/>
      <c r="AG107" s="349" t="s">
        <v>48</v>
      </c>
      <c r="AH107" s="349" t="s">
        <v>14428</v>
      </c>
      <c r="AI107" s="349"/>
      <c r="AJ107" s="306" t="s">
        <v>15686</v>
      </c>
      <c r="AK107" s="1628" t="s">
        <v>15687</v>
      </c>
      <c r="AL107" s="359" t="s">
        <v>15688</v>
      </c>
      <c r="AM107" s="359" t="s">
        <v>15689</v>
      </c>
      <c r="AN107" s="359" t="s">
        <v>15690</v>
      </c>
      <c r="AO107" s="359" t="s">
        <v>15691</v>
      </c>
      <c r="AP107" s="1628" t="s">
        <v>15692</v>
      </c>
      <c r="AQ107" s="368" t="s">
        <v>15693</v>
      </c>
      <c r="AR107" s="375" t="s">
        <v>15694</v>
      </c>
      <c r="AU107" s="270"/>
      <c r="AV107" s="270"/>
    </row>
    <row r="108" s="260" customFormat="1" ht="14.1" customHeight="1" spans="1:48">
      <c r="A108" s="1626" t="s">
        <v>390</v>
      </c>
      <c r="B108" s="1626" t="s">
        <v>15695</v>
      </c>
      <c r="C108" s="278" t="s">
        <v>15696</v>
      </c>
      <c r="D108" s="279" t="s">
        <v>15697</v>
      </c>
      <c r="E108" s="290">
        <v>40</v>
      </c>
      <c r="F108" s="291" t="s">
        <v>15698</v>
      </c>
      <c r="G108" s="292" t="s">
        <v>43</v>
      </c>
      <c r="H108" s="293" t="s">
        <v>254</v>
      </c>
      <c r="I108" s="293" t="s">
        <v>15699</v>
      </c>
      <c r="J108" s="306" t="s">
        <v>15700</v>
      </c>
      <c r="K108" s="304" t="s">
        <v>15701</v>
      </c>
      <c r="L108" s="400"/>
      <c r="M108" s="315">
        <v>42795</v>
      </c>
      <c r="N108" s="315">
        <v>42978</v>
      </c>
      <c r="O108" s="315"/>
      <c r="P108" s="315"/>
      <c r="Q108" s="315"/>
      <c r="R108" s="315"/>
      <c r="S108" s="315"/>
      <c r="T108" s="315"/>
      <c r="U108" s="315"/>
      <c r="V108" s="315"/>
      <c r="W108" s="325">
        <v>-6.67590972222388</v>
      </c>
      <c r="X108" s="326" t="s">
        <v>2569</v>
      </c>
      <c r="Y108" s="335">
        <v>6000000</v>
      </c>
      <c r="Z108" s="335">
        <v>13500</v>
      </c>
      <c r="AA108" s="335">
        <v>750000</v>
      </c>
      <c r="AB108" s="335">
        <v>300000</v>
      </c>
      <c r="AC108" s="335"/>
      <c r="AD108" s="335">
        <v>1650000</v>
      </c>
      <c r="AE108" s="335"/>
      <c r="AF108" s="335"/>
      <c r="AG108" s="349" t="s">
        <v>112</v>
      </c>
      <c r="AH108" s="349" t="s">
        <v>11917</v>
      </c>
      <c r="AI108" s="349" t="s">
        <v>15702</v>
      </c>
      <c r="AJ108" s="306" t="s">
        <v>15703</v>
      </c>
      <c r="AK108" s="1628" t="s">
        <v>15704</v>
      </c>
      <c r="AL108" s="359" t="s">
        <v>15705</v>
      </c>
      <c r="AM108" s="359" t="s">
        <v>15706</v>
      </c>
      <c r="AN108" s="359" t="s">
        <v>15707</v>
      </c>
      <c r="AO108" s="359"/>
      <c r="AP108" s="359"/>
      <c r="AQ108" s="368" t="s">
        <v>15708</v>
      </c>
      <c r="AR108" s="375" t="s">
        <v>2828</v>
      </c>
      <c r="AU108" s="270"/>
      <c r="AV108" s="270"/>
    </row>
    <row r="109" s="260" customFormat="1" ht="14.1" customHeight="1" spans="1:48">
      <c r="A109" s="1626" t="s">
        <v>709</v>
      </c>
      <c r="B109" s="1626" t="s">
        <v>15709</v>
      </c>
      <c r="C109" s="278" t="s">
        <v>15710</v>
      </c>
      <c r="D109" s="279" t="s">
        <v>15711</v>
      </c>
      <c r="E109" s="290">
        <v>20</v>
      </c>
      <c r="F109" s="291"/>
      <c r="G109" s="292" t="s">
        <v>43</v>
      </c>
      <c r="H109" s="293" t="s">
        <v>44</v>
      </c>
      <c r="I109" s="293" t="s">
        <v>3528</v>
      </c>
      <c r="J109" s="306" t="s">
        <v>15712</v>
      </c>
      <c r="K109" s="305" t="s">
        <v>15713</v>
      </c>
      <c r="L109" s="303"/>
      <c r="M109" s="315">
        <v>42905</v>
      </c>
      <c r="N109" s="315">
        <v>42965</v>
      </c>
      <c r="O109" s="315"/>
      <c r="P109" s="315" t="s">
        <v>583</v>
      </c>
      <c r="Q109" s="315"/>
      <c r="R109" s="315"/>
      <c r="S109" s="315"/>
      <c r="T109" s="315"/>
      <c r="U109" s="315"/>
      <c r="V109" s="315"/>
      <c r="W109" s="325">
        <v>-19.6759097222239</v>
      </c>
      <c r="X109" s="326" t="s">
        <v>2569</v>
      </c>
      <c r="Y109" s="335">
        <v>100000</v>
      </c>
      <c r="Z109" s="335" t="s">
        <v>583</v>
      </c>
      <c r="AA109" s="335" t="s">
        <v>583</v>
      </c>
      <c r="AB109" s="335" t="s">
        <v>583</v>
      </c>
      <c r="AC109" s="335"/>
      <c r="AD109" s="335" t="s">
        <v>583</v>
      </c>
      <c r="AE109" s="335"/>
      <c r="AF109" s="335"/>
      <c r="AG109" s="349" t="s">
        <v>112</v>
      </c>
      <c r="AH109" s="349" t="s">
        <v>112</v>
      </c>
      <c r="AI109" s="349"/>
      <c r="AJ109" s="306" t="s">
        <v>15714</v>
      </c>
      <c r="AK109" s="1628" t="s">
        <v>15715</v>
      </c>
      <c r="AL109" s="359"/>
      <c r="AM109" s="359"/>
      <c r="AN109" s="359" t="s">
        <v>15716</v>
      </c>
      <c r="AO109" s="359"/>
      <c r="AP109" s="359"/>
      <c r="AQ109" s="368" t="s">
        <v>15717</v>
      </c>
      <c r="AR109" s="375" t="s">
        <v>15718</v>
      </c>
      <c r="AU109" s="270"/>
      <c r="AV109" s="270"/>
    </row>
    <row r="110" s="260" customFormat="1" ht="14.1" customHeight="1" spans="1:48">
      <c r="A110" s="1626" t="s">
        <v>949</v>
      </c>
      <c r="B110" s="277" t="s">
        <v>15719</v>
      </c>
      <c r="C110" s="278" t="s">
        <v>15720</v>
      </c>
      <c r="D110" s="279" t="s">
        <v>15721</v>
      </c>
      <c r="E110" s="290"/>
      <c r="F110" s="291"/>
      <c r="G110" s="292" t="s">
        <v>43</v>
      </c>
      <c r="H110" s="293" t="s">
        <v>44</v>
      </c>
      <c r="I110" s="293" t="s">
        <v>3089</v>
      </c>
      <c r="J110" s="306" t="s">
        <v>15722</v>
      </c>
      <c r="K110" s="305" t="s">
        <v>15723</v>
      </c>
      <c r="L110" s="303"/>
      <c r="M110" s="315">
        <v>42948</v>
      </c>
      <c r="N110" s="315">
        <v>43131</v>
      </c>
      <c r="O110" s="315"/>
      <c r="P110" s="315"/>
      <c r="Q110" s="315"/>
      <c r="R110" s="315"/>
      <c r="S110" s="315"/>
      <c r="T110" s="315"/>
      <c r="U110" s="315"/>
      <c r="V110" s="315"/>
      <c r="W110" s="325">
        <v>146.324090277776</v>
      </c>
      <c r="X110" s="326" t="s">
        <v>745</v>
      </c>
      <c r="Y110" s="342">
        <v>6500000</v>
      </c>
      <c r="Z110" s="342">
        <v>15000</v>
      </c>
      <c r="AA110" s="335">
        <v>750000</v>
      </c>
      <c r="AB110" s="335">
        <v>315000</v>
      </c>
      <c r="AC110" s="342"/>
      <c r="AD110" s="335">
        <v>1650000</v>
      </c>
      <c r="AE110" s="335"/>
      <c r="AF110" s="335"/>
      <c r="AG110" s="349" t="s">
        <v>4669</v>
      </c>
      <c r="AH110" s="349">
        <v>400</v>
      </c>
      <c r="AI110" s="349"/>
      <c r="AJ110" s="306" t="s">
        <v>15724</v>
      </c>
      <c r="AK110" s="359" t="s">
        <v>15725</v>
      </c>
      <c r="AL110" s="359" t="s">
        <v>15726</v>
      </c>
      <c r="AM110" s="359" t="s">
        <v>15727</v>
      </c>
      <c r="AN110" s="359" t="s">
        <v>15728</v>
      </c>
      <c r="AO110" s="359" t="s">
        <v>15729</v>
      </c>
      <c r="AP110" s="359"/>
      <c r="AQ110" s="86" t="s">
        <v>15730</v>
      </c>
      <c r="AR110" s="375" t="s">
        <v>15731</v>
      </c>
      <c r="AU110" s="270"/>
      <c r="AV110" s="270"/>
    </row>
    <row r="111" s="260" customFormat="1" ht="14.1" customHeight="1" spans="1:48">
      <c r="A111" s="1626" t="s">
        <v>381</v>
      </c>
      <c r="B111" s="1626" t="s">
        <v>15732</v>
      </c>
      <c r="C111" s="278" t="s">
        <v>15733</v>
      </c>
      <c r="D111" s="279" t="s">
        <v>15734</v>
      </c>
      <c r="E111" s="290">
        <v>23</v>
      </c>
      <c r="F111" s="291" t="s">
        <v>15735</v>
      </c>
      <c r="G111" s="292" t="s">
        <v>43</v>
      </c>
      <c r="H111" s="293" t="s">
        <v>44</v>
      </c>
      <c r="I111" s="293" t="s">
        <v>3528</v>
      </c>
      <c r="J111" s="306" t="s">
        <v>15607</v>
      </c>
      <c r="K111" s="305"/>
      <c r="L111" s="303"/>
      <c r="M111" s="315">
        <v>42793</v>
      </c>
      <c r="N111" s="315">
        <v>42973</v>
      </c>
      <c r="O111" s="315">
        <v>43007</v>
      </c>
      <c r="P111" s="315"/>
      <c r="Q111" s="315"/>
      <c r="R111" s="315"/>
      <c r="S111" s="315"/>
      <c r="T111" s="315"/>
      <c r="U111" s="315"/>
      <c r="V111" s="315"/>
      <c r="W111" s="325">
        <v>6.38602604166954</v>
      </c>
      <c r="X111" s="326" t="s">
        <v>2569</v>
      </c>
      <c r="Y111" s="335">
        <v>8700000</v>
      </c>
      <c r="Z111" s="335">
        <v>20000</v>
      </c>
      <c r="AA111" s="335">
        <v>750000</v>
      </c>
      <c r="AB111" s="335">
        <v>150000</v>
      </c>
      <c r="AC111" s="335"/>
      <c r="AD111" s="335"/>
      <c r="AE111" s="335"/>
      <c r="AF111" s="335"/>
      <c r="AG111" s="349" t="s">
        <v>113</v>
      </c>
      <c r="AH111" s="349" t="s">
        <v>11917</v>
      </c>
      <c r="AI111" s="349"/>
      <c r="AJ111" s="306" t="s">
        <v>15736</v>
      </c>
      <c r="AK111" s="359">
        <v>8999535231</v>
      </c>
      <c r="AL111" s="359" t="s">
        <v>15737</v>
      </c>
      <c r="AM111" s="359" t="s">
        <v>15738</v>
      </c>
      <c r="AN111" s="359" t="s">
        <v>15739</v>
      </c>
      <c r="AO111" s="359"/>
      <c r="AP111" s="1628" t="s">
        <v>15740</v>
      </c>
      <c r="AQ111" s="368" t="s">
        <v>15741</v>
      </c>
      <c r="AR111" s="375" t="s">
        <v>15742</v>
      </c>
      <c r="AU111" s="270"/>
      <c r="AV111" s="270"/>
    </row>
    <row r="112" s="260" customFormat="1" ht="14.1" customHeight="1" spans="1:48">
      <c r="A112" s="1626" t="s">
        <v>970</v>
      </c>
      <c r="B112" s="277" t="s">
        <v>15743</v>
      </c>
      <c r="C112" s="278" t="s">
        <v>15744</v>
      </c>
      <c r="D112" s="279" t="s">
        <v>15745</v>
      </c>
      <c r="E112" s="290"/>
      <c r="F112" s="291"/>
      <c r="G112" s="292" t="s">
        <v>43</v>
      </c>
      <c r="H112" s="293" t="s">
        <v>44</v>
      </c>
      <c r="I112" s="293" t="s">
        <v>3089</v>
      </c>
      <c r="J112" s="306" t="s">
        <v>15722</v>
      </c>
      <c r="K112" s="305" t="s">
        <v>15723</v>
      </c>
      <c r="L112" s="303"/>
      <c r="M112" s="315">
        <v>42948</v>
      </c>
      <c r="N112" s="315">
        <v>43039</v>
      </c>
      <c r="O112" s="315"/>
      <c r="P112" s="315"/>
      <c r="Q112" s="315"/>
      <c r="R112" s="315"/>
      <c r="S112" s="315"/>
      <c r="T112" s="315"/>
      <c r="U112" s="315"/>
      <c r="V112" s="315"/>
      <c r="W112" s="325">
        <v>38.3860260416695</v>
      </c>
      <c r="X112" s="326" t="s">
        <v>2569</v>
      </c>
      <c r="Y112" s="342">
        <v>5000000</v>
      </c>
      <c r="Z112" s="342">
        <v>15000</v>
      </c>
      <c r="AA112" s="335">
        <v>750000</v>
      </c>
      <c r="AB112" s="335">
        <v>315000</v>
      </c>
      <c r="AC112" s="342"/>
      <c r="AD112" s="335">
        <v>1650000</v>
      </c>
      <c r="AE112" s="335"/>
      <c r="AF112" s="335"/>
      <c r="AG112" s="349" t="s">
        <v>112</v>
      </c>
      <c r="AH112" s="349">
        <v>400</v>
      </c>
      <c r="AI112" s="349"/>
      <c r="AJ112" s="306" t="s">
        <v>15746</v>
      </c>
      <c r="AK112" s="359" t="s">
        <v>15747</v>
      </c>
      <c r="AL112" s="359" t="s">
        <v>15748</v>
      </c>
      <c r="AM112" s="359" t="s">
        <v>15749</v>
      </c>
      <c r="AN112" s="359" t="s">
        <v>15750</v>
      </c>
      <c r="AO112" s="359" t="s">
        <v>2574</v>
      </c>
      <c r="AP112" s="359" t="s">
        <v>15751</v>
      </c>
      <c r="AQ112" s="86" t="s">
        <v>15752</v>
      </c>
      <c r="AR112" s="375" t="s">
        <v>2253</v>
      </c>
      <c r="AU112" s="270"/>
      <c r="AV112" s="270"/>
    </row>
    <row r="113" s="260" customFormat="1" ht="14.1" customHeight="1" spans="1:48">
      <c r="A113" s="1626" t="s">
        <v>3214</v>
      </c>
      <c r="B113" s="277" t="s">
        <v>15753</v>
      </c>
      <c r="C113" s="278" t="s">
        <v>15754</v>
      </c>
      <c r="D113" s="279" t="s">
        <v>15755</v>
      </c>
      <c r="E113" s="290"/>
      <c r="F113" s="291"/>
      <c r="G113" s="292" t="s">
        <v>43</v>
      </c>
      <c r="H113" s="293" t="s">
        <v>44</v>
      </c>
      <c r="I113" s="293" t="s">
        <v>15655</v>
      </c>
      <c r="J113" s="306" t="s">
        <v>15756</v>
      </c>
      <c r="K113" s="305" t="s">
        <v>15757</v>
      </c>
      <c r="L113" s="303"/>
      <c r="M113" s="315">
        <v>42961</v>
      </c>
      <c r="N113" s="315">
        <v>43052</v>
      </c>
      <c r="O113" s="315"/>
      <c r="P113" s="315"/>
      <c r="Q113" s="315"/>
      <c r="R113" s="315"/>
      <c r="S113" s="315"/>
      <c r="T113" s="315"/>
      <c r="U113" s="315"/>
      <c r="V113" s="315"/>
      <c r="W113" s="325">
        <v>51.3860260416695</v>
      </c>
      <c r="X113" s="326" t="s">
        <v>745</v>
      </c>
      <c r="Y113" s="342">
        <v>7000000</v>
      </c>
      <c r="Z113" s="342">
        <v>15000</v>
      </c>
      <c r="AA113" s="335">
        <v>750000</v>
      </c>
      <c r="AB113" s="335">
        <v>315000</v>
      </c>
      <c r="AC113" s="342"/>
      <c r="AD113" s="335">
        <v>1650000</v>
      </c>
      <c r="AE113" s="335"/>
      <c r="AF113" s="335"/>
      <c r="AG113" s="349" t="s">
        <v>112</v>
      </c>
      <c r="AH113" s="349">
        <v>400</v>
      </c>
      <c r="AI113" s="349"/>
      <c r="AJ113" s="306" t="s">
        <v>15758</v>
      </c>
      <c r="AK113" s="359" t="s">
        <v>15759</v>
      </c>
      <c r="AL113" s="359" t="s">
        <v>15760</v>
      </c>
      <c r="AM113" s="359" t="s">
        <v>15761</v>
      </c>
      <c r="AN113" s="359" t="s">
        <v>15762</v>
      </c>
      <c r="AO113" s="359"/>
      <c r="AP113" s="359"/>
      <c r="AQ113" s="86" t="s">
        <v>15763</v>
      </c>
      <c r="AR113" s="375" t="s">
        <v>15764</v>
      </c>
      <c r="AU113" s="270"/>
      <c r="AV113" s="270"/>
    </row>
    <row r="114" s="260" customFormat="1" ht="14.1" customHeight="1" spans="1:48">
      <c r="A114" s="1626" t="s">
        <v>1307</v>
      </c>
      <c r="B114" s="277"/>
      <c r="C114" s="278" t="s">
        <v>15765</v>
      </c>
      <c r="D114" s="279" t="s">
        <v>15766</v>
      </c>
      <c r="E114" s="290"/>
      <c r="F114" s="291"/>
      <c r="G114" s="292" t="s">
        <v>43</v>
      </c>
      <c r="H114" s="293" t="s">
        <v>44</v>
      </c>
      <c r="I114" s="293" t="s">
        <v>3528</v>
      </c>
      <c r="J114" s="306" t="s">
        <v>15767</v>
      </c>
      <c r="K114" s="305" t="s">
        <v>15768</v>
      </c>
      <c r="L114" s="303"/>
      <c r="M114" s="315">
        <v>42986</v>
      </c>
      <c r="N114" s="315">
        <v>43077</v>
      </c>
      <c r="O114" s="315"/>
      <c r="P114" s="315"/>
      <c r="Q114" s="315"/>
      <c r="R114" s="315"/>
      <c r="S114" s="315"/>
      <c r="T114" s="315"/>
      <c r="U114" s="315"/>
      <c r="V114" s="315"/>
      <c r="W114" s="325">
        <v>76.3860260416695</v>
      </c>
      <c r="X114" s="326" t="s">
        <v>745</v>
      </c>
      <c r="Y114" s="342">
        <v>100000</v>
      </c>
      <c r="Z114" s="342" t="s">
        <v>583</v>
      </c>
      <c r="AA114" s="335" t="s">
        <v>583</v>
      </c>
      <c r="AB114" s="335" t="s">
        <v>583</v>
      </c>
      <c r="AC114" s="342"/>
      <c r="AD114" s="335" t="s">
        <v>583</v>
      </c>
      <c r="AE114" s="335"/>
      <c r="AF114" s="335"/>
      <c r="AG114" s="349"/>
      <c r="AH114" s="349"/>
      <c r="AI114" s="349"/>
      <c r="AJ114" s="306" t="s">
        <v>15769</v>
      </c>
      <c r="AK114" s="359" t="s">
        <v>15770</v>
      </c>
      <c r="AL114" s="359" t="s">
        <v>15771</v>
      </c>
      <c r="AM114" s="359"/>
      <c r="AN114" s="359" t="s">
        <v>15772</v>
      </c>
      <c r="AO114" s="359"/>
      <c r="AP114" s="359"/>
      <c r="AQ114" s="86" t="s">
        <v>15773</v>
      </c>
      <c r="AR114" s="375" t="s">
        <v>15774</v>
      </c>
      <c r="AU114" s="270"/>
      <c r="AV114" s="270"/>
    </row>
    <row r="115" s="260" customFormat="1" ht="14.1" customHeight="1" spans="1:48">
      <c r="A115" s="1626" t="s">
        <v>1339</v>
      </c>
      <c r="B115" s="277"/>
      <c r="C115" s="278" t="s">
        <v>15775</v>
      </c>
      <c r="D115" s="279" t="s">
        <v>15776</v>
      </c>
      <c r="E115" s="290"/>
      <c r="F115" s="291"/>
      <c r="G115" s="292" t="s">
        <v>43</v>
      </c>
      <c r="H115" s="293" t="s">
        <v>44</v>
      </c>
      <c r="I115" s="293" t="s">
        <v>3528</v>
      </c>
      <c r="J115" s="306" t="s">
        <v>15777</v>
      </c>
      <c r="K115" s="305" t="s">
        <v>15768</v>
      </c>
      <c r="L115" s="303"/>
      <c r="M115" s="315">
        <v>42989</v>
      </c>
      <c r="N115" s="315">
        <v>43080</v>
      </c>
      <c r="O115" s="315"/>
      <c r="P115" s="315"/>
      <c r="Q115" s="315"/>
      <c r="R115" s="315"/>
      <c r="S115" s="315"/>
      <c r="T115" s="315"/>
      <c r="U115" s="315"/>
      <c r="V115" s="315"/>
      <c r="W115" s="325">
        <v>79.3860260416695</v>
      </c>
      <c r="X115" s="326" t="s">
        <v>745</v>
      </c>
      <c r="Y115" s="342">
        <v>100000</v>
      </c>
      <c r="Z115" s="342"/>
      <c r="AA115" s="335"/>
      <c r="AB115" s="335"/>
      <c r="AC115" s="342"/>
      <c r="AD115" s="335"/>
      <c r="AE115" s="335"/>
      <c r="AF115" s="335"/>
      <c r="AG115" s="349"/>
      <c r="AH115" s="349"/>
      <c r="AI115" s="349"/>
      <c r="AJ115" s="306" t="s">
        <v>15778</v>
      </c>
      <c r="AK115" s="359" t="s">
        <v>15779</v>
      </c>
      <c r="AL115" s="359" t="s">
        <v>15780</v>
      </c>
      <c r="AM115" s="359"/>
      <c r="AN115" s="359" t="s">
        <v>15781</v>
      </c>
      <c r="AO115" s="359"/>
      <c r="AP115" s="359"/>
      <c r="AQ115" s="86" t="s">
        <v>15782</v>
      </c>
      <c r="AR115" s="375" t="s">
        <v>15774</v>
      </c>
      <c r="AU115" s="270"/>
      <c r="AV115" s="270"/>
    </row>
    <row r="116" s="260" customFormat="1" ht="14.1" customHeight="1" spans="1:48">
      <c r="A116" s="1626" t="s">
        <v>777</v>
      </c>
      <c r="B116" s="1626" t="s">
        <v>15783</v>
      </c>
      <c r="C116" s="278" t="s">
        <v>15784</v>
      </c>
      <c r="D116" s="279" t="s">
        <v>15785</v>
      </c>
      <c r="E116" s="290">
        <v>28</v>
      </c>
      <c r="F116" s="291" t="s">
        <v>15698</v>
      </c>
      <c r="G116" s="292" t="s">
        <v>43</v>
      </c>
      <c r="H116" s="293" t="s">
        <v>60</v>
      </c>
      <c r="I116" s="293" t="s">
        <v>3089</v>
      </c>
      <c r="J116" s="306" t="s">
        <v>15722</v>
      </c>
      <c r="K116" s="305" t="s">
        <v>15786</v>
      </c>
      <c r="L116" s="303"/>
      <c r="M116" s="315">
        <v>42933</v>
      </c>
      <c r="N116" s="315">
        <v>43024</v>
      </c>
      <c r="O116" s="315"/>
      <c r="P116" s="315" t="s">
        <v>583</v>
      </c>
      <c r="Q116" s="315"/>
      <c r="R116" s="315"/>
      <c r="S116" s="315"/>
      <c r="T116" s="315"/>
      <c r="U116" s="315"/>
      <c r="V116" s="315"/>
      <c r="W116" s="325">
        <f ca="1">SUM(N116-NOW())</f>
        <v>-248.38453703704</v>
      </c>
      <c r="X116" s="326" t="str">
        <f ca="1">IF(W116&lt;=46,"WARNING","ACTIVE")</f>
        <v>WARNING</v>
      </c>
      <c r="Y116" s="335">
        <v>4000000</v>
      </c>
      <c r="Z116" s="335">
        <v>20000</v>
      </c>
      <c r="AA116" s="335">
        <v>750000</v>
      </c>
      <c r="AB116" s="335">
        <v>315000</v>
      </c>
      <c r="AC116" s="335"/>
      <c r="AD116" s="335">
        <v>1650000</v>
      </c>
      <c r="AE116" s="335"/>
      <c r="AF116" s="335"/>
      <c r="AG116" s="349" t="s">
        <v>112</v>
      </c>
      <c r="AH116" s="349" t="s">
        <v>11917</v>
      </c>
      <c r="AI116" s="349"/>
      <c r="AJ116" s="306" t="s">
        <v>15787</v>
      </c>
      <c r="AK116" s="1628" t="s">
        <v>15788</v>
      </c>
      <c r="AL116" s="359" t="s">
        <v>15789</v>
      </c>
      <c r="AM116" s="359" t="s">
        <v>15790</v>
      </c>
      <c r="AN116" s="359" t="s">
        <v>15791</v>
      </c>
      <c r="AO116" s="359" t="s">
        <v>15792</v>
      </c>
      <c r="AP116" s="1628" t="s">
        <v>15793</v>
      </c>
      <c r="AQ116" s="368" t="s">
        <v>15794</v>
      </c>
      <c r="AR116" s="412" t="s">
        <v>15795</v>
      </c>
      <c r="AU116" s="270"/>
      <c r="AV116" s="270"/>
    </row>
    <row r="117" s="260" customFormat="1" ht="14.1" customHeight="1" spans="1:48">
      <c r="A117" s="1626" t="s">
        <v>753</v>
      </c>
      <c r="B117" s="1626" t="s">
        <v>15139</v>
      </c>
      <c r="C117" s="278" t="s">
        <v>15140</v>
      </c>
      <c r="D117" s="279" t="s">
        <v>15141</v>
      </c>
      <c r="E117" s="290">
        <v>23</v>
      </c>
      <c r="F117" s="291"/>
      <c r="G117" s="292" t="s">
        <v>125</v>
      </c>
      <c r="H117" s="293" t="s">
        <v>44</v>
      </c>
      <c r="I117" s="293" t="s">
        <v>3528</v>
      </c>
      <c r="J117" s="306" t="s">
        <v>15796</v>
      </c>
      <c r="K117" s="305" t="s">
        <v>15797</v>
      </c>
      <c r="L117" s="303"/>
      <c r="M117" s="315">
        <v>42933</v>
      </c>
      <c r="N117" s="315">
        <v>43024</v>
      </c>
      <c r="O117" s="315"/>
      <c r="P117" s="315" t="s">
        <v>583</v>
      </c>
      <c r="Q117" s="315"/>
      <c r="R117" s="315"/>
      <c r="S117" s="315"/>
      <c r="T117" s="315"/>
      <c r="U117" s="315"/>
      <c r="V117" s="315"/>
      <c r="W117" s="325">
        <f ca="1">SUM(N117-NOW())</f>
        <v>-248.38453703704</v>
      </c>
      <c r="X117" s="326" t="str">
        <f ca="1">IF(W117&lt;=46,"WARNING","ACTIVE")</f>
        <v>WARNING</v>
      </c>
      <c r="Y117" s="335">
        <v>100000</v>
      </c>
      <c r="Z117" s="335" t="s">
        <v>583</v>
      </c>
      <c r="AA117" s="335" t="s">
        <v>583</v>
      </c>
      <c r="AB117" s="335" t="s">
        <v>583</v>
      </c>
      <c r="AC117" s="335"/>
      <c r="AD117" s="335" t="s">
        <v>583</v>
      </c>
      <c r="AE117" s="335"/>
      <c r="AF117" s="335"/>
      <c r="AG117" s="349" t="s">
        <v>112</v>
      </c>
      <c r="AH117" s="349" t="s">
        <v>112</v>
      </c>
      <c r="AI117" s="349"/>
      <c r="AJ117" s="306" t="s">
        <v>15144</v>
      </c>
      <c r="AK117" s="1628" t="s">
        <v>15145</v>
      </c>
      <c r="AL117" s="359" t="s">
        <v>15146</v>
      </c>
      <c r="AM117" s="359"/>
      <c r="AN117" s="359" t="s">
        <v>15148</v>
      </c>
      <c r="AO117" s="359"/>
      <c r="AP117" s="359"/>
      <c r="AQ117" s="368" t="s">
        <v>15798</v>
      </c>
      <c r="AR117" s="375" t="s">
        <v>15799</v>
      </c>
      <c r="AU117" s="270"/>
      <c r="AV117" s="270"/>
    </row>
    <row r="118" s="260" customFormat="1" ht="14.1" customHeight="1" spans="1:48">
      <c r="A118" s="1624" t="s">
        <v>56</v>
      </c>
      <c r="B118" s="1626" t="s">
        <v>15800</v>
      </c>
      <c r="C118" s="278" t="s">
        <v>15801</v>
      </c>
      <c r="D118" s="279" t="s">
        <v>1009</v>
      </c>
      <c r="E118" s="290">
        <v>33</v>
      </c>
      <c r="F118" s="291" t="s">
        <v>15802</v>
      </c>
      <c r="G118" s="292" t="s">
        <v>125</v>
      </c>
      <c r="H118" s="293" t="s">
        <v>404</v>
      </c>
      <c r="I118" s="293" t="s">
        <v>3528</v>
      </c>
      <c r="J118" s="306" t="s">
        <v>15803</v>
      </c>
      <c r="K118" s="305" t="s">
        <v>15804</v>
      </c>
      <c r="L118" s="303"/>
      <c r="M118" s="315">
        <v>42149</v>
      </c>
      <c r="N118" s="315">
        <v>42514</v>
      </c>
      <c r="O118" s="315">
        <v>42879</v>
      </c>
      <c r="P118" s="315"/>
      <c r="Q118" s="315"/>
      <c r="R118" s="315"/>
      <c r="S118" s="315">
        <v>42880</v>
      </c>
      <c r="T118" s="315">
        <v>42970</v>
      </c>
      <c r="U118" s="315">
        <v>43062</v>
      </c>
      <c r="V118" s="315"/>
      <c r="W118" s="325">
        <v>-4.60792083333217</v>
      </c>
      <c r="X118" s="326" t="s">
        <v>2569</v>
      </c>
      <c r="Y118" s="335">
        <v>6148000</v>
      </c>
      <c r="Z118" s="335">
        <v>220000</v>
      </c>
      <c r="AA118" s="335"/>
      <c r="AB118" s="335"/>
      <c r="AC118" s="335"/>
      <c r="AD118" s="335"/>
      <c r="AE118" s="335"/>
      <c r="AF118" s="335"/>
      <c r="AG118" s="349" t="s">
        <v>48</v>
      </c>
      <c r="AH118" s="349" t="s">
        <v>14428</v>
      </c>
      <c r="AI118" s="349" t="s">
        <v>15805</v>
      </c>
      <c r="AJ118" s="306" t="s">
        <v>15806</v>
      </c>
      <c r="AK118" s="1628" t="s">
        <v>15807</v>
      </c>
      <c r="AL118" s="359" t="s">
        <v>15808</v>
      </c>
      <c r="AM118" s="359" t="s">
        <v>15809</v>
      </c>
      <c r="AN118" s="359" t="s">
        <v>15810</v>
      </c>
      <c r="AO118" s="359">
        <v>0</v>
      </c>
      <c r="AP118" s="1628" t="s">
        <v>15811</v>
      </c>
      <c r="AQ118" s="368" t="s">
        <v>15812</v>
      </c>
      <c r="AR118" s="375" t="s">
        <v>15813</v>
      </c>
      <c r="AU118" s="270"/>
      <c r="AV118" s="270"/>
    </row>
    <row r="119" s="260" customFormat="1" ht="14.1" customHeight="1" spans="1:48">
      <c r="A119" s="1624" t="s">
        <v>194</v>
      </c>
      <c r="B119" s="1626" t="s">
        <v>15814</v>
      </c>
      <c r="C119" s="278" t="s">
        <v>15815</v>
      </c>
      <c r="D119" s="279" t="s">
        <v>15816</v>
      </c>
      <c r="E119" s="290">
        <v>41</v>
      </c>
      <c r="F119" s="291" t="s">
        <v>15817</v>
      </c>
      <c r="G119" s="292" t="s">
        <v>125</v>
      </c>
      <c r="H119" s="293" t="s">
        <v>43</v>
      </c>
      <c r="I119" s="293" t="s">
        <v>3528</v>
      </c>
      <c r="J119" s="306" t="s">
        <v>15818</v>
      </c>
      <c r="K119" s="305" t="s">
        <v>15819</v>
      </c>
      <c r="L119" s="303"/>
      <c r="M119" s="315">
        <v>42583</v>
      </c>
      <c r="N119" s="315">
        <v>42947</v>
      </c>
      <c r="O119" s="315">
        <v>43039</v>
      </c>
      <c r="P119" s="315"/>
      <c r="Q119" s="315"/>
      <c r="R119" s="315"/>
      <c r="S119" s="315"/>
      <c r="T119" s="315"/>
      <c r="U119" s="315"/>
      <c r="V119" s="315"/>
      <c r="W119" s="325">
        <v>-27.6079208333322</v>
      </c>
      <c r="X119" s="326" t="s">
        <v>2569</v>
      </c>
      <c r="Y119" s="335">
        <v>38000000</v>
      </c>
      <c r="Z119" s="335">
        <v>20000</v>
      </c>
      <c r="AA119" s="335">
        <v>2600000</v>
      </c>
      <c r="AB119" s="335">
        <v>250000</v>
      </c>
      <c r="AC119" s="335"/>
      <c r="AD119" s="335"/>
      <c r="AE119" s="335"/>
      <c r="AF119" s="335"/>
      <c r="AG119" s="349" t="s">
        <v>48</v>
      </c>
      <c r="AH119" s="349" t="s">
        <v>14576</v>
      </c>
      <c r="AI119" s="349"/>
      <c r="AJ119" s="306" t="s">
        <v>15820</v>
      </c>
      <c r="AK119" s="1628" t="s">
        <v>15821</v>
      </c>
      <c r="AL119" s="359" t="s">
        <v>15822</v>
      </c>
      <c r="AM119" s="359" t="s">
        <v>15823</v>
      </c>
      <c r="AN119" s="359" t="s">
        <v>15824</v>
      </c>
      <c r="AO119" s="359"/>
      <c r="AP119" s="1628" t="s">
        <v>15825</v>
      </c>
      <c r="AQ119" s="368" t="s">
        <v>15826</v>
      </c>
      <c r="AR119" s="375" t="s">
        <v>2932</v>
      </c>
      <c r="AU119" s="270"/>
      <c r="AV119" s="270"/>
    </row>
    <row r="120" s="260" customFormat="1" ht="14.1" customHeight="1" spans="1:48">
      <c r="A120" s="1624" t="s">
        <v>400</v>
      </c>
      <c r="B120" s="1626" t="s">
        <v>15827</v>
      </c>
      <c r="C120" s="278" t="s">
        <v>15828</v>
      </c>
      <c r="D120" s="279" t="s">
        <v>15829</v>
      </c>
      <c r="E120" s="290">
        <v>32</v>
      </c>
      <c r="F120" s="291"/>
      <c r="G120" s="292" t="s">
        <v>43</v>
      </c>
      <c r="H120" s="293" t="s">
        <v>404</v>
      </c>
      <c r="I120" s="293" t="s">
        <v>15830</v>
      </c>
      <c r="J120" s="306" t="s">
        <v>15831</v>
      </c>
      <c r="K120" s="305" t="s">
        <v>15832</v>
      </c>
      <c r="L120" s="303"/>
      <c r="M120" s="315">
        <v>42807</v>
      </c>
      <c r="N120" s="315">
        <v>42990</v>
      </c>
      <c r="O120" s="315">
        <v>43051</v>
      </c>
      <c r="P120" s="315" t="s">
        <v>583</v>
      </c>
      <c r="Q120" s="315"/>
      <c r="R120" s="315"/>
      <c r="S120" s="315"/>
      <c r="T120" s="315"/>
      <c r="U120" s="315"/>
      <c r="V120" s="315"/>
      <c r="W120" s="325">
        <v>-15.6079208333322</v>
      </c>
      <c r="X120" s="326" t="s">
        <v>2569</v>
      </c>
      <c r="Y120" s="335">
        <v>5500000</v>
      </c>
      <c r="Z120" s="335">
        <v>15000</v>
      </c>
      <c r="AA120" s="335">
        <v>750000</v>
      </c>
      <c r="AB120" s="335">
        <v>300000</v>
      </c>
      <c r="AC120" s="335"/>
      <c r="AD120" s="335">
        <v>1650000</v>
      </c>
      <c r="AE120" s="335"/>
      <c r="AF120" s="335"/>
      <c r="AG120" s="349" t="s">
        <v>112</v>
      </c>
      <c r="AH120" s="349" t="s">
        <v>11917</v>
      </c>
      <c r="AI120" s="349"/>
      <c r="AJ120" s="306" t="s">
        <v>15833</v>
      </c>
      <c r="AK120" s="359">
        <v>81243385557</v>
      </c>
      <c r="AL120" s="359" t="s">
        <v>15834</v>
      </c>
      <c r="AM120" s="359" t="s">
        <v>15835</v>
      </c>
      <c r="AN120" s="359" t="s">
        <v>15836</v>
      </c>
      <c r="AO120" s="359"/>
      <c r="AP120" s="359"/>
      <c r="AQ120" s="368" t="s">
        <v>15837</v>
      </c>
      <c r="AR120" s="375" t="s">
        <v>15838</v>
      </c>
      <c r="AU120" s="270"/>
      <c r="AV120" s="270"/>
    </row>
    <row r="121" s="260" customFormat="1" ht="14.1" customHeight="1" spans="1:48">
      <c r="A121" s="1624" t="s">
        <v>483</v>
      </c>
      <c r="B121" s="1626" t="s">
        <v>15151</v>
      </c>
      <c r="C121" s="278" t="s">
        <v>15152</v>
      </c>
      <c r="D121" s="279" t="s">
        <v>15153</v>
      </c>
      <c r="E121" s="290">
        <v>30</v>
      </c>
      <c r="F121" s="291"/>
      <c r="G121" s="292" t="s">
        <v>43</v>
      </c>
      <c r="H121" s="293" t="s">
        <v>44</v>
      </c>
      <c r="I121" s="293" t="s">
        <v>3997</v>
      </c>
      <c r="J121" s="306" t="s">
        <v>15154</v>
      </c>
      <c r="K121" s="305" t="s">
        <v>15155</v>
      </c>
      <c r="L121" s="303"/>
      <c r="M121" s="315">
        <v>42835</v>
      </c>
      <c r="N121" s="315">
        <v>43017</v>
      </c>
      <c r="O121" s="315">
        <v>43047</v>
      </c>
      <c r="P121" s="315"/>
      <c r="Q121" s="315"/>
      <c r="R121" s="315"/>
      <c r="S121" s="315"/>
      <c r="T121" s="315"/>
      <c r="U121" s="315"/>
      <c r="V121" s="315"/>
      <c r="W121" s="325">
        <v>-19.6079208333322</v>
      </c>
      <c r="X121" s="326" t="s">
        <v>2569</v>
      </c>
      <c r="Y121" s="335">
        <v>3500000</v>
      </c>
      <c r="Z121" s="335">
        <v>13500</v>
      </c>
      <c r="AA121" s="335">
        <v>300000</v>
      </c>
      <c r="AB121" s="335">
        <v>750000</v>
      </c>
      <c r="AC121" s="335"/>
      <c r="AD121" s="335">
        <v>1650000</v>
      </c>
      <c r="AE121" s="335"/>
      <c r="AF121" s="335"/>
      <c r="AG121" s="349" t="s">
        <v>0</v>
      </c>
      <c r="AH121" s="349" t="s">
        <v>11917</v>
      </c>
      <c r="AI121" s="349"/>
      <c r="AJ121" s="306" t="s">
        <v>15157</v>
      </c>
      <c r="AK121" s="1628" t="s">
        <v>15158</v>
      </c>
      <c r="AL121" s="359" t="s">
        <v>15159</v>
      </c>
      <c r="AM121" s="359" t="s">
        <v>15160</v>
      </c>
      <c r="AN121" s="359" t="s">
        <v>15161</v>
      </c>
      <c r="AO121" s="359" t="s">
        <v>15162</v>
      </c>
      <c r="AP121" s="1628" t="s">
        <v>15163</v>
      </c>
      <c r="AQ121" s="368" t="s">
        <v>15839</v>
      </c>
      <c r="AR121" s="375" t="s">
        <v>15840</v>
      </c>
      <c r="AU121" s="270"/>
      <c r="AV121" s="270"/>
    </row>
    <row r="122" s="260" customFormat="1" ht="14.1" customHeight="1" spans="1:48">
      <c r="A122" s="1624" t="s">
        <v>494</v>
      </c>
      <c r="B122" s="1626" t="s">
        <v>15841</v>
      </c>
      <c r="C122" s="278" t="s">
        <v>15842</v>
      </c>
      <c r="D122" s="279" t="s">
        <v>15843</v>
      </c>
      <c r="E122" s="290">
        <v>31</v>
      </c>
      <c r="F122" s="291"/>
      <c r="G122" s="292" t="s">
        <v>125</v>
      </c>
      <c r="H122" s="293" t="s">
        <v>404</v>
      </c>
      <c r="I122" s="293" t="s">
        <v>3528</v>
      </c>
      <c r="J122" s="306" t="s">
        <v>15299</v>
      </c>
      <c r="K122" s="305" t="s">
        <v>14974</v>
      </c>
      <c r="L122" s="303"/>
      <c r="M122" s="315">
        <v>42845</v>
      </c>
      <c r="N122" s="315">
        <v>43027</v>
      </c>
      <c r="O122" s="315">
        <v>43058</v>
      </c>
      <c r="P122" s="315"/>
      <c r="Q122" s="315"/>
      <c r="R122" s="315"/>
      <c r="S122" s="315"/>
      <c r="T122" s="315"/>
      <c r="U122" s="315"/>
      <c r="V122" s="315"/>
      <c r="W122" s="325">
        <v>-8.60792083333217</v>
      </c>
      <c r="X122" s="326" t="s">
        <v>2569</v>
      </c>
      <c r="Y122" s="335">
        <v>18000000</v>
      </c>
      <c r="Z122" s="335">
        <v>20000</v>
      </c>
      <c r="AA122" s="335">
        <v>1200000</v>
      </c>
      <c r="AB122" s="335">
        <v>250000</v>
      </c>
      <c r="AC122" s="335" t="s">
        <v>583</v>
      </c>
      <c r="AD122" s="335" t="s">
        <v>583</v>
      </c>
      <c r="AE122" s="335"/>
      <c r="AF122" s="335"/>
      <c r="AG122" s="349" t="s">
        <v>48</v>
      </c>
      <c r="AH122" s="349" t="s">
        <v>14576</v>
      </c>
      <c r="AI122" s="349" t="s">
        <v>15844</v>
      </c>
      <c r="AJ122" s="306" t="s">
        <v>15845</v>
      </c>
      <c r="AK122" s="359">
        <v>8118902087</v>
      </c>
      <c r="AL122" s="359" t="s">
        <v>15846</v>
      </c>
      <c r="AM122" s="359" t="s">
        <v>15847</v>
      </c>
      <c r="AN122" s="359" t="s">
        <v>15848</v>
      </c>
      <c r="AO122" s="359"/>
      <c r="AP122" s="1628" t="s">
        <v>15849</v>
      </c>
      <c r="AQ122" s="368" t="s">
        <v>15850</v>
      </c>
      <c r="AR122" s="375" t="s">
        <v>4749</v>
      </c>
      <c r="AU122" s="270"/>
      <c r="AV122" s="270"/>
    </row>
    <row r="123" s="260" customFormat="1" ht="14.1" customHeight="1" spans="1:48">
      <c r="A123" s="1624" t="s">
        <v>504</v>
      </c>
      <c r="B123" s="1626" t="s">
        <v>15851</v>
      </c>
      <c r="C123" s="278" t="s">
        <v>15852</v>
      </c>
      <c r="D123" s="279" t="s">
        <v>15853</v>
      </c>
      <c r="E123" s="290">
        <v>29</v>
      </c>
      <c r="F123" s="291"/>
      <c r="G123" s="292" t="s">
        <v>43</v>
      </c>
      <c r="H123" s="293" t="s">
        <v>44</v>
      </c>
      <c r="I123" s="293" t="s">
        <v>6822</v>
      </c>
      <c r="J123" s="306" t="s">
        <v>15854</v>
      </c>
      <c r="K123" s="305" t="s">
        <v>15832</v>
      </c>
      <c r="L123" s="303"/>
      <c r="M123" s="315">
        <v>42870</v>
      </c>
      <c r="N123" s="315">
        <v>43053</v>
      </c>
      <c r="O123" s="315"/>
      <c r="P123" s="315"/>
      <c r="Q123" s="315"/>
      <c r="R123" s="315"/>
      <c r="S123" s="315"/>
      <c r="T123" s="315"/>
      <c r="U123" s="315"/>
      <c r="V123" s="315"/>
      <c r="W123" s="325">
        <v>-13.6079208333322</v>
      </c>
      <c r="X123" s="326" t="s">
        <v>2569</v>
      </c>
      <c r="Y123" s="335">
        <v>8500000</v>
      </c>
      <c r="Z123" s="335">
        <v>20000</v>
      </c>
      <c r="AA123" s="335">
        <v>750000</v>
      </c>
      <c r="AB123" s="335">
        <v>315000</v>
      </c>
      <c r="AC123" s="335"/>
      <c r="AD123" s="335">
        <v>1650000</v>
      </c>
      <c r="AE123" s="335"/>
      <c r="AF123" s="335"/>
      <c r="AG123" s="349" t="s">
        <v>4669</v>
      </c>
      <c r="AH123" s="349" t="s">
        <v>11917</v>
      </c>
      <c r="AI123" s="349"/>
      <c r="AJ123" s="306" t="s">
        <v>15855</v>
      </c>
      <c r="AK123" s="359">
        <v>85230433788</v>
      </c>
      <c r="AL123" s="359" t="s">
        <v>15856</v>
      </c>
      <c r="AM123" s="359" t="s">
        <v>15857</v>
      </c>
      <c r="AN123" s="359" t="s">
        <v>15858</v>
      </c>
      <c r="AO123" s="359"/>
      <c r="AP123" s="359"/>
      <c r="AQ123" s="368" t="s">
        <v>15859</v>
      </c>
      <c r="AR123" s="375" t="s">
        <v>15860</v>
      </c>
      <c r="AU123" s="270"/>
      <c r="AV123" s="270"/>
    </row>
    <row r="124" s="260" customFormat="1" ht="14.1" customHeight="1" spans="1:48">
      <c r="A124" s="1624" t="s">
        <v>525</v>
      </c>
      <c r="B124" s="1624" t="s">
        <v>15861</v>
      </c>
      <c r="C124" s="275" t="s">
        <v>15862</v>
      </c>
      <c r="D124" s="276" t="s">
        <v>15863</v>
      </c>
      <c r="E124" s="285">
        <v>32</v>
      </c>
      <c r="F124" s="286"/>
      <c r="G124" s="287" t="s">
        <v>43</v>
      </c>
      <c r="H124" s="288" t="s">
        <v>44</v>
      </c>
      <c r="I124" s="288" t="s">
        <v>15864</v>
      </c>
      <c r="J124" s="301" t="s">
        <v>15865</v>
      </c>
      <c r="K124" s="305" t="s">
        <v>15866</v>
      </c>
      <c r="L124" s="303"/>
      <c r="M124" s="313">
        <v>42850</v>
      </c>
      <c r="N124" s="313">
        <v>43032</v>
      </c>
      <c r="O124" s="313">
        <v>43202</v>
      </c>
      <c r="P124" s="313">
        <v>43214</v>
      </c>
      <c r="Q124" s="313"/>
      <c r="R124" s="313"/>
      <c r="S124" s="313"/>
      <c r="T124" s="313"/>
      <c r="U124" s="313"/>
      <c r="V124" s="313"/>
      <c r="W124" s="323">
        <v>135.392079166668</v>
      </c>
      <c r="X124" s="324" t="s">
        <v>745</v>
      </c>
      <c r="Y124" s="333">
        <v>4000000</v>
      </c>
      <c r="Z124" s="333">
        <v>15000</v>
      </c>
      <c r="AA124" s="333">
        <v>500000</v>
      </c>
      <c r="AB124" s="333">
        <v>250000</v>
      </c>
      <c r="AC124" s="333"/>
      <c r="AD124" s="333">
        <v>1650000</v>
      </c>
      <c r="AE124" s="333"/>
      <c r="AF124" s="333"/>
      <c r="AG124" s="347" t="s">
        <v>4669</v>
      </c>
      <c r="AH124" s="347" t="s">
        <v>11917</v>
      </c>
      <c r="AI124" s="347"/>
      <c r="AJ124" s="301" t="s">
        <v>15867</v>
      </c>
      <c r="AK124" s="1625" t="s">
        <v>15868</v>
      </c>
      <c r="AL124" s="358" t="s">
        <v>15869</v>
      </c>
      <c r="AM124" s="358" t="s">
        <v>15870</v>
      </c>
      <c r="AN124" s="358" t="s">
        <v>15871</v>
      </c>
      <c r="AO124" s="358" t="s">
        <v>15872</v>
      </c>
      <c r="AP124" s="1625" t="s">
        <v>15873</v>
      </c>
      <c r="AQ124" s="370" t="s">
        <v>15874</v>
      </c>
      <c r="AR124" s="375" t="s">
        <v>15875</v>
      </c>
      <c r="AU124" s="270"/>
      <c r="AV124" s="270"/>
    </row>
    <row r="125" s="260" customFormat="1" ht="14.1" customHeight="1" spans="1:48">
      <c r="A125" s="1624" t="s">
        <v>579</v>
      </c>
      <c r="B125" s="1626" t="s">
        <v>15876</v>
      </c>
      <c r="C125" s="278" t="s">
        <v>15877</v>
      </c>
      <c r="D125" s="279" t="s">
        <v>15878</v>
      </c>
      <c r="E125" s="290">
        <v>23</v>
      </c>
      <c r="F125" s="291"/>
      <c r="G125" s="292" t="s">
        <v>43</v>
      </c>
      <c r="H125" s="293" t="s">
        <v>44</v>
      </c>
      <c r="I125" s="293" t="s">
        <v>3886</v>
      </c>
      <c r="J125" s="306" t="s">
        <v>15879</v>
      </c>
      <c r="K125" s="305" t="s">
        <v>15880</v>
      </c>
      <c r="L125" s="303"/>
      <c r="M125" s="315">
        <v>42870</v>
      </c>
      <c r="N125" s="315">
        <v>43053</v>
      </c>
      <c r="O125" s="315"/>
      <c r="P125" s="315"/>
      <c r="Q125" s="315"/>
      <c r="R125" s="315"/>
      <c r="S125" s="315"/>
      <c r="T125" s="315"/>
      <c r="U125" s="315"/>
      <c r="V125" s="315"/>
      <c r="W125" s="325">
        <v>-13.6079208333322</v>
      </c>
      <c r="X125" s="326" t="s">
        <v>2569</v>
      </c>
      <c r="Y125" s="335">
        <v>3500000</v>
      </c>
      <c r="Z125" s="335">
        <v>15000</v>
      </c>
      <c r="AA125" s="335">
        <v>500000</v>
      </c>
      <c r="AB125" s="335">
        <v>250000</v>
      </c>
      <c r="AC125" s="335"/>
      <c r="AD125" s="335">
        <v>1650000</v>
      </c>
      <c r="AE125" s="335"/>
      <c r="AF125" s="335"/>
      <c r="AG125" s="349" t="s">
        <v>4669</v>
      </c>
      <c r="AH125" s="349" t="s">
        <v>11917</v>
      </c>
      <c r="AI125" s="349"/>
      <c r="AJ125" s="306" t="s">
        <v>15881</v>
      </c>
      <c r="AK125" s="1628" t="s">
        <v>15882</v>
      </c>
      <c r="AL125" s="359" t="s">
        <v>15883</v>
      </c>
      <c r="AM125" s="359">
        <v>0</v>
      </c>
      <c r="AN125" s="359" t="s">
        <v>15884</v>
      </c>
      <c r="AO125" s="359">
        <v>13021008688</v>
      </c>
      <c r="AP125" s="1628" t="s">
        <v>15885</v>
      </c>
      <c r="AQ125" s="368" t="s">
        <v>15886</v>
      </c>
      <c r="AR125" s="375" t="s">
        <v>15887</v>
      </c>
      <c r="AU125" s="270"/>
      <c r="AV125" s="270"/>
    </row>
    <row r="126" s="260" customFormat="1" ht="14.1" customHeight="1" spans="1:48">
      <c r="A126" s="1626" t="s">
        <v>671</v>
      </c>
      <c r="B126" s="1626" t="s">
        <v>15888</v>
      </c>
      <c r="C126" s="278" t="s">
        <v>15889</v>
      </c>
      <c r="D126" s="279" t="s">
        <v>15890</v>
      </c>
      <c r="E126" s="290">
        <v>21</v>
      </c>
      <c r="F126" s="291"/>
      <c r="G126" s="292" t="s">
        <v>125</v>
      </c>
      <c r="H126" s="293" t="s">
        <v>44</v>
      </c>
      <c r="I126" s="293" t="s">
        <v>3528</v>
      </c>
      <c r="J126" s="306" t="s">
        <v>15891</v>
      </c>
      <c r="K126" s="305" t="s">
        <v>15892</v>
      </c>
      <c r="L126" s="303"/>
      <c r="M126" s="315">
        <v>42940</v>
      </c>
      <c r="N126" s="315">
        <v>43031</v>
      </c>
      <c r="O126" s="315">
        <v>43062</v>
      </c>
      <c r="P126" s="315" t="s">
        <v>583</v>
      </c>
      <c r="Q126" s="315"/>
      <c r="R126" s="315"/>
      <c r="S126" s="315"/>
      <c r="T126" s="315"/>
      <c r="U126" s="315"/>
      <c r="V126" s="315"/>
      <c r="W126" s="325">
        <v>-4.60792083333217</v>
      </c>
      <c r="X126" s="326" t="s">
        <v>2569</v>
      </c>
      <c r="Y126" s="335">
        <v>100000</v>
      </c>
      <c r="Z126" s="335" t="s">
        <v>583</v>
      </c>
      <c r="AA126" s="335" t="s">
        <v>583</v>
      </c>
      <c r="AB126" s="335" t="s">
        <v>583</v>
      </c>
      <c r="AC126" s="335"/>
      <c r="AD126" s="335" t="s">
        <v>583</v>
      </c>
      <c r="AE126" s="335"/>
      <c r="AF126" s="335"/>
      <c r="AG126" s="349" t="s">
        <v>112</v>
      </c>
      <c r="AH126" s="349" t="s">
        <v>112</v>
      </c>
      <c r="AI126" s="349"/>
      <c r="AJ126" s="306" t="s">
        <v>15893</v>
      </c>
      <c r="AK126" s="1628" t="s">
        <v>15894</v>
      </c>
      <c r="AL126" s="359" t="s">
        <v>15895</v>
      </c>
      <c r="AM126" s="359"/>
      <c r="AN126" s="359" t="s">
        <v>15896</v>
      </c>
      <c r="AO126" s="359"/>
      <c r="AP126" s="359"/>
      <c r="AQ126" s="368" t="s">
        <v>15897</v>
      </c>
      <c r="AR126" s="375" t="s">
        <v>15898</v>
      </c>
      <c r="AU126" s="270"/>
      <c r="AV126" s="270"/>
    </row>
    <row r="127" s="260" customFormat="1" ht="14.1" customHeight="1" spans="1:48">
      <c r="A127" s="1624" t="s">
        <v>699</v>
      </c>
      <c r="B127" s="1626" t="s">
        <v>15139</v>
      </c>
      <c r="C127" s="278" t="s">
        <v>15140</v>
      </c>
      <c r="D127" s="279" t="s">
        <v>15141</v>
      </c>
      <c r="E127" s="290">
        <v>23</v>
      </c>
      <c r="F127" s="291"/>
      <c r="G127" s="292" t="s">
        <v>125</v>
      </c>
      <c r="H127" s="293" t="s">
        <v>44</v>
      </c>
      <c r="I127" s="293" t="s">
        <v>3528</v>
      </c>
      <c r="J127" s="306" t="s">
        <v>15796</v>
      </c>
      <c r="K127" s="305" t="s">
        <v>15797</v>
      </c>
      <c r="L127" s="303"/>
      <c r="M127" s="315">
        <v>42933</v>
      </c>
      <c r="N127" s="315">
        <v>43024</v>
      </c>
      <c r="O127" s="315"/>
      <c r="P127" s="315" t="s">
        <v>583</v>
      </c>
      <c r="Q127" s="315"/>
      <c r="R127" s="315"/>
      <c r="S127" s="315"/>
      <c r="T127" s="315"/>
      <c r="U127" s="315"/>
      <c r="V127" s="315"/>
      <c r="W127" s="325">
        <v>-42.6079208333322</v>
      </c>
      <c r="X127" s="326" t="s">
        <v>2569</v>
      </c>
      <c r="Y127" s="335">
        <v>100000</v>
      </c>
      <c r="Z127" s="335" t="s">
        <v>583</v>
      </c>
      <c r="AA127" s="335" t="s">
        <v>583</v>
      </c>
      <c r="AB127" s="335" t="s">
        <v>583</v>
      </c>
      <c r="AC127" s="335"/>
      <c r="AD127" s="335" t="s">
        <v>583</v>
      </c>
      <c r="AE127" s="335"/>
      <c r="AF127" s="335"/>
      <c r="AG127" s="349" t="s">
        <v>112</v>
      </c>
      <c r="AH127" s="349" t="s">
        <v>112</v>
      </c>
      <c r="AI127" s="349"/>
      <c r="AJ127" s="306" t="s">
        <v>15144</v>
      </c>
      <c r="AK127" s="1628" t="s">
        <v>15145</v>
      </c>
      <c r="AL127" s="359" t="s">
        <v>15146</v>
      </c>
      <c r="AM127" s="359"/>
      <c r="AN127" s="359" t="s">
        <v>15148</v>
      </c>
      <c r="AO127" s="359"/>
      <c r="AP127" s="359"/>
      <c r="AQ127" s="368" t="s">
        <v>15798</v>
      </c>
      <c r="AR127" s="375" t="s">
        <v>15799</v>
      </c>
      <c r="AU127" s="270"/>
      <c r="AV127" s="270"/>
    </row>
    <row r="128" s="260" customFormat="1" ht="14.1" customHeight="1" spans="1:48">
      <c r="A128" s="1624" t="s">
        <v>1026</v>
      </c>
      <c r="B128" s="277" t="s">
        <v>15899</v>
      </c>
      <c r="C128" s="278" t="s">
        <v>15900</v>
      </c>
      <c r="D128" s="279" t="s">
        <v>15901</v>
      </c>
      <c r="E128" s="290"/>
      <c r="F128" s="291" t="s">
        <v>15902</v>
      </c>
      <c r="G128" s="292" t="s">
        <v>125</v>
      </c>
      <c r="H128" s="293" t="s">
        <v>44</v>
      </c>
      <c r="I128" s="293" t="s">
        <v>1343</v>
      </c>
      <c r="J128" s="306" t="s">
        <v>15903</v>
      </c>
      <c r="K128" s="305" t="s">
        <v>15904</v>
      </c>
      <c r="L128" s="303"/>
      <c r="M128" s="315">
        <v>42972</v>
      </c>
      <c r="N128" s="315">
        <v>43155</v>
      </c>
      <c r="O128" s="315"/>
      <c r="P128" s="315"/>
      <c r="Q128" s="315"/>
      <c r="R128" s="315"/>
      <c r="S128" s="315"/>
      <c r="T128" s="315"/>
      <c r="U128" s="315"/>
      <c r="V128" s="315"/>
      <c r="W128" s="325">
        <v>88.3920791666678</v>
      </c>
      <c r="X128" s="326" t="s">
        <v>745</v>
      </c>
      <c r="Y128" s="342">
        <v>5500000</v>
      </c>
      <c r="Z128" s="342">
        <v>15000</v>
      </c>
      <c r="AA128" s="335">
        <v>750000</v>
      </c>
      <c r="AB128" s="335">
        <v>130000</v>
      </c>
      <c r="AC128" s="342"/>
      <c r="AD128" s="335">
        <v>1650000</v>
      </c>
      <c r="AE128" s="335"/>
      <c r="AF128" s="335"/>
      <c r="AG128" s="349" t="s">
        <v>113</v>
      </c>
      <c r="AH128" s="349" t="s">
        <v>15012</v>
      </c>
      <c r="AI128" s="349"/>
      <c r="AJ128" s="306" t="s">
        <v>15905</v>
      </c>
      <c r="AK128" s="359" t="s">
        <v>15906</v>
      </c>
      <c r="AL128" s="359" t="s">
        <v>15907</v>
      </c>
      <c r="AM128" s="359" t="s">
        <v>15908</v>
      </c>
      <c r="AN128" s="359" t="s">
        <v>15909</v>
      </c>
      <c r="AO128" s="359" t="s">
        <v>15910</v>
      </c>
      <c r="AP128" s="359" t="s">
        <v>15911</v>
      </c>
      <c r="AQ128" s="86" t="s">
        <v>15912</v>
      </c>
      <c r="AR128" s="375" t="s">
        <v>15875</v>
      </c>
      <c r="AU128" s="270"/>
      <c r="AV128" s="270"/>
    </row>
    <row r="129" s="260" customFormat="1" ht="14.1" customHeight="1" spans="1:48">
      <c r="A129" s="1626" t="s">
        <v>1173</v>
      </c>
      <c r="B129" s="32" t="s">
        <v>15913</v>
      </c>
      <c r="C129" s="278" t="s">
        <v>15914</v>
      </c>
      <c r="D129" s="279" t="s">
        <v>15915</v>
      </c>
      <c r="E129" s="290"/>
      <c r="F129" s="291" t="s">
        <v>15916</v>
      </c>
      <c r="G129" s="292" t="s">
        <v>43</v>
      </c>
      <c r="H129" s="293" t="s">
        <v>44</v>
      </c>
      <c r="I129" s="293" t="s">
        <v>15917</v>
      </c>
      <c r="J129" s="306" t="s">
        <v>15918</v>
      </c>
      <c r="K129" s="305" t="s">
        <v>15919</v>
      </c>
      <c r="L129" s="303"/>
      <c r="M129" s="315">
        <v>42979</v>
      </c>
      <c r="N129" s="315">
        <v>43159</v>
      </c>
      <c r="O129" s="315"/>
      <c r="P129" s="315"/>
      <c r="Q129" s="315"/>
      <c r="R129" s="315"/>
      <c r="S129" s="315"/>
      <c r="T129" s="315"/>
      <c r="U129" s="315"/>
      <c r="V129" s="315"/>
      <c r="W129" s="325">
        <v>92.3920791666678</v>
      </c>
      <c r="X129" s="326" t="s">
        <v>745</v>
      </c>
      <c r="Y129" s="342">
        <v>11500000</v>
      </c>
      <c r="Z129" s="342">
        <v>15000</v>
      </c>
      <c r="AA129" s="335">
        <v>750000</v>
      </c>
      <c r="AB129" s="335">
        <v>315000</v>
      </c>
      <c r="AC129" s="342"/>
      <c r="AD129" s="335">
        <v>1650000</v>
      </c>
      <c r="AE129" s="335"/>
      <c r="AF129" s="335"/>
      <c r="AG129" s="349" t="s">
        <v>112</v>
      </c>
      <c r="AH129" s="349">
        <v>750</v>
      </c>
      <c r="AI129" s="349"/>
      <c r="AJ129" s="306" t="s">
        <v>15920</v>
      </c>
      <c r="AK129" s="359" t="s">
        <v>15921</v>
      </c>
      <c r="AL129" s="359" t="s">
        <v>15922</v>
      </c>
      <c r="AM129" s="359" t="s">
        <v>15923</v>
      </c>
      <c r="AN129" s="359" t="s">
        <v>15924</v>
      </c>
      <c r="AO129" s="359"/>
      <c r="AP129" s="359"/>
      <c r="AQ129" s="86" t="s">
        <v>15925</v>
      </c>
      <c r="AR129" s="375" t="s">
        <v>15926</v>
      </c>
      <c r="AU129" s="270"/>
      <c r="AV129" s="270"/>
    </row>
    <row r="130" s="260" customFormat="1" ht="14.1" customHeight="1" spans="1:48">
      <c r="A130" s="1626" t="s">
        <v>1186</v>
      </c>
      <c r="B130" s="32" t="s">
        <v>15927</v>
      </c>
      <c r="C130" s="278" t="s">
        <v>15928</v>
      </c>
      <c r="D130" s="279" t="s">
        <v>15929</v>
      </c>
      <c r="E130" s="290"/>
      <c r="F130" s="291"/>
      <c r="G130" s="292" t="s">
        <v>43</v>
      </c>
      <c r="H130" s="293" t="s">
        <v>254</v>
      </c>
      <c r="I130" s="293" t="s">
        <v>15930</v>
      </c>
      <c r="J130" s="306" t="s">
        <v>15931</v>
      </c>
      <c r="K130" s="304" t="s">
        <v>15932</v>
      </c>
      <c r="L130" s="400"/>
      <c r="M130" s="315">
        <v>43010</v>
      </c>
      <c r="N130" s="315">
        <v>43086</v>
      </c>
      <c r="O130" s="315"/>
      <c r="P130" s="315"/>
      <c r="Q130" s="315"/>
      <c r="R130" s="315"/>
      <c r="S130" s="315"/>
      <c r="T130" s="315"/>
      <c r="U130" s="315"/>
      <c r="V130" s="315"/>
      <c r="W130" s="325">
        <v>19.3920791666678</v>
      </c>
      <c r="X130" s="326" t="s">
        <v>2569</v>
      </c>
      <c r="Y130" s="342">
        <v>8000000</v>
      </c>
      <c r="Z130" s="342">
        <v>13500</v>
      </c>
      <c r="AA130" s="335">
        <v>750000</v>
      </c>
      <c r="AB130" s="335">
        <v>315000</v>
      </c>
      <c r="AC130" s="342"/>
      <c r="AD130" s="335">
        <v>1650000</v>
      </c>
      <c r="AE130" s="335"/>
      <c r="AF130" s="335"/>
      <c r="AG130" s="349" t="s">
        <v>112</v>
      </c>
      <c r="AH130" s="349" t="s">
        <v>15012</v>
      </c>
      <c r="AI130" s="349"/>
      <c r="AJ130" s="306" t="s">
        <v>15933</v>
      </c>
      <c r="AK130" s="359" t="s">
        <v>15934</v>
      </c>
      <c r="AL130" s="359" t="s">
        <v>15935</v>
      </c>
      <c r="AM130" s="359" t="s">
        <v>15936</v>
      </c>
      <c r="AN130" s="359" t="s">
        <v>15937</v>
      </c>
      <c r="AO130" s="359"/>
      <c r="AP130" s="359"/>
      <c r="AQ130" s="86" t="s">
        <v>15938</v>
      </c>
      <c r="AR130" s="375" t="s">
        <v>15939</v>
      </c>
      <c r="AU130" s="270"/>
      <c r="AV130" s="270"/>
    </row>
    <row r="131" s="260" customFormat="1" ht="14.1" customHeight="1" spans="1:48">
      <c r="A131" s="1624" t="s">
        <v>1248</v>
      </c>
      <c r="B131" s="32" t="s">
        <v>15940</v>
      </c>
      <c r="C131" s="278" t="s">
        <v>15941</v>
      </c>
      <c r="D131" s="279" t="s">
        <v>15942</v>
      </c>
      <c r="E131" s="290"/>
      <c r="F131" s="291"/>
      <c r="G131" s="292" t="s">
        <v>43</v>
      </c>
      <c r="H131" s="293" t="s">
        <v>60</v>
      </c>
      <c r="I131" s="293" t="s">
        <v>5990</v>
      </c>
      <c r="J131" s="306" t="s">
        <v>15943</v>
      </c>
      <c r="K131" s="305" t="s">
        <v>15944</v>
      </c>
      <c r="L131" s="303"/>
      <c r="M131" s="315">
        <v>42989</v>
      </c>
      <c r="N131" s="315">
        <v>43169</v>
      </c>
      <c r="O131" s="315"/>
      <c r="P131" s="315"/>
      <c r="Q131" s="315"/>
      <c r="R131" s="315"/>
      <c r="S131" s="315"/>
      <c r="T131" s="315"/>
      <c r="U131" s="315"/>
      <c r="V131" s="315"/>
      <c r="W131" s="325">
        <v>102.392079166668</v>
      </c>
      <c r="X131" s="326" t="s">
        <v>745</v>
      </c>
      <c r="Y131" s="342">
        <v>6000000</v>
      </c>
      <c r="Z131" s="342">
        <v>13500</v>
      </c>
      <c r="AA131" s="335">
        <v>750000</v>
      </c>
      <c r="AB131" s="335">
        <v>315000</v>
      </c>
      <c r="AC131" s="342"/>
      <c r="AD131" s="335">
        <v>1650000</v>
      </c>
      <c r="AE131" s="335"/>
      <c r="AF131" s="335"/>
      <c r="AG131" s="349" t="s">
        <v>112</v>
      </c>
      <c r="AH131" s="349">
        <v>400</v>
      </c>
      <c r="AI131" s="349"/>
      <c r="AJ131" s="306" t="s">
        <v>15945</v>
      </c>
      <c r="AK131" s="359" t="s">
        <v>15946</v>
      </c>
      <c r="AL131" s="359"/>
      <c r="AM131" s="359" t="s">
        <v>15947</v>
      </c>
      <c r="AN131" s="359" t="s">
        <v>15948</v>
      </c>
      <c r="AO131" s="359"/>
      <c r="AP131" s="1628" t="s">
        <v>15949</v>
      </c>
      <c r="AQ131" s="86" t="s">
        <v>15950</v>
      </c>
      <c r="AR131" s="375" t="s">
        <v>15951</v>
      </c>
      <c r="AU131" s="270"/>
      <c r="AV131" s="270"/>
    </row>
    <row r="132" s="260" customFormat="1" ht="14.1" customHeight="1" spans="1:48">
      <c r="A132" s="1624" t="s">
        <v>1296</v>
      </c>
      <c r="B132" s="32" t="s">
        <v>15952</v>
      </c>
      <c r="C132" s="278" t="s">
        <v>15953</v>
      </c>
      <c r="D132" s="279" t="s">
        <v>15954</v>
      </c>
      <c r="E132" s="290"/>
      <c r="F132" s="291" t="s">
        <v>15955</v>
      </c>
      <c r="G132" s="292" t="s">
        <v>43</v>
      </c>
      <c r="H132" s="293" t="s">
        <v>44</v>
      </c>
      <c r="I132" s="293" t="s">
        <v>3528</v>
      </c>
      <c r="J132" s="306" t="s">
        <v>15956</v>
      </c>
      <c r="K132" s="305" t="s">
        <v>15957</v>
      </c>
      <c r="L132" s="303"/>
      <c r="M132" s="315">
        <v>43003</v>
      </c>
      <c r="N132" s="315">
        <v>43185</v>
      </c>
      <c r="O132" s="315"/>
      <c r="P132" s="315"/>
      <c r="Q132" s="315"/>
      <c r="R132" s="315"/>
      <c r="S132" s="315"/>
      <c r="T132" s="315"/>
      <c r="U132" s="315"/>
      <c r="V132" s="315"/>
      <c r="W132" s="325">
        <v>118.392079166668</v>
      </c>
      <c r="X132" s="326" t="s">
        <v>745</v>
      </c>
      <c r="Y132" s="342">
        <v>14000000</v>
      </c>
      <c r="Z132" s="342">
        <v>20000</v>
      </c>
      <c r="AA132" s="335">
        <v>750000</v>
      </c>
      <c r="AB132" s="335">
        <v>150000</v>
      </c>
      <c r="AC132" s="342"/>
      <c r="AD132" s="335">
        <v>1650000</v>
      </c>
      <c r="AE132" s="335"/>
      <c r="AF132" s="335"/>
      <c r="AG132" s="349" t="s">
        <v>112</v>
      </c>
      <c r="AH132" s="349">
        <v>750</v>
      </c>
      <c r="AI132" s="349"/>
      <c r="AJ132" s="306" t="s">
        <v>15958</v>
      </c>
      <c r="AK132" s="359" t="s">
        <v>15959</v>
      </c>
      <c r="AL132" s="359" t="s">
        <v>15960</v>
      </c>
      <c r="AM132" s="359" t="s">
        <v>15961</v>
      </c>
      <c r="AN132" s="359" t="s">
        <v>15962</v>
      </c>
      <c r="AO132" s="359">
        <v>0</v>
      </c>
      <c r="AP132" s="359" t="s">
        <v>15963</v>
      </c>
      <c r="AQ132" s="86" t="s">
        <v>15964</v>
      </c>
      <c r="AR132" s="375" t="s">
        <v>15965</v>
      </c>
      <c r="AU132" s="270"/>
      <c r="AV132" s="270"/>
    </row>
    <row r="133" s="260" customFormat="1" ht="14.1" customHeight="1" spans="1:48">
      <c r="A133" s="1626" t="s">
        <v>1404</v>
      </c>
      <c r="B133" s="32" t="s">
        <v>15966</v>
      </c>
      <c r="C133" s="278" t="s">
        <v>15967</v>
      </c>
      <c r="D133" s="279" t="s">
        <v>15968</v>
      </c>
      <c r="E133" s="290"/>
      <c r="F133" s="291"/>
      <c r="G133" s="292" t="s">
        <v>125</v>
      </c>
      <c r="H133" s="293" t="s">
        <v>44</v>
      </c>
      <c r="I133" s="293" t="s">
        <v>3528</v>
      </c>
      <c r="J133" s="306" t="s">
        <v>15777</v>
      </c>
      <c r="K133" s="305" t="s">
        <v>15768</v>
      </c>
      <c r="L133" s="303"/>
      <c r="M133" s="315">
        <v>43040</v>
      </c>
      <c r="N133" s="315">
        <v>43131</v>
      </c>
      <c r="O133" s="315"/>
      <c r="P133" s="315"/>
      <c r="Q133" s="315"/>
      <c r="R133" s="315"/>
      <c r="S133" s="315"/>
      <c r="T133" s="315"/>
      <c r="U133" s="315"/>
      <c r="V133" s="315"/>
      <c r="W133" s="325">
        <v>64.3920791666678</v>
      </c>
      <c r="X133" s="326" t="s">
        <v>745</v>
      </c>
      <c r="Y133" s="342">
        <v>100000</v>
      </c>
      <c r="Z133" s="342"/>
      <c r="AA133" s="335"/>
      <c r="AB133" s="335"/>
      <c r="AC133" s="342"/>
      <c r="AD133" s="414"/>
      <c r="AE133" s="335"/>
      <c r="AF133" s="335"/>
      <c r="AG133" s="349" t="s">
        <v>112</v>
      </c>
      <c r="AH133" s="349" t="s">
        <v>112</v>
      </c>
      <c r="AI133" s="349"/>
      <c r="AJ133" s="306" t="s">
        <v>15969</v>
      </c>
      <c r="AK133" s="359" t="s">
        <v>15970</v>
      </c>
      <c r="AL133" s="359" t="s">
        <v>15971</v>
      </c>
      <c r="AM133" s="359"/>
      <c r="AN133" s="359" t="s">
        <v>15972</v>
      </c>
      <c r="AO133" s="359"/>
      <c r="AP133" s="359"/>
      <c r="AQ133" s="86" t="s">
        <v>15973</v>
      </c>
      <c r="AR133" s="375" t="s">
        <v>15974</v>
      </c>
      <c r="AU133" s="270"/>
      <c r="AV133" s="270"/>
    </row>
    <row r="134" s="260" customFormat="1" ht="14.1" customHeight="1" spans="1:48">
      <c r="A134" s="1624" t="s">
        <v>1431</v>
      </c>
      <c r="B134" s="14" t="s">
        <v>15975</v>
      </c>
      <c r="C134" s="278" t="s">
        <v>15976</v>
      </c>
      <c r="D134" s="279" t="s">
        <v>15977</v>
      </c>
      <c r="E134" s="290"/>
      <c r="F134" s="291" t="s">
        <v>15978</v>
      </c>
      <c r="G134" s="292" t="s">
        <v>43</v>
      </c>
      <c r="H134" s="293" t="s">
        <v>96</v>
      </c>
      <c r="I134" s="293" t="s">
        <v>2832</v>
      </c>
      <c r="J134" s="306" t="s">
        <v>15979</v>
      </c>
      <c r="K134" s="304" t="s">
        <v>15832</v>
      </c>
      <c r="L134" s="400"/>
      <c r="M134" s="315">
        <v>43024</v>
      </c>
      <c r="N134" s="315">
        <v>43202</v>
      </c>
      <c r="O134" s="315"/>
      <c r="P134" s="315"/>
      <c r="Q134" s="315"/>
      <c r="R134" s="315"/>
      <c r="S134" s="315"/>
      <c r="T134" s="315"/>
      <c r="U134" s="315"/>
      <c r="V134" s="315"/>
      <c r="W134" s="325">
        <v>135.392079166668</v>
      </c>
      <c r="X134" s="326" t="s">
        <v>745</v>
      </c>
      <c r="Y134" s="342">
        <v>12500000</v>
      </c>
      <c r="Z134" s="342">
        <v>15000</v>
      </c>
      <c r="AA134" s="335">
        <v>750000</v>
      </c>
      <c r="AB134" s="335">
        <v>300000</v>
      </c>
      <c r="AC134" s="342"/>
      <c r="AD134" s="335">
        <v>1650000</v>
      </c>
      <c r="AE134" s="335"/>
      <c r="AF134" s="335"/>
      <c r="AG134" s="349" t="s">
        <v>112</v>
      </c>
      <c r="AH134" s="349">
        <v>750</v>
      </c>
      <c r="AI134" s="349"/>
      <c r="AJ134" s="306" t="s">
        <v>15980</v>
      </c>
      <c r="AK134" s="359" t="s">
        <v>15981</v>
      </c>
      <c r="AL134" s="359" t="s">
        <v>15982</v>
      </c>
      <c r="AM134" s="359" t="s">
        <v>15983</v>
      </c>
      <c r="AN134" s="359" t="s">
        <v>15984</v>
      </c>
      <c r="AO134" s="1628" t="s">
        <v>15985</v>
      </c>
      <c r="AP134" s="359"/>
      <c r="AQ134" s="86" t="s">
        <v>15986</v>
      </c>
      <c r="AR134" s="375" t="s">
        <v>15965</v>
      </c>
      <c r="AU134" s="270"/>
      <c r="AV134" s="270"/>
    </row>
    <row r="135" s="260" customFormat="1" ht="14.1" customHeight="1" spans="1:48">
      <c r="A135" s="1624" t="s">
        <v>1440</v>
      </c>
      <c r="B135" s="14" t="s">
        <v>15987</v>
      </c>
      <c r="C135" s="278" t="s">
        <v>15988</v>
      </c>
      <c r="D135" s="279" t="s">
        <v>15989</v>
      </c>
      <c r="E135" s="290"/>
      <c r="F135" s="291" t="s">
        <v>1110</v>
      </c>
      <c r="G135" s="292" t="s">
        <v>43</v>
      </c>
      <c r="H135" s="293" t="s">
        <v>404</v>
      </c>
      <c r="I135" s="293" t="s">
        <v>2832</v>
      </c>
      <c r="J135" s="306" t="s">
        <v>15990</v>
      </c>
      <c r="K135" s="305" t="s">
        <v>15991</v>
      </c>
      <c r="L135" s="303"/>
      <c r="M135" s="315">
        <v>43040</v>
      </c>
      <c r="N135" s="315">
        <v>43202</v>
      </c>
      <c r="O135" s="315"/>
      <c r="P135" s="315"/>
      <c r="Q135" s="315"/>
      <c r="R135" s="315"/>
      <c r="S135" s="315"/>
      <c r="T135" s="315"/>
      <c r="U135" s="315"/>
      <c r="V135" s="315"/>
      <c r="W135" s="325">
        <v>135.392079166668</v>
      </c>
      <c r="X135" s="326" t="s">
        <v>745</v>
      </c>
      <c r="Y135" s="342">
        <v>4500000</v>
      </c>
      <c r="Z135" s="342">
        <v>15000</v>
      </c>
      <c r="AA135" s="335">
        <v>750000</v>
      </c>
      <c r="AB135" s="335">
        <v>300000</v>
      </c>
      <c r="AC135" s="342"/>
      <c r="AD135" s="335">
        <v>1650000</v>
      </c>
      <c r="AE135" s="335"/>
      <c r="AF135" s="335"/>
      <c r="AG135" s="349" t="s">
        <v>112</v>
      </c>
      <c r="AH135" s="349" t="s">
        <v>15012</v>
      </c>
      <c r="AI135" s="349"/>
      <c r="AJ135" s="306" t="s">
        <v>15992</v>
      </c>
      <c r="AK135" s="359" t="s">
        <v>15993</v>
      </c>
      <c r="AL135" s="359" t="s">
        <v>15994</v>
      </c>
      <c r="AM135" s="359" t="s">
        <v>15995</v>
      </c>
      <c r="AN135" s="1628" t="s">
        <v>15996</v>
      </c>
      <c r="AO135" s="1628" t="s">
        <v>15997</v>
      </c>
      <c r="AP135" s="359"/>
      <c r="AQ135" s="86" t="s">
        <v>15998</v>
      </c>
      <c r="AR135" s="375" t="s">
        <v>15965</v>
      </c>
      <c r="AU135" s="270"/>
      <c r="AV135" s="270"/>
    </row>
    <row r="136" s="260" customFormat="1" ht="14.1" customHeight="1" spans="1:48">
      <c r="A136" s="1626" t="s">
        <v>1205</v>
      </c>
      <c r="B136" s="32" t="s">
        <v>15999</v>
      </c>
      <c r="C136" s="278" t="s">
        <v>16000</v>
      </c>
      <c r="D136" s="279" t="s">
        <v>16001</v>
      </c>
      <c r="E136" s="290"/>
      <c r="F136" s="291"/>
      <c r="G136" s="292" t="s">
        <v>43</v>
      </c>
      <c r="H136" s="293" t="s">
        <v>44</v>
      </c>
      <c r="I136" s="293" t="s">
        <v>3528</v>
      </c>
      <c r="J136" s="306" t="s">
        <v>16002</v>
      </c>
      <c r="K136" s="305" t="s">
        <v>16003</v>
      </c>
      <c r="L136" s="303"/>
      <c r="M136" s="315">
        <v>43003</v>
      </c>
      <c r="N136" s="315">
        <v>43094</v>
      </c>
      <c r="O136" s="315"/>
      <c r="P136" s="315"/>
      <c r="Q136" s="315"/>
      <c r="R136" s="315"/>
      <c r="S136" s="315"/>
      <c r="T136" s="315"/>
      <c r="U136" s="315"/>
      <c r="V136" s="315"/>
      <c r="W136" s="325">
        <f ca="1">SUM(N136-NOW())</f>
        <v>-178.38453703704</v>
      </c>
      <c r="X136" s="326" t="str">
        <f ca="1">IF(W136&lt;=46,"WARNING","ACTIVE")</f>
        <v>WARNING</v>
      </c>
      <c r="Y136" s="342">
        <v>100000</v>
      </c>
      <c r="Z136" s="342"/>
      <c r="AA136" s="335"/>
      <c r="AB136" s="335"/>
      <c r="AC136" s="342"/>
      <c r="AD136" s="335"/>
      <c r="AE136" s="335"/>
      <c r="AF136" s="335"/>
      <c r="AG136" s="349"/>
      <c r="AH136" s="349"/>
      <c r="AI136" s="349"/>
      <c r="AJ136" s="306" t="s">
        <v>16004</v>
      </c>
      <c r="AK136" s="359" t="s">
        <v>16005</v>
      </c>
      <c r="AL136" s="359" t="s">
        <v>16006</v>
      </c>
      <c r="AM136" s="359" t="s">
        <v>16007</v>
      </c>
      <c r="AN136" s="359" t="s">
        <v>16008</v>
      </c>
      <c r="AO136" s="359"/>
      <c r="AP136" s="359"/>
      <c r="AQ136" s="86" t="s">
        <v>16009</v>
      </c>
      <c r="AR136" s="375" t="s">
        <v>16010</v>
      </c>
      <c r="AU136" s="270"/>
      <c r="AV136" s="270"/>
    </row>
    <row r="137" s="260" customFormat="1" ht="14.1" customHeight="1" spans="1:48">
      <c r="A137" s="1626" t="s">
        <v>1580</v>
      </c>
      <c r="B137" s="32"/>
      <c r="C137" s="278" t="s">
        <v>16011</v>
      </c>
      <c r="D137" s="279" t="s">
        <v>16012</v>
      </c>
      <c r="E137" s="290"/>
      <c r="F137" s="291"/>
      <c r="G137" s="292" t="s">
        <v>43</v>
      </c>
      <c r="H137" s="293" t="s">
        <v>44</v>
      </c>
      <c r="I137" s="293" t="s">
        <v>3528</v>
      </c>
      <c r="J137" s="306" t="s">
        <v>16013</v>
      </c>
      <c r="K137" s="301" t="s">
        <v>16014</v>
      </c>
      <c r="L137" s="303"/>
      <c r="M137" s="315">
        <v>43068</v>
      </c>
      <c r="N137" s="315">
        <v>43202</v>
      </c>
      <c r="O137" s="315"/>
      <c r="P137" s="315"/>
      <c r="Q137" s="315"/>
      <c r="R137" s="315"/>
      <c r="S137" s="315"/>
      <c r="T137" s="315"/>
      <c r="U137" s="315"/>
      <c r="V137" s="315"/>
      <c r="W137" s="325">
        <f ca="1">SUM(N137-NOW())</f>
        <v>-70.38453703704</v>
      </c>
      <c r="X137" s="326" t="str">
        <f ca="1">IF(W137&lt;=46,"WARNING","ACTIVE")</f>
        <v>WARNING</v>
      </c>
      <c r="Y137" s="342">
        <v>3000000</v>
      </c>
      <c r="Z137" s="342">
        <v>20000</v>
      </c>
      <c r="AA137" s="335">
        <v>750000</v>
      </c>
      <c r="AB137" s="335">
        <v>315000</v>
      </c>
      <c r="AC137" s="342"/>
      <c r="AD137" s="335">
        <v>1650000</v>
      </c>
      <c r="AE137" s="335"/>
      <c r="AF137" s="335"/>
      <c r="AG137" s="349" t="s">
        <v>112</v>
      </c>
      <c r="AH137" s="349">
        <v>400</v>
      </c>
      <c r="AI137" s="349"/>
      <c r="AJ137" s="306" t="s">
        <v>16015</v>
      </c>
      <c r="AK137" s="359" t="s">
        <v>16016</v>
      </c>
      <c r="AL137" s="359" t="s">
        <v>16017</v>
      </c>
      <c r="AM137" s="359" t="s">
        <v>16018</v>
      </c>
      <c r="AN137" s="359" t="s">
        <v>16019</v>
      </c>
      <c r="AO137" s="359"/>
      <c r="AP137" s="359"/>
      <c r="AQ137" s="86" t="s">
        <v>16020</v>
      </c>
      <c r="AR137" s="375" t="s">
        <v>4158</v>
      </c>
      <c r="AU137" s="270"/>
      <c r="AV137" s="270"/>
    </row>
    <row r="138" s="260" customFormat="1" ht="14.1" customHeight="1" spans="1:48">
      <c r="A138" s="1624" t="s">
        <v>39</v>
      </c>
      <c r="B138" s="1626" t="s">
        <v>16021</v>
      </c>
      <c r="C138" s="278" t="s">
        <v>15410</v>
      </c>
      <c r="D138" s="279" t="s">
        <v>15411</v>
      </c>
      <c r="E138" s="290">
        <v>34</v>
      </c>
      <c r="F138" s="291" t="s">
        <v>15412</v>
      </c>
      <c r="G138" s="292" t="s">
        <v>43</v>
      </c>
      <c r="H138" s="293" t="s">
        <v>60</v>
      </c>
      <c r="I138" s="293" t="s">
        <v>3528</v>
      </c>
      <c r="J138" s="306" t="s">
        <v>15413</v>
      </c>
      <c r="K138" s="305" t="s">
        <v>15414</v>
      </c>
      <c r="L138" s="303"/>
      <c r="M138" s="315">
        <v>42002</v>
      </c>
      <c r="N138" s="315">
        <v>42366</v>
      </c>
      <c r="O138" s="315">
        <v>42732</v>
      </c>
      <c r="P138" s="315"/>
      <c r="Q138" s="315"/>
      <c r="R138" s="315"/>
      <c r="S138" s="315">
        <v>42733</v>
      </c>
      <c r="T138" s="315">
        <v>43097</v>
      </c>
      <c r="U138" s="315"/>
      <c r="V138" s="315"/>
      <c r="W138" s="325">
        <v>-20.5433013888905</v>
      </c>
      <c r="X138" s="326" t="s">
        <v>2569</v>
      </c>
      <c r="Y138" s="335">
        <v>8050000</v>
      </c>
      <c r="Z138" s="335">
        <v>220000</v>
      </c>
      <c r="AA138" s="335"/>
      <c r="AB138" s="335"/>
      <c r="AC138" s="335"/>
      <c r="AD138" s="335"/>
      <c r="AE138" s="335"/>
      <c r="AF138" s="335"/>
      <c r="AG138" s="349" t="s">
        <v>48</v>
      </c>
      <c r="AH138" s="349" t="s">
        <v>11917</v>
      </c>
      <c r="AI138" s="349" t="s">
        <v>16022</v>
      </c>
      <c r="AJ138" s="306" t="s">
        <v>15416</v>
      </c>
      <c r="AK138" s="1628" t="s">
        <v>15417</v>
      </c>
      <c r="AL138" s="359" t="s">
        <v>15418</v>
      </c>
      <c r="AM138" s="359" t="s">
        <v>15419</v>
      </c>
      <c r="AN138" s="359" t="s">
        <v>15420</v>
      </c>
      <c r="AO138" s="359">
        <v>13000418791</v>
      </c>
      <c r="AP138" s="1628" t="s">
        <v>15421</v>
      </c>
      <c r="AQ138" s="368" t="s">
        <v>15422</v>
      </c>
      <c r="AR138" s="375" t="s">
        <v>16023</v>
      </c>
      <c r="AU138" s="270"/>
      <c r="AV138" s="270"/>
    </row>
    <row r="139" s="260" customFormat="1" ht="14.1" customHeight="1" spans="1:48">
      <c r="A139" s="1624" t="s">
        <v>1053</v>
      </c>
      <c r="B139" s="32" t="s">
        <v>16024</v>
      </c>
      <c r="C139" s="278" t="s">
        <v>16025</v>
      </c>
      <c r="D139" s="279" t="s">
        <v>16026</v>
      </c>
      <c r="E139" s="290"/>
      <c r="F139" s="291"/>
      <c r="G139" s="292" t="s">
        <v>125</v>
      </c>
      <c r="H139" s="293" t="s">
        <v>44</v>
      </c>
      <c r="I139" s="293" t="s">
        <v>3528</v>
      </c>
      <c r="J139" s="306" t="s">
        <v>16027</v>
      </c>
      <c r="K139" s="305" t="s">
        <v>15247</v>
      </c>
      <c r="L139" s="303"/>
      <c r="M139" s="315">
        <v>42986</v>
      </c>
      <c r="N139" s="315">
        <v>43138</v>
      </c>
      <c r="O139" s="315"/>
      <c r="P139" s="315"/>
      <c r="Q139" s="315"/>
      <c r="R139" s="315"/>
      <c r="S139" s="315"/>
      <c r="T139" s="315"/>
      <c r="U139" s="315"/>
      <c r="V139" s="315"/>
      <c r="W139" s="325">
        <v>20.4566986111095</v>
      </c>
      <c r="X139" s="326" t="s">
        <v>2569</v>
      </c>
      <c r="Y139" s="342">
        <v>100000</v>
      </c>
      <c r="Z139" s="342" t="s">
        <v>583</v>
      </c>
      <c r="AA139" s="335" t="s">
        <v>583</v>
      </c>
      <c r="AB139" s="335" t="s">
        <v>583</v>
      </c>
      <c r="AC139" s="342"/>
      <c r="AD139" s="335" t="s">
        <v>583</v>
      </c>
      <c r="AE139" s="335"/>
      <c r="AF139" s="335"/>
      <c r="AG139" s="349"/>
      <c r="AH139" s="349"/>
      <c r="AI139" s="349"/>
      <c r="AJ139" s="306" t="s">
        <v>16028</v>
      </c>
      <c r="AK139" s="359" t="s">
        <v>16029</v>
      </c>
      <c r="AL139" s="359" t="s">
        <v>16030</v>
      </c>
      <c r="AM139" s="359"/>
      <c r="AN139" s="359" t="s">
        <v>16031</v>
      </c>
      <c r="AO139" s="359"/>
      <c r="AP139" s="359"/>
      <c r="AQ139" s="374" t="s">
        <v>16032</v>
      </c>
      <c r="AR139" s="369" t="s">
        <v>16033</v>
      </c>
      <c r="AU139" s="270"/>
      <c r="AV139" s="270"/>
    </row>
    <row r="140" s="260" customFormat="1" ht="14.1" customHeight="1" spans="1:48">
      <c r="A140" s="1624" t="s">
        <v>1152</v>
      </c>
      <c r="B140" s="32" t="s">
        <v>16034</v>
      </c>
      <c r="C140" s="278" t="s">
        <v>15283</v>
      </c>
      <c r="D140" s="279" t="s">
        <v>15284</v>
      </c>
      <c r="E140" s="290"/>
      <c r="F140" s="291" t="s">
        <v>16035</v>
      </c>
      <c r="G140" s="292" t="s">
        <v>43</v>
      </c>
      <c r="H140" s="293" t="s">
        <v>254</v>
      </c>
      <c r="I140" s="293" t="s">
        <v>2033</v>
      </c>
      <c r="J140" s="306" t="s">
        <v>16036</v>
      </c>
      <c r="K140" s="305" t="s">
        <v>16037</v>
      </c>
      <c r="L140" s="303"/>
      <c r="M140" s="315">
        <v>42989</v>
      </c>
      <c r="N140" s="315">
        <v>43169</v>
      </c>
      <c r="O140" s="315"/>
      <c r="P140" s="315"/>
      <c r="Q140" s="315"/>
      <c r="R140" s="315"/>
      <c r="S140" s="315"/>
      <c r="T140" s="315"/>
      <c r="U140" s="315"/>
      <c r="V140" s="315"/>
      <c r="W140" s="325">
        <v>51.4566986111095</v>
      </c>
      <c r="X140" s="326" t="s">
        <v>745</v>
      </c>
      <c r="Y140" s="342">
        <v>4000000</v>
      </c>
      <c r="Z140" s="342">
        <v>13500</v>
      </c>
      <c r="AA140" s="335">
        <v>750000</v>
      </c>
      <c r="AB140" s="335">
        <v>315000</v>
      </c>
      <c r="AC140" s="342"/>
      <c r="AD140" s="335">
        <v>1650000</v>
      </c>
      <c r="AE140" s="335"/>
      <c r="AF140" s="335"/>
      <c r="AG140" s="349" t="s">
        <v>112</v>
      </c>
      <c r="AH140" s="349">
        <v>400</v>
      </c>
      <c r="AI140" s="349"/>
      <c r="AJ140" s="306" t="s">
        <v>15287</v>
      </c>
      <c r="AK140" s="359" t="s">
        <v>15288</v>
      </c>
      <c r="AL140" s="359" t="s">
        <v>15289</v>
      </c>
      <c r="AM140" s="359" t="s">
        <v>15290</v>
      </c>
      <c r="AN140" s="359" t="s">
        <v>15291</v>
      </c>
      <c r="AO140" s="1628" t="s">
        <v>15292</v>
      </c>
      <c r="AP140" s="1628" t="s">
        <v>15293</v>
      </c>
      <c r="AQ140" s="374" t="s">
        <v>15294</v>
      </c>
      <c r="AR140" s="375" t="s">
        <v>16038</v>
      </c>
      <c r="AU140" s="270"/>
      <c r="AV140" s="270"/>
    </row>
    <row r="141" s="260" customFormat="1" ht="14.1" customHeight="1" spans="1:48">
      <c r="A141" s="1624" t="s">
        <v>1296</v>
      </c>
      <c r="B141" s="32" t="s">
        <v>16039</v>
      </c>
      <c r="C141" s="278" t="s">
        <v>16040</v>
      </c>
      <c r="D141" s="279" t="s">
        <v>16041</v>
      </c>
      <c r="E141" s="290"/>
      <c r="F141" s="291"/>
      <c r="G141" s="292" t="s">
        <v>43</v>
      </c>
      <c r="H141" s="293" t="s">
        <v>44</v>
      </c>
      <c r="I141" s="293" t="s">
        <v>3528</v>
      </c>
      <c r="J141" s="306" t="s">
        <v>16042</v>
      </c>
      <c r="K141" s="304" t="s">
        <v>16043</v>
      </c>
      <c r="L141" s="400"/>
      <c r="M141" s="315">
        <v>43041</v>
      </c>
      <c r="N141" s="315">
        <v>43191</v>
      </c>
      <c r="O141" s="315"/>
      <c r="P141" s="315"/>
      <c r="Q141" s="315"/>
      <c r="R141" s="315"/>
      <c r="S141" s="315"/>
      <c r="T141" s="315"/>
      <c r="U141" s="315"/>
      <c r="V141" s="315"/>
      <c r="W141" s="325">
        <v>73.4566986111095</v>
      </c>
      <c r="X141" s="326" t="s">
        <v>745</v>
      </c>
      <c r="Y141" s="342">
        <v>100000</v>
      </c>
      <c r="Z141" s="342"/>
      <c r="AA141" s="335"/>
      <c r="AB141" s="335"/>
      <c r="AC141" s="342"/>
      <c r="AD141" s="335"/>
      <c r="AE141" s="335"/>
      <c r="AF141" s="335"/>
      <c r="AG141" s="349" t="s">
        <v>112</v>
      </c>
      <c r="AH141" s="349" t="s">
        <v>112</v>
      </c>
      <c r="AI141" s="349"/>
      <c r="AJ141" s="306" t="s">
        <v>16044</v>
      </c>
      <c r="AK141" s="359" t="s">
        <v>16045</v>
      </c>
      <c r="AL141" s="359" t="s">
        <v>16046</v>
      </c>
      <c r="AM141" s="359"/>
      <c r="AN141" s="359" t="s">
        <v>16047</v>
      </c>
      <c r="AO141" s="359"/>
      <c r="AP141" s="359"/>
      <c r="AQ141" s="374" t="s">
        <v>16048</v>
      </c>
      <c r="AR141" s="375" t="s">
        <v>16049</v>
      </c>
      <c r="AU141" s="270"/>
      <c r="AV141" s="270"/>
    </row>
    <row r="142" s="260" customFormat="1" ht="14.1" customHeight="1" spans="1:48">
      <c r="A142" s="1624" t="s">
        <v>1016</v>
      </c>
      <c r="B142" s="32" t="s">
        <v>16050</v>
      </c>
      <c r="C142" s="278" t="s">
        <v>15233</v>
      </c>
      <c r="D142" s="279" t="s">
        <v>15234</v>
      </c>
      <c r="E142" s="290"/>
      <c r="F142" s="291"/>
      <c r="G142" s="292" t="s">
        <v>43</v>
      </c>
      <c r="H142" s="293" t="s">
        <v>44</v>
      </c>
      <c r="I142" s="293" t="s">
        <v>3528</v>
      </c>
      <c r="J142" s="306" t="s">
        <v>16051</v>
      </c>
      <c r="K142" s="305" t="s">
        <v>15236</v>
      </c>
      <c r="L142" s="303"/>
      <c r="M142" s="315">
        <v>42983</v>
      </c>
      <c r="N142" s="315">
        <v>43074</v>
      </c>
      <c r="O142" s="315">
        <v>43439</v>
      </c>
      <c r="P142" s="315"/>
      <c r="Q142" s="315"/>
      <c r="R142" s="315"/>
      <c r="S142" s="315"/>
      <c r="T142" s="315"/>
      <c r="U142" s="315"/>
      <c r="V142" s="315"/>
      <c r="W142" s="325">
        <f ca="1">SUM(N142-NOW())</f>
        <v>-198.38453703704</v>
      </c>
      <c r="X142" s="326" t="str">
        <f ca="1">IF(W142&lt;=46,"WARNING","ACTIVE")</f>
        <v>WARNING</v>
      </c>
      <c r="Y142" s="342">
        <v>100000</v>
      </c>
      <c r="Z142" s="342"/>
      <c r="AA142" s="335"/>
      <c r="AB142" s="335"/>
      <c r="AC142" s="342"/>
      <c r="AD142" s="335"/>
      <c r="AE142" s="335"/>
      <c r="AF142" s="335"/>
      <c r="AG142" s="349"/>
      <c r="AH142" s="349"/>
      <c r="AI142" s="349"/>
      <c r="AJ142" s="306" t="s">
        <v>15237</v>
      </c>
      <c r="AK142" s="359" t="s">
        <v>15238</v>
      </c>
      <c r="AL142" s="359" t="s">
        <v>15239</v>
      </c>
      <c r="AM142" s="359"/>
      <c r="AN142" s="359" t="s">
        <v>15240</v>
      </c>
      <c r="AO142" s="359"/>
      <c r="AP142" s="359"/>
      <c r="AQ142" s="374" t="s">
        <v>15241</v>
      </c>
      <c r="AR142" s="369" t="s">
        <v>15799</v>
      </c>
      <c r="AU142" s="270"/>
      <c r="AV142" s="270"/>
    </row>
    <row r="143" s="260" customFormat="1" ht="14.1" customHeight="1" spans="1:48">
      <c r="A143" s="1624" t="s">
        <v>1035</v>
      </c>
      <c r="B143" s="32" t="s">
        <v>16052</v>
      </c>
      <c r="C143" s="278" t="s">
        <v>15223</v>
      </c>
      <c r="D143" s="279" t="s">
        <v>16053</v>
      </c>
      <c r="E143" s="290"/>
      <c r="F143" s="291"/>
      <c r="G143" s="292" t="s">
        <v>125</v>
      </c>
      <c r="H143" s="293" t="s">
        <v>44</v>
      </c>
      <c r="I143" s="293" t="s">
        <v>3528</v>
      </c>
      <c r="J143" s="306" t="s">
        <v>16054</v>
      </c>
      <c r="K143" s="305" t="s">
        <v>16055</v>
      </c>
      <c r="L143" s="303"/>
      <c r="M143" s="315">
        <v>42982</v>
      </c>
      <c r="N143" s="315">
        <v>43103</v>
      </c>
      <c r="O143" s="315"/>
      <c r="P143" s="315"/>
      <c r="Q143" s="315"/>
      <c r="R143" s="315"/>
      <c r="S143" s="315"/>
      <c r="T143" s="315"/>
      <c r="U143" s="315"/>
      <c r="V143" s="315"/>
      <c r="W143" s="325">
        <f ca="1">SUM(N143-NOW())</f>
        <v>-169.38453703704</v>
      </c>
      <c r="X143" s="326" t="str">
        <f ca="1">IF(W143&lt;=46,"WARNING","ACTIVE")</f>
        <v>WARNING</v>
      </c>
      <c r="Y143" s="342">
        <v>100000</v>
      </c>
      <c r="Z143" s="342"/>
      <c r="AA143" s="335"/>
      <c r="AB143" s="335"/>
      <c r="AC143" s="342"/>
      <c r="AD143" s="335"/>
      <c r="AE143" s="335"/>
      <c r="AF143" s="335"/>
      <c r="AG143" s="349"/>
      <c r="AH143" s="349"/>
      <c r="AI143" s="349"/>
      <c r="AJ143" s="306" t="s">
        <v>16056</v>
      </c>
      <c r="AK143" s="359" t="s">
        <v>15228</v>
      </c>
      <c r="AL143" s="359" t="s">
        <v>15229</v>
      </c>
      <c r="AM143" s="359"/>
      <c r="AN143" s="359"/>
      <c r="AO143" s="359"/>
      <c r="AP143" s="359"/>
      <c r="AQ143" s="374" t="s">
        <v>15230</v>
      </c>
      <c r="AR143" s="369" t="s">
        <v>15799</v>
      </c>
      <c r="AU143" s="270"/>
      <c r="AV143" s="270"/>
    </row>
    <row r="144" s="260" customFormat="1" ht="14.1" customHeight="1" spans="1:48">
      <c r="A144" s="1624" t="s">
        <v>1237</v>
      </c>
      <c r="B144" s="32" t="s">
        <v>16057</v>
      </c>
      <c r="C144" s="278" t="s">
        <v>16058</v>
      </c>
      <c r="D144" s="279" t="s">
        <v>16059</v>
      </c>
      <c r="E144" s="290"/>
      <c r="F144" s="291"/>
      <c r="G144" s="292" t="s">
        <v>125</v>
      </c>
      <c r="H144" s="293" t="s">
        <v>44</v>
      </c>
      <c r="I144" s="293" t="s">
        <v>3089</v>
      </c>
      <c r="J144" s="306" t="s">
        <v>16060</v>
      </c>
      <c r="K144" s="304" t="s">
        <v>16061</v>
      </c>
      <c r="L144" s="400"/>
      <c r="M144" s="315">
        <v>43040</v>
      </c>
      <c r="N144" s="315">
        <v>43131</v>
      </c>
      <c r="O144" s="315"/>
      <c r="P144" s="315"/>
      <c r="Q144" s="315"/>
      <c r="R144" s="315"/>
      <c r="S144" s="315"/>
      <c r="T144" s="315"/>
      <c r="U144" s="315"/>
      <c r="V144" s="315"/>
      <c r="W144" s="325">
        <v>-8.64945532407728</v>
      </c>
      <c r="X144" s="326" t="s">
        <v>2569</v>
      </c>
      <c r="Y144" s="342">
        <v>100000</v>
      </c>
      <c r="Z144" s="342"/>
      <c r="AA144" s="335"/>
      <c r="AB144" s="335"/>
      <c r="AC144" s="342"/>
      <c r="AD144" s="335"/>
      <c r="AE144" s="335"/>
      <c r="AF144" s="335"/>
      <c r="AG144" s="349" t="s">
        <v>112</v>
      </c>
      <c r="AH144" s="349" t="s">
        <v>112</v>
      </c>
      <c r="AI144" s="349"/>
      <c r="AJ144" s="306" t="s">
        <v>16062</v>
      </c>
      <c r="AK144" s="359" t="s">
        <v>16063</v>
      </c>
      <c r="AL144" s="359" t="s">
        <v>16064</v>
      </c>
      <c r="AM144" s="359"/>
      <c r="AN144" s="359" t="s">
        <v>16065</v>
      </c>
      <c r="AO144" s="359"/>
      <c r="AP144" s="359"/>
      <c r="AQ144" s="374" t="s">
        <v>16066</v>
      </c>
      <c r="AR144" s="375" t="s">
        <v>16067</v>
      </c>
      <c r="AS144" s="376" t="e">
        <v>#N/A</v>
      </c>
      <c r="AU144" s="270"/>
      <c r="AV144" s="270"/>
    </row>
    <row r="145" s="260" customFormat="1" ht="14.1" customHeight="1" spans="1:48">
      <c r="A145" s="1626" t="s">
        <v>1488</v>
      </c>
      <c r="B145" s="1626" t="s">
        <v>16068</v>
      </c>
      <c r="C145" s="278" t="s">
        <v>16069</v>
      </c>
      <c r="D145" s="279" t="s">
        <v>16070</v>
      </c>
      <c r="E145" s="290"/>
      <c r="F145" s="291"/>
      <c r="G145" s="292" t="s">
        <v>43</v>
      </c>
      <c r="H145" s="293"/>
      <c r="I145" s="293" t="s">
        <v>3528</v>
      </c>
      <c r="J145" s="306" t="s">
        <v>16071</v>
      </c>
      <c r="K145" s="308" t="s">
        <v>16072</v>
      </c>
      <c r="L145" s="400"/>
      <c r="M145" s="315">
        <v>43150</v>
      </c>
      <c r="N145" s="315">
        <v>43202</v>
      </c>
      <c r="O145" s="315"/>
      <c r="P145" s="315"/>
      <c r="Q145" s="315"/>
      <c r="R145" s="315"/>
      <c r="S145" s="315"/>
      <c r="T145" s="315"/>
      <c r="U145" s="315"/>
      <c r="V145" s="315"/>
      <c r="W145" s="325">
        <v>62.3505446759227</v>
      </c>
      <c r="X145" s="326" t="s">
        <v>745</v>
      </c>
      <c r="Y145" s="335">
        <v>7750000</v>
      </c>
      <c r="Z145" s="335">
        <v>20000</v>
      </c>
      <c r="AA145" s="335">
        <v>750000</v>
      </c>
      <c r="AB145" s="335">
        <v>150000</v>
      </c>
      <c r="AC145" s="342"/>
      <c r="AD145" s="335"/>
      <c r="AE145" s="342"/>
      <c r="AF145" s="335"/>
      <c r="AG145" s="349" t="s">
        <v>113</v>
      </c>
      <c r="AH145" s="349">
        <v>400</v>
      </c>
      <c r="AI145" s="349"/>
      <c r="AJ145" s="306" t="s">
        <v>16073</v>
      </c>
      <c r="AK145" s="1628" t="s">
        <v>16074</v>
      </c>
      <c r="AL145" s="359"/>
      <c r="AM145" s="359"/>
      <c r="AN145" s="359" t="s">
        <v>16075</v>
      </c>
      <c r="AO145" s="359"/>
      <c r="AP145" s="359"/>
      <c r="AQ145" s="86" t="s">
        <v>16076</v>
      </c>
      <c r="AR145" s="369" t="s">
        <v>2253</v>
      </c>
      <c r="AS145" s="380" t="s">
        <v>14569</v>
      </c>
      <c r="AU145" s="270"/>
      <c r="AV145" s="270"/>
    </row>
    <row r="146" s="260" customFormat="1" ht="14.1" customHeight="1" spans="1:48">
      <c r="A146" s="1624" t="s">
        <v>514</v>
      </c>
      <c r="B146" s="1626" t="s">
        <v>16077</v>
      </c>
      <c r="C146" s="278" t="s">
        <v>16078</v>
      </c>
      <c r="D146" s="279" t="s">
        <v>16079</v>
      </c>
      <c r="E146" s="290">
        <v>26</v>
      </c>
      <c r="F146" s="291" t="s">
        <v>16080</v>
      </c>
      <c r="G146" s="292" t="s">
        <v>43</v>
      </c>
      <c r="H146" s="293" t="s">
        <v>44</v>
      </c>
      <c r="I146" s="293" t="s">
        <v>3528</v>
      </c>
      <c r="J146" s="306" t="s">
        <v>15644</v>
      </c>
      <c r="K146" s="305" t="s">
        <v>16081</v>
      </c>
      <c r="L146" s="303"/>
      <c r="M146" s="315">
        <v>42917</v>
      </c>
      <c r="N146" s="315">
        <v>43008</v>
      </c>
      <c r="O146" s="315">
        <v>43202</v>
      </c>
      <c r="P146" s="315">
        <v>43373</v>
      </c>
      <c r="Q146" s="315"/>
      <c r="R146" s="315"/>
      <c r="S146" s="315"/>
      <c r="T146" s="315"/>
      <c r="U146" s="315"/>
      <c r="V146" s="315"/>
      <c r="W146" s="325">
        <v>62.3497393518483</v>
      </c>
      <c r="X146" s="326" t="s">
        <v>745</v>
      </c>
      <c r="Y146" s="335">
        <v>7500000</v>
      </c>
      <c r="Z146" s="335">
        <v>20000</v>
      </c>
      <c r="AA146" s="335">
        <v>750000</v>
      </c>
      <c r="AB146" s="335">
        <v>315000</v>
      </c>
      <c r="AC146" s="335"/>
      <c r="AD146" s="335">
        <v>1650000</v>
      </c>
      <c r="AE146" s="335"/>
      <c r="AF146" s="335"/>
      <c r="AG146" s="349" t="s">
        <v>4669</v>
      </c>
      <c r="AH146" s="349" t="s">
        <v>11917</v>
      </c>
      <c r="AI146" s="349"/>
      <c r="AJ146" s="306" t="s">
        <v>16082</v>
      </c>
      <c r="AK146" s="1628" t="s">
        <v>16083</v>
      </c>
      <c r="AL146" s="359" t="s">
        <v>16084</v>
      </c>
      <c r="AM146" s="359" t="s">
        <v>16085</v>
      </c>
      <c r="AN146" s="359" t="s">
        <v>16086</v>
      </c>
      <c r="AO146" s="359" t="s">
        <v>16087</v>
      </c>
      <c r="AP146" s="359"/>
      <c r="AQ146" s="368" t="s">
        <v>16088</v>
      </c>
      <c r="AR146" s="375" t="s">
        <v>16089</v>
      </c>
      <c r="AS146" s="376" t="s">
        <v>16090</v>
      </c>
      <c r="AU146" s="270"/>
      <c r="AV146" s="270"/>
    </row>
    <row r="147" s="260" customFormat="1" ht="14.1" customHeight="1" spans="1:48">
      <c r="A147" s="1624" t="s">
        <v>533</v>
      </c>
      <c r="B147" s="1626" t="s">
        <v>16091</v>
      </c>
      <c r="C147" s="278" t="s">
        <v>16092</v>
      </c>
      <c r="D147" s="279" t="s">
        <v>16093</v>
      </c>
      <c r="E147" s="290">
        <v>30</v>
      </c>
      <c r="F147" s="291" t="s">
        <v>16080</v>
      </c>
      <c r="G147" s="292" t="s">
        <v>43</v>
      </c>
      <c r="H147" s="293" t="s">
        <v>60</v>
      </c>
      <c r="I147" s="293" t="s">
        <v>3528</v>
      </c>
      <c r="J147" s="306" t="s">
        <v>15644</v>
      </c>
      <c r="K147" s="305" t="s">
        <v>16081</v>
      </c>
      <c r="L147" s="303"/>
      <c r="M147" s="315">
        <v>42919</v>
      </c>
      <c r="N147" s="315">
        <v>43010</v>
      </c>
      <c r="O147" s="315">
        <v>43202</v>
      </c>
      <c r="P147" s="315">
        <v>43375</v>
      </c>
      <c r="Q147" s="315"/>
      <c r="R147" s="315"/>
      <c r="S147" s="315"/>
      <c r="T147" s="315"/>
      <c r="U147" s="315"/>
      <c r="V147" s="315"/>
      <c r="W147" s="325">
        <v>62.3497393518483</v>
      </c>
      <c r="X147" s="326" t="s">
        <v>745</v>
      </c>
      <c r="Y147" s="335">
        <v>10000000</v>
      </c>
      <c r="Z147" s="335">
        <v>20000</v>
      </c>
      <c r="AA147" s="335">
        <v>750000</v>
      </c>
      <c r="AB147" s="335">
        <v>315000</v>
      </c>
      <c r="AC147" s="335"/>
      <c r="AD147" s="335">
        <v>1650000</v>
      </c>
      <c r="AE147" s="335"/>
      <c r="AF147" s="335"/>
      <c r="AG147" s="349" t="s">
        <v>4669</v>
      </c>
      <c r="AH147" s="349" t="s">
        <v>11917</v>
      </c>
      <c r="AI147" s="349"/>
      <c r="AJ147" s="306" t="s">
        <v>16094</v>
      </c>
      <c r="AK147" s="1628" t="s">
        <v>16095</v>
      </c>
      <c r="AL147" s="359" t="s">
        <v>16096</v>
      </c>
      <c r="AM147" s="359" t="s">
        <v>16097</v>
      </c>
      <c r="AN147" s="359" t="s">
        <v>16098</v>
      </c>
      <c r="AO147" s="359" t="s">
        <v>16099</v>
      </c>
      <c r="AP147" s="1628" t="s">
        <v>16100</v>
      </c>
      <c r="AQ147" s="368" t="s">
        <v>16101</v>
      </c>
      <c r="AR147" s="375" t="s">
        <v>16089</v>
      </c>
      <c r="AS147" s="376" t="s">
        <v>16090</v>
      </c>
      <c r="AU147" s="270"/>
      <c r="AV147" s="270"/>
    </row>
    <row r="148" s="260" customFormat="1" ht="14.1" customHeight="1" spans="1:48">
      <c r="A148" s="1624" t="s">
        <v>542</v>
      </c>
      <c r="B148" s="1626" t="s">
        <v>16102</v>
      </c>
      <c r="C148" s="278" t="s">
        <v>16103</v>
      </c>
      <c r="D148" s="279" t="s">
        <v>16104</v>
      </c>
      <c r="E148" s="290">
        <v>26</v>
      </c>
      <c r="F148" s="291" t="s">
        <v>16105</v>
      </c>
      <c r="G148" s="292" t="s">
        <v>43</v>
      </c>
      <c r="H148" s="293" t="s">
        <v>404</v>
      </c>
      <c r="I148" s="293" t="s">
        <v>10370</v>
      </c>
      <c r="J148" s="306" t="s">
        <v>16106</v>
      </c>
      <c r="K148" s="305" t="s">
        <v>16107</v>
      </c>
      <c r="L148" s="303"/>
      <c r="M148" s="315">
        <v>42905</v>
      </c>
      <c r="N148" s="315">
        <v>42996</v>
      </c>
      <c r="O148" s="315">
        <v>43202</v>
      </c>
      <c r="P148" s="315">
        <v>43361</v>
      </c>
      <c r="Q148" s="315"/>
      <c r="R148" s="315"/>
      <c r="S148" s="315"/>
      <c r="T148" s="315"/>
      <c r="U148" s="315"/>
      <c r="V148" s="315"/>
      <c r="W148" s="325">
        <v>62.3497393518483</v>
      </c>
      <c r="X148" s="326" t="s">
        <v>745</v>
      </c>
      <c r="Y148" s="335">
        <v>4250000</v>
      </c>
      <c r="Z148" s="335">
        <v>20000</v>
      </c>
      <c r="AA148" s="335">
        <v>750000</v>
      </c>
      <c r="AB148" s="335">
        <v>315000</v>
      </c>
      <c r="AC148" s="335"/>
      <c r="AD148" s="335">
        <v>1650000</v>
      </c>
      <c r="AE148" s="335"/>
      <c r="AF148" s="335"/>
      <c r="AG148" s="349" t="s">
        <v>4669</v>
      </c>
      <c r="AH148" s="349" t="s">
        <v>11917</v>
      </c>
      <c r="AI148" s="349"/>
      <c r="AJ148" s="306" t="s">
        <v>16108</v>
      </c>
      <c r="AK148" s="1628" t="s">
        <v>16109</v>
      </c>
      <c r="AL148" s="359" t="s">
        <v>16110</v>
      </c>
      <c r="AM148" s="359" t="s">
        <v>16111</v>
      </c>
      <c r="AN148" s="359" t="s">
        <v>16112</v>
      </c>
      <c r="AO148" s="359" t="s">
        <v>16113</v>
      </c>
      <c r="AP148" s="1628" t="s">
        <v>16114</v>
      </c>
      <c r="AQ148" s="368" t="s">
        <v>16115</v>
      </c>
      <c r="AR148" s="375" t="s">
        <v>16089</v>
      </c>
      <c r="AS148" s="376" t="s">
        <v>16116</v>
      </c>
      <c r="AU148" s="270"/>
      <c r="AV148" s="270"/>
    </row>
    <row r="149" s="260" customFormat="1" ht="14.1" customHeight="1" spans="1:48">
      <c r="A149" s="1624" t="s">
        <v>550</v>
      </c>
      <c r="B149" s="1626" t="s">
        <v>16117</v>
      </c>
      <c r="C149" s="278" t="s">
        <v>16118</v>
      </c>
      <c r="D149" s="279" t="s">
        <v>16119</v>
      </c>
      <c r="E149" s="290">
        <v>27</v>
      </c>
      <c r="F149" s="291" t="s">
        <v>16120</v>
      </c>
      <c r="G149" s="292" t="s">
        <v>43</v>
      </c>
      <c r="H149" s="293" t="s">
        <v>404</v>
      </c>
      <c r="I149" s="293" t="s">
        <v>3886</v>
      </c>
      <c r="J149" s="306" t="s">
        <v>16121</v>
      </c>
      <c r="K149" s="305" t="s">
        <v>16122</v>
      </c>
      <c r="L149" s="303"/>
      <c r="M149" s="315">
        <v>42905</v>
      </c>
      <c r="N149" s="315">
        <v>42996</v>
      </c>
      <c r="O149" s="315">
        <v>43202</v>
      </c>
      <c r="P149" s="315">
        <v>43361</v>
      </c>
      <c r="Q149" s="315"/>
      <c r="R149" s="315"/>
      <c r="S149" s="315"/>
      <c r="T149" s="315"/>
      <c r="U149" s="315"/>
      <c r="V149" s="315"/>
      <c r="W149" s="325">
        <v>62.3497393518483</v>
      </c>
      <c r="X149" s="326" t="s">
        <v>745</v>
      </c>
      <c r="Y149" s="335">
        <v>3100000</v>
      </c>
      <c r="Z149" s="335">
        <v>20000</v>
      </c>
      <c r="AA149" s="335">
        <v>750000</v>
      </c>
      <c r="AB149" s="335">
        <v>315000</v>
      </c>
      <c r="AC149" s="335"/>
      <c r="AD149" s="335">
        <v>1650000</v>
      </c>
      <c r="AE149" s="335"/>
      <c r="AF149" s="335"/>
      <c r="AG149" s="349" t="s">
        <v>4669</v>
      </c>
      <c r="AH149" s="349" t="s">
        <v>11917</v>
      </c>
      <c r="AI149" s="349"/>
      <c r="AJ149" s="306" t="s">
        <v>16123</v>
      </c>
      <c r="AK149" s="1628" t="s">
        <v>16124</v>
      </c>
      <c r="AL149" s="359" t="s">
        <v>16125</v>
      </c>
      <c r="AM149" s="359" t="s">
        <v>16126</v>
      </c>
      <c r="AN149" s="359" t="s">
        <v>16127</v>
      </c>
      <c r="AO149" s="359"/>
      <c r="AP149" s="359"/>
      <c r="AQ149" s="368" t="s">
        <v>16128</v>
      </c>
      <c r="AR149" s="375" t="s">
        <v>16089</v>
      </c>
      <c r="AS149" s="376" t="s">
        <v>16129</v>
      </c>
      <c r="AU149" s="270"/>
      <c r="AV149" s="270"/>
    </row>
    <row r="150" s="260" customFormat="1" ht="14.1" customHeight="1" spans="1:48">
      <c r="A150" s="1624" t="s">
        <v>559</v>
      </c>
      <c r="B150" s="1626" t="s">
        <v>16130</v>
      </c>
      <c r="C150" s="278" t="s">
        <v>16131</v>
      </c>
      <c r="D150" s="279" t="s">
        <v>16132</v>
      </c>
      <c r="E150" s="290">
        <v>26</v>
      </c>
      <c r="F150" s="291" t="s">
        <v>16133</v>
      </c>
      <c r="G150" s="292" t="s">
        <v>43</v>
      </c>
      <c r="H150" s="293" t="s">
        <v>44</v>
      </c>
      <c r="I150" s="293" t="s">
        <v>3528</v>
      </c>
      <c r="J150" s="306" t="s">
        <v>15644</v>
      </c>
      <c r="K150" s="305" t="s">
        <v>16134</v>
      </c>
      <c r="L150" s="303"/>
      <c r="M150" s="315">
        <v>42935</v>
      </c>
      <c r="N150" s="315">
        <v>43026</v>
      </c>
      <c r="O150" s="315">
        <v>43202</v>
      </c>
      <c r="P150" s="315">
        <v>43391</v>
      </c>
      <c r="Q150" s="315"/>
      <c r="R150" s="315"/>
      <c r="S150" s="315"/>
      <c r="T150" s="315"/>
      <c r="U150" s="315"/>
      <c r="V150" s="315"/>
      <c r="W150" s="325">
        <v>62.3497393518483</v>
      </c>
      <c r="X150" s="326" t="s">
        <v>745</v>
      </c>
      <c r="Y150" s="335">
        <v>7800000</v>
      </c>
      <c r="Z150" s="335">
        <v>20000</v>
      </c>
      <c r="AA150" s="335">
        <v>750000</v>
      </c>
      <c r="AB150" s="335">
        <v>315000</v>
      </c>
      <c r="AC150" s="335"/>
      <c r="AD150" s="335">
        <v>1650000</v>
      </c>
      <c r="AE150" s="335"/>
      <c r="AF150" s="335"/>
      <c r="AG150" s="349" t="s">
        <v>4669</v>
      </c>
      <c r="AH150" s="349" t="s">
        <v>11917</v>
      </c>
      <c r="AI150" s="349"/>
      <c r="AJ150" s="306" t="s">
        <v>16135</v>
      </c>
      <c r="AK150" s="1628" t="s">
        <v>16136</v>
      </c>
      <c r="AL150" s="359" t="s">
        <v>16137</v>
      </c>
      <c r="AM150" s="359" t="s">
        <v>16138</v>
      </c>
      <c r="AN150" s="359" t="s">
        <v>16139</v>
      </c>
      <c r="AO150" s="359"/>
      <c r="AP150" s="1628" t="s">
        <v>16140</v>
      </c>
      <c r="AQ150" s="368" t="s">
        <v>16141</v>
      </c>
      <c r="AR150" s="375" t="s">
        <v>16089</v>
      </c>
      <c r="AS150" s="376" t="s">
        <v>16142</v>
      </c>
      <c r="AU150" s="270"/>
      <c r="AV150" s="270"/>
    </row>
    <row r="151" s="260" customFormat="1" ht="14.1" customHeight="1" spans="1:48">
      <c r="A151" s="1624" t="s">
        <v>579</v>
      </c>
      <c r="B151" s="1626" t="s">
        <v>16143</v>
      </c>
      <c r="C151" s="278" t="s">
        <v>16144</v>
      </c>
      <c r="D151" s="279" t="s">
        <v>16145</v>
      </c>
      <c r="E151" s="290">
        <v>26</v>
      </c>
      <c r="F151" s="291"/>
      <c r="G151" s="292" t="s">
        <v>43</v>
      </c>
      <c r="H151" s="293" t="s">
        <v>60</v>
      </c>
      <c r="I151" s="293" t="s">
        <v>16146</v>
      </c>
      <c r="J151" s="306" t="s">
        <v>16147</v>
      </c>
      <c r="K151" s="305" t="s">
        <v>16148</v>
      </c>
      <c r="L151" s="303"/>
      <c r="M151" s="315">
        <v>42940</v>
      </c>
      <c r="N151" s="315">
        <v>43031</v>
      </c>
      <c r="O151" s="315">
        <v>43202</v>
      </c>
      <c r="P151" s="315">
        <v>43396</v>
      </c>
      <c r="Q151" s="315"/>
      <c r="R151" s="315"/>
      <c r="S151" s="315"/>
      <c r="T151" s="315"/>
      <c r="U151" s="315"/>
      <c r="V151" s="315"/>
      <c r="W151" s="325">
        <v>62.3497393518483</v>
      </c>
      <c r="X151" s="326" t="s">
        <v>745</v>
      </c>
      <c r="Y151" s="335">
        <v>6500000</v>
      </c>
      <c r="Z151" s="335">
        <v>20000</v>
      </c>
      <c r="AA151" s="335">
        <v>750000</v>
      </c>
      <c r="AB151" s="335">
        <v>315000</v>
      </c>
      <c r="AC151" s="335"/>
      <c r="AD151" s="335">
        <v>1650000</v>
      </c>
      <c r="AE151" s="335"/>
      <c r="AF151" s="335"/>
      <c r="AG151" s="349" t="s">
        <v>112</v>
      </c>
      <c r="AH151" s="349" t="s">
        <v>11917</v>
      </c>
      <c r="AI151" s="349"/>
      <c r="AJ151" s="306" t="s">
        <v>16149</v>
      </c>
      <c r="AK151" s="1628" t="s">
        <v>16150</v>
      </c>
      <c r="AL151" s="359" t="s">
        <v>16151</v>
      </c>
      <c r="AM151" s="359" t="s">
        <v>16152</v>
      </c>
      <c r="AN151" s="359" t="s">
        <v>16153</v>
      </c>
      <c r="AO151" s="359" t="s">
        <v>16154</v>
      </c>
      <c r="AP151" s="1628" t="s">
        <v>16155</v>
      </c>
      <c r="AQ151" s="368" t="s">
        <v>16156</v>
      </c>
      <c r="AR151" s="375" t="s">
        <v>16089</v>
      </c>
      <c r="AS151" s="376" t="s">
        <v>16157</v>
      </c>
      <c r="AU151" s="270"/>
      <c r="AV151" s="270"/>
    </row>
    <row r="152" s="260" customFormat="1" ht="14.1" customHeight="1" spans="1:48">
      <c r="A152" s="1624" t="s">
        <v>598</v>
      </c>
      <c r="B152" s="1626" t="s">
        <v>16158</v>
      </c>
      <c r="C152" s="278" t="s">
        <v>16159</v>
      </c>
      <c r="D152" s="279" t="s">
        <v>16160</v>
      </c>
      <c r="E152" s="290">
        <v>27</v>
      </c>
      <c r="F152" s="291" t="s">
        <v>16161</v>
      </c>
      <c r="G152" s="292" t="s">
        <v>43</v>
      </c>
      <c r="H152" s="293" t="s">
        <v>44</v>
      </c>
      <c r="I152" s="293" t="s">
        <v>3089</v>
      </c>
      <c r="J152" s="306" t="s">
        <v>15722</v>
      </c>
      <c r="K152" s="305" t="s">
        <v>16162</v>
      </c>
      <c r="L152" s="303"/>
      <c r="M152" s="315">
        <v>42933</v>
      </c>
      <c r="N152" s="315">
        <v>43024</v>
      </c>
      <c r="O152" s="315">
        <v>43202</v>
      </c>
      <c r="P152" s="315">
        <v>43389</v>
      </c>
      <c r="Q152" s="315"/>
      <c r="R152" s="315"/>
      <c r="S152" s="315"/>
      <c r="T152" s="315"/>
      <c r="U152" s="315"/>
      <c r="V152" s="315"/>
      <c r="W152" s="325">
        <v>62.3497393518483</v>
      </c>
      <c r="X152" s="326" t="s">
        <v>745</v>
      </c>
      <c r="Y152" s="335">
        <v>8500000</v>
      </c>
      <c r="Z152" s="335">
        <v>20000</v>
      </c>
      <c r="AA152" s="335">
        <v>750000</v>
      </c>
      <c r="AB152" s="335">
        <v>315000</v>
      </c>
      <c r="AC152" s="335"/>
      <c r="AD152" s="335">
        <v>1650000</v>
      </c>
      <c r="AE152" s="335"/>
      <c r="AF152" s="335"/>
      <c r="AG152" s="349" t="s">
        <v>112</v>
      </c>
      <c r="AH152" s="349" t="s">
        <v>11917</v>
      </c>
      <c r="AI152" s="349"/>
      <c r="AJ152" s="306" t="s">
        <v>16163</v>
      </c>
      <c r="AK152" s="1628" t="s">
        <v>16164</v>
      </c>
      <c r="AL152" s="359" t="s">
        <v>16165</v>
      </c>
      <c r="AM152" s="359" t="s">
        <v>16166</v>
      </c>
      <c r="AN152" s="359" t="s">
        <v>16167</v>
      </c>
      <c r="AO152" s="359" t="s">
        <v>16168</v>
      </c>
      <c r="AP152" s="1628" t="s">
        <v>16169</v>
      </c>
      <c r="AQ152" s="368" t="s">
        <v>16170</v>
      </c>
      <c r="AR152" s="375" t="s">
        <v>16089</v>
      </c>
      <c r="AS152" s="376" t="s">
        <v>16171</v>
      </c>
      <c r="AU152" s="270"/>
      <c r="AV152" s="270"/>
    </row>
    <row r="153" s="260" customFormat="1" ht="14.1" customHeight="1" spans="1:48">
      <c r="A153" s="1624" t="s">
        <v>642</v>
      </c>
      <c r="B153" s="277" t="s">
        <v>16172</v>
      </c>
      <c r="C153" s="278" t="s">
        <v>16173</v>
      </c>
      <c r="D153" s="279" t="s">
        <v>16174</v>
      </c>
      <c r="E153" s="290"/>
      <c r="F153" s="291" t="s">
        <v>16175</v>
      </c>
      <c r="G153" s="292" t="s">
        <v>43</v>
      </c>
      <c r="H153" s="293" t="s">
        <v>254</v>
      </c>
      <c r="I153" s="293" t="s">
        <v>757</v>
      </c>
      <c r="J153" s="306" t="s">
        <v>16176</v>
      </c>
      <c r="K153" s="305" t="s">
        <v>16177</v>
      </c>
      <c r="L153" s="303"/>
      <c r="M153" s="315">
        <v>42942</v>
      </c>
      <c r="N153" s="315">
        <v>43033</v>
      </c>
      <c r="O153" s="315">
        <v>43202</v>
      </c>
      <c r="P153" s="315">
        <v>43215</v>
      </c>
      <c r="Q153" s="315"/>
      <c r="R153" s="315"/>
      <c r="S153" s="315"/>
      <c r="T153" s="315"/>
      <c r="U153" s="315"/>
      <c r="V153" s="315"/>
      <c r="W153" s="325">
        <v>62.3497393518483</v>
      </c>
      <c r="X153" s="326" t="s">
        <v>745</v>
      </c>
      <c r="Y153" s="342">
        <v>5250000</v>
      </c>
      <c r="Z153" s="342">
        <v>13500</v>
      </c>
      <c r="AA153" s="335">
        <v>750000</v>
      </c>
      <c r="AB153" s="335">
        <v>315000</v>
      </c>
      <c r="AC153" s="342"/>
      <c r="AD153" s="335">
        <v>1650000</v>
      </c>
      <c r="AE153" s="335"/>
      <c r="AF153" s="335"/>
      <c r="AG153" s="349" t="s">
        <v>112</v>
      </c>
      <c r="AH153" s="349">
        <v>400</v>
      </c>
      <c r="AI153" s="349"/>
      <c r="AJ153" s="306" t="s">
        <v>16178</v>
      </c>
      <c r="AK153" s="359" t="s">
        <v>16179</v>
      </c>
      <c r="AL153" s="359" t="s">
        <v>16180</v>
      </c>
      <c r="AM153" s="359" t="s">
        <v>16181</v>
      </c>
      <c r="AN153" s="359" t="s">
        <v>16182</v>
      </c>
      <c r="AO153" s="359"/>
      <c r="AP153" s="359" t="s">
        <v>16183</v>
      </c>
      <c r="AQ153" s="374" t="s">
        <v>16184</v>
      </c>
      <c r="AR153" s="375" t="s">
        <v>16089</v>
      </c>
      <c r="AS153" s="376" t="s">
        <v>16185</v>
      </c>
      <c r="AU153" s="270"/>
      <c r="AV153" s="270"/>
    </row>
    <row r="154" s="260" customFormat="1" ht="14.1" customHeight="1" spans="1:48">
      <c r="A154" s="1624" t="s">
        <v>651</v>
      </c>
      <c r="B154" s="277" t="s">
        <v>16186</v>
      </c>
      <c r="C154" s="278" t="s">
        <v>16187</v>
      </c>
      <c r="D154" s="279" t="s">
        <v>16188</v>
      </c>
      <c r="E154" s="290"/>
      <c r="F154" s="291" t="s">
        <v>16189</v>
      </c>
      <c r="G154" s="292" t="s">
        <v>43</v>
      </c>
      <c r="H154" s="293" t="s">
        <v>44</v>
      </c>
      <c r="I154" s="293" t="s">
        <v>3528</v>
      </c>
      <c r="J154" s="306" t="s">
        <v>15644</v>
      </c>
      <c r="K154" s="305" t="s">
        <v>16190</v>
      </c>
      <c r="L154" s="303"/>
      <c r="M154" s="315">
        <v>42948</v>
      </c>
      <c r="N154" s="315">
        <v>43039</v>
      </c>
      <c r="O154" s="315">
        <v>43202</v>
      </c>
      <c r="P154" s="315">
        <v>43404</v>
      </c>
      <c r="Q154" s="315"/>
      <c r="R154" s="315"/>
      <c r="S154" s="315"/>
      <c r="T154" s="315"/>
      <c r="U154" s="315"/>
      <c r="V154" s="315"/>
      <c r="W154" s="325">
        <v>62.3497393518483</v>
      </c>
      <c r="X154" s="326" t="s">
        <v>745</v>
      </c>
      <c r="Y154" s="342">
        <v>13000000</v>
      </c>
      <c r="Z154" s="335">
        <v>20000</v>
      </c>
      <c r="AA154" s="335">
        <v>750000</v>
      </c>
      <c r="AB154" s="335">
        <v>315000</v>
      </c>
      <c r="AC154" s="342"/>
      <c r="AD154" s="335">
        <v>1650000</v>
      </c>
      <c r="AE154" s="335"/>
      <c r="AF154" s="335"/>
      <c r="AG154" s="349" t="s">
        <v>112</v>
      </c>
      <c r="AH154" s="349" t="s">
        <v>16191</v>
      </c>
      <c r="AI154" s="349"/>
      <c r="AJ154" s="306" t="s">
        <v>16192</v>
      </c>
      <c r="AK154" s="359" t="s">
        <v>16193</v>
      </c>
      <c r="AL154" s="359" t="s">
        <v>16194</v>
      </c>
      <c r="AM154" s="359" t="s">
        <v>16195</v>
      </c>
      <c r="AN154" s="359" t="s">
        <v>16196</v>
      </c>
      <c r="AO154" s="359"/>
      <c r="AP154" s="359"/>
      <c r="AQ154" s="374" t="s">
        <v>16197</v>
      </c>
      <c r="AR154" s="375" t="s">
        <v>16089</v>
      </c>
      <c r="AS154" s="376" t="s">
        <v>16090</v>
      </c>
      <c r="AU154" s="270"/>
      <c r="AV154" s="270"/>
    </row>
    <row r="155" s="260" customFormat="1" ht="14.1" customHeight="1" spans="1:48">
      <c r="A155" s="1624" t="s">
        <v>661</v>
      </c>
      <c r="B155" s="277" t="s">
        <v>16198</v>
      </c>
      <c r="C155" s="278" t="s">
        <v>16199</v>
      </c>
      <c r="D155" s="279" t="s">
        <v>16200</v>
      </c>
      <c r="E155" s="290"/>
      <c r="F155" s="291" t="s">
        <v>15916</v>
      </c>
      <c r="G155" s="292" t="s">
        <v>43</v>
      </c>
      <c r="H155" s="293" t="s">
        <v>44</v>
      </c>
      <c r="I155" s="293" t="s">
        <v>16201</v>
      </c>
      <c r="J155" s="306" t="s">
        <v>16202</v>
      </c>
      <c r="K155" s="305" t="s">
        <v>16203</v>
      </c>
      <c r="L155" s="303"/>
      <c r="M155" s="315">
        <v>42948</v>
      </c>
      <c r="N155" s="315">
        <v>43039</v>
      </c>
      <c r="O155" s="315">
        <v>43202</v>
      </c>
      <c r="P155" s="315"/>
      <c r="Q155" s="315"/>
      <c r="R155" s="315"/>
      <c r="S155" s="315"/>
      <c r="T155" s="315"/>
      <c r="U155" s="315"/>
      <c r="V155" s="315"/>
      <c r="W155" s="325">
        <v>62.3497393518483</v>
      </c>
      <c r="X155" s="326" t="s">
        <v>745</v>
      </c>
      <c r="Y155" s="342">
        <v>7200000</v>
      </c>
      <c r="Z155" s="342">
        <v>15000</v>
      </c>
      <c r="AA155" s="335">
        <v>750000</v>
      </c>
      <c r="AB155" s="335">
        <v>315000</v>
      </c>
      <c r="AC155" s="342"/>
      <c r="AD155" s="335">
        <v>1650000</v>
      </c>
      <c r="AE155" s="335"/>
      <c r="AF155" s="335"/>
      <c r="AG155" s="349" t="s">
        <v>112</v>
      </c>
      <c r="AH155" s="349">
        <v>400</v>
      </c>
      <c r="AI155" s="349"/>
      <c r="AJ155" s="306" t="s">
        <v>16204</v>
      </c>
      <c r="AK155" s="359" t="s">
        <v>16205</v>
      </c>
      <c r="AL155" s="359" t="s">
        <v>16206</v>
      </c>
      <c r="AM155" s="359" t="s">
        <v>16207</v>
      </c>
      <c r="AN155" s="359" t="s">
        <v>16208</v>
      </c>
      <c r="AO155" s="359" t="s">
        <v>16209</v>
      </c>
      <c r="AP155" s="359" t="s">
        <v>16210</v>
      </c>
      <c r="AQ155" s="374" t="s">
        <v>16211</v>
      </c>
      <c r="AR155" s="375" t="s">
        <v>16089</v>
      </c>
      <c r="AS155" s="376" t="s">
        <v>16212</v>
      </c>
      <c r="AU155" s="270"/>
      <c r="AV155" s="270"/>
    </row>
    <row r="156" s="260" customFormat="1" ht="14.1" customHeight="1" spans="1:48">
      <c r="A156" s="1624" t="s">
        <v>671</v>
      </c>
      <c r="B156" s="277" t="s">
        <v>16213</v>
      </c>
      <c r="C156" s="278" t="s">
        <v>16214</v>
      </c>
      <c r="D156" s="279" t="s">
        <v>16215</v>
      </c>
      <c r="E156" s="290"/>
      <c r="F156" s="291" t="s">
        <v>16216</v>
      </c>
      <c r="G156" s="292" t="s">
        <v>43</v>
      </c>
      <c r="H156" s="293" t="s">
        <v>44</v>
      </c>
      <c r="I156" s="293" t="s">
        <v>3528</v>
      </c>
      <c r="J156" s="306" t="s">
        <v>15644</v>
      </c>
      <c r="K156" s="305" t="s">
        <v>15645</v>
      </c>
      <c r="L156" s="303"/>
      <c r="M156" s="315">
        <v>42948</v>
      </c>
      <c r="N156" s="315">
        <v>43039</v>
      </c>
      <c r="O156" s="315">
        <v>43202</v>
      </c>
      <c r="P156" s="315">
        <v>43404</v>
      </c>
      <c r="Q156" s="315"/>
      <c r="R156" s="315"/>
      <c r="S156" s="315"/>
      <c r="T156" s="315"/>
      <c r="U156" s="315"/>
      <c r="V156" s="315"/>
      <c r="W156" s="325">
        <v>62.3497393518483</v>
      </c>
      <c r="X156" s="326" t="s">
        <v>745</v>
      </c>
      <c r="Y156" s="342">
        <v>10826514</v>
      </c>
      <c r="Z156" s="335">
        <v>20000</v>
      </c>
      <c r="AA156" s="335">
        <v>750000</v>
      </c>
      <c r="AB156" s="335">
        <v>315000</v>
      </c>
      <c r="AC156" s="342"/>
      <c r="AD156" s="335">
        <v>1650000</v>
      </c>
      <c r="AE156" s="335"/>
      <c r="AF156" s="335"/>
      <c r="AG156" s="349" t="s">
        <v>112</v>
      </c>
      <c r="AH156" s="349">
        <v>750</v>
      </c>
      <c r="AI156" s="349"/>
      <c r="AJ156" s="306" t="s">
        <v>16217</v>
      </c>
      <c r="AK156" s="359" t="s">
        <v>16218</v>
      </c>
      <c r="AL156" s="359" t="s">
        <v>16219</v>
      </c>
      <c r="AM156" s="359" t="s">
        <v>16220</v>
      </c>
      <c r="AN156" s="359" t="s">
        <v>16221</v>
      </c>
      <c r="AO156" s="359" t="s">
        <v>16222</v>
      </c>
      <c r="AP156" s="359" t="s">
        <v>16223</v>
      </c>
      <c r="AQ156" s="374" t="s">
        <v>16224</v>
      </c>
      <c r="AR156" s="375" t="s">
        <v>16089</v>
      </c>
      <c r="AS156" s="376" t="s">
        <v>16142</v>
      </c>
      <c r="AU156" s="270"/>
      <c r="AV156" s="270"/>
    </row>
    <row r="157" s="260" customFormat="1" ht="14.1" customHeight="1" spans="1:48">
      <c r="A157" s="1624" t="s">
        <v>690</v>
      </c>
      <c r="B157" s="277" t="s">
        <v>16225</v>
      </c>
      <c r="C157" s="278" t="s">
        <v>16226</v>
      </c>
      <c r="D157" s="279" t="s">
        <v>16227</v>
      </c>
      <c r="E157" s="290"/>
      <c r="F157" s="291" t="s">
        <v>16228</v>
      </c>
      <c r="G157" s="292" t="s">
        <v>43</v>
      </c>
      <c r="H157" s="293" t="s">
        <v>44</v>
      </c>
      <c r="I157" s="293" t="s">
        <v>2832</v>
      </c>
      <c r="J157" s="306" t="s">
        <v>16229</v>
      </c>
      <c r="K157" s="305" t="s">
        <v>16230</v>
      </c>
      <c r="L157" s="303"/>
      <c r="M157" s="315">
        <v>42954</v>
      </c>
      <c r="N157" s="315">
        <v>43045</v>
      </c>
      <c r="O157" s="315"/>
      <c r="P157" s="315"/>
      <c r="Q157" s="315"/>
      <c r="R157" s="315"/>
      <c r="S157" s="315"/>
      <c r="T157" s="315"/>
      <c r="U157" s="315"/>
      <c r="V157" s="315"/>
      <c r="W157" s="325">
        <v>-94.6502606481517</v>
      </c>
      <c r="X157" s="326" t="s">
        <v>2569</v>
      </c>
      <c r="Y157" s="342">
        <v>7000000</v>
      </c>
      <c r="Z157" s="342">
        <v>15000</v>
      </c>
      <c r="AA157" s="335">
        <v>750000</v>
      </c>
      <c r="AB157" s="335">
        <v>315000</v>
      </c>
      <c r="AC157" s="342"/>
      <c r="AD157" s="335">
        <v>1650000</v>
      </c>
      <c r="AE157" s="335"/>
      <c r="AF157" s="335"/>
      <c r="AG157" s="349" t="s">
        <v>4669</v>
      </c>
      <c r="AH157" s="349" t="s">
        <v>15012</v>
      </c>
      <c r="AI157" s="349"/>
      <c r="AJ157" s="306" t="s">
        <v>16231</v>
      </c>
      <c r="AK157" s="359" t="s">
        <v>16232</v>
      </c>
      <c r="AL157" s="359" t="s">
        <v>16233</v>
      </c>
      <c r="AM157" s="359" t="s">
        <v>16234</v>
      </c>
      <c r="AN157" s="359" t="s">
        <v>16235</v>
      </c>
      <c r="AO157" s="359"/>
      <c r="AP157" s="359"/>
      <c r="AQ157" s="374" t="s">
        <v>16236</v>
      </c>
      <c r="AR157" s="375" t="s">
        <v>16089</v>
      </c>
      <c r="AS157" s="376" t="s">
        <v>16237</v>
      </c>
      <c r="AU157" s="270"/>
      <c r="AV157" s="270"/>
    </row>
    <row r="158" s="260" customFormat="1" ht="14.1" customHeight="1" spans="1:48">
      <c r="A158" s="1624" t="s">
        <v>709</v>
      </c>
      <c r="B158" s="277" t="s">
        <v>16238</v>
      </c>
      <c r="C158" s="278" t="s">
        <v>16239</v>
      </c>
      <c r="D158" s="279" t="s">
        <v>16240</v>
      </c>
      <c r="E158" s="290"/>
      <c r="F158" s="291"/>
      <c r="G158" s="292" t="s">
        <v>43</v>
      </c>
      <c r="H158" s="293" t="s">
        <v>254</v>
      </c>
      <c r="I158" s="293" t="s">
        <v>3089</v>
      </c>
      <c r="J158" s="306" t="s">
        <v>15722</v>
      </c>
      <c r="K158" s="305" t="s">
        <v>15786</v>
      </c>
      <c r="L158" s="303"/>
      <c r="M158" s="315">
        <v>42948</v>
      </c>
      <c r="N158" s="315">
        <v>43039</v>
      </c>
      <c r="O158" s="315">
        <v>43202</v>
      </c>
      <c r="P158" s="315">
        <v>43404</v>
      </c>
      <c r="Q158" s="315"/>
      <c r="R158" s="315"/>
      <c r="S158" s="315"/>
      <c r="T158" s="315"/>
      <c r="U158" s="315"/>
      <c r="V158" s="315"/>
      <c r="W158" s="325">
        <v>62.3497393518483</v>
      </c>
      <c r="X158" s="326" t="s">
        <v>745</v>
      </c>
      <c r="Y158" s="342">
        <v>11000000</v>
      </c>
      <c r="Z158" s="342">
        <v>15000</v>
      </c>
      <c r="AA158" s="335">
        <v>750000</v>
      </c>
      <c r="AB158" s="335">
        <v>315000</v>
      </c>
      <c r="AC158" s="342"/>
      <c r="AD158" s="335">
        <v>1650000</v>
      </c>
      <c r="AE158" s="335"/>
      <c r="AF158" s="335"/>
      <c r="AG158" s="349" t="s">
        <v>4669</v>
      </c>
      <c r="AH158" s="349">
        <v>750</v>
      </c>
      <c r="AI158" s="349"/>
      <c r="AJ158" s="306" t="s">
        <v>16241</v>
      </c>
      <c r="AK158" s="359" t="s">
        <v>16242</v>
      </c>
      <c r="AL158" s="359" t="s">
        <v>16243</v>
      </c>
      <c r="AM158" s="359" t="s">
        <v>16244</v>
      </c>
      <c r="AN158" s="359" t="s">
        <v>16245</v>
      </c>
      <c r="AO158" s="359"/>
      <c r="AP158" s="359" t="s">
        <v>16246</v>
      </c>
      <c r="AQ158" s="374" t="s">
        <v>16247</v>
      </c>
      <c r="AR158" s="375" t="s">
        <v>16089</v>
      </c>
      <c r="AS158" s="376" t="s">
        <v>16171</v>
      </c>
      <c r="AU158" s="270"/>
      <c r="AV158" s="270"/>
    </row>
    <row r="159" s="260" customFormat="1" ht="14.1" customHeight="1" spans="1:48">
      <c r="A159" s="1624" t="s">
        <v>718</v>
      </c>
      <c r="B159" s="277" t="s">
        <v>16248</v>
      </c>
      <c r="C159" s="278" t="s">
        <v>16249</v>
      </c>
      <c r="D159" s="279" t="s">
        <v>16250</v>
      </c>
      <c r="E159" s="290"/>
      <c r="F159" s="291"/>
      <c r="G159" s="292" t="s">
        <v>43</v>
      </c>
      <c r="H159" s="293" t="s">
        <v>44</v>
      </c>
      <c r="I159" s="293" t="s">
        <v>3528</v>
      </c>
      <c r="J159" s="306" t="s">
        <v>16251</v>
      </c>
      <c r="K159" s="305" t="s">
        <v>16252</v>
      </c>
      <c r="L159" s="303"/>
      <c r="M159" s="315">
        <v>42972</v>
      </c>
      <c r="N159" s="315">
        <v>43155</v>
      </c>
      <c r="O159" s="315"/>
      <c r="P159" s="315"/>
      <c r="Q159" s="315"/>
      <c r="R159" s="315"/>
      <c r="S159" s="315"/>
      <c r="T159" s="315"/>
      <c r="U159" s="315"/>
      <c r="V159" s="315"/>
      <c r="W159" s="325">
        <v>15.3497393518483</v>
      </c>
      <c r="X159" s="326" t="s">
        <v>2569</v>
      </c>
      <c r="Y159" s="342">
        <v>11200000</v>
      </c>
      <c r="Z159" s="335">
        <v>20000</v>
      </c>
      <c r="AA159" s="335">
        <v>750000</v>
      </c>
      <c r="AB159" s="335">
        <v>315000</v>
      </c>
      <c r="AC159" s="342"/>
      <c r="AD159" s="335">
        <v>1650000</v>
      </c>
      <c r="AE159" s="335"/>
      <c r="AF159" s="335"/>
      <c r="AG159" s="349" t="s">
        <v>4669</v>
      </c>
      <c r="AH159" s="349">
        <v>750</v>
      </c>
      <c r="AI159" s="349"/>
      <c r="AJ159" s="306" t="s">
        <v>16253</v>
      </c>
      <c r="AK159" s="359" t="s">
        <v>16254</v>
      </c>
      <c r="AL159" s="359" t="s">
        <v>16255</v>
      </c>
      <c r="AM159" s="359" t="s">
        <v>16256</v>
      </c>
      <c r="AN159" s="359" t="s">
        <v>16257</v>
      </c>
      <c r="AO159" s="359" t="s">
        <v>16258</v>
      </c>
      <c r="AP159" s="359" t="s">
        <v>16259</v>
      </c>
      <c r="AQ159" s="374" t="s">
        <v>16260</v>
      </c>
      <c r="AR159" s="375" t="s">
        <v>16089</v>
      </c>
      <c r="AS159" s="376" t="s">
        <v>16261</v>
      </c>
      <c r="AU159" s="270"/>
      <c r="AV159" s="270"/>
    </row>
    <row r="160" s="260" customFormat="1" ht="14.1" customHeight="1" spans="1:48">
      <c r="A160" s="1624" t="s">
        <v>730</v>
      </c>
      <c r="B160" s="277" t="s">
        <v>16262</v>
      </c>
      <c r="C160" s="278" t="s">
        <v>16263</v>
      </c>
      <c r="D160" s="279" t="s">
        <v>16264</v>
      </c>
      <c r="E160" s="290"/>
      <c r="F160" s="291"/>
      <c r="G160" s="292" t="s">
        <v>43</v>
      </c>
      <c r="H160" s="293" t="s">
        <v>96</v>
      </c>
      <c r="I160" s="293" t="s">
        <v>3089</v>
      </c>
      <c r="J160" s="306" t="s">
        <v>15722</v>
      </c>
      <c r="K160" s="305" t="s">
        <v>15723</v>
      </c>
      <c r="L160" s="303"/>
      <c r="M160" s="315">
        <v>42975</v>
      </c>
      <c r="N160" s="315">
        <v>43066</v>
      </c>
      <c r="O160" s="315">
        <v>43202</v>
      </c>
      <c r="P160" s="315">
        <v>43431</v>
      </c>
      <c r="Q160" s="315"/>
      <c r="R160" s="315"/>
      <c r="S160" s="315"/>
      <c r="T160" s="315"/>
      <c r="U160" s="315"/>
      <c r="V160" s="315"/>
      <c r="W160" s="325">
        <v>62.3497393518483</v>
      </c>
      <c r="X160" s="326" t="s">
        <v>745</v>
      </c>
      <c r="Y160" s="342">
        <v>8000000</v>
      </c>
      <c r="Z160" s="342">
        <v>15000</v>
      </c>
      <c r="AA160" s="335">
        <v>750000</v>
      </c>
      <c r="AB160" s="335">
        <v>315000</v>
      </c>
      <c r="AC160" s="342"/>
      <c r="AD160" s="335">
        <v>1650000</v>
      </c>
      <c r="AE160" s="335"/>
      <c r="AF160" s="335"/>
      <c r="AG160" s="349" t="s">
        <v>4669</v>
      </c>
      <c r="AH160" s="349">
        <v>400</v>
      </c>
      <c r="AI160" s="349"/>
      <c r="AJ160" s="306" t="s">
        <v>16265</v>
      </c>
      <c r="AK160" s="359" t="s">
        <v>16266</v>
      </c>
      <c r="AL160" s="359" t="s">
        <v>16267</v>
      </c>
      <c r="AM160" s="359" t="s">
        <v>16268</v>
      </c>
      <c r="AN160" s="359" t="s">
        <v>16269</v>
      </c>
      <c r="AO160" s="359"/>
      <c r="AP160" s="359" t="s">
        <v>16270</v>
      </c>
      <c r="AQ160" s="374" t="s">
        <v>16271</v>
      </c>
      <c r="AR160" s="375" t="s">
        <v>16089</v>
      </c>
      <c r="AS160" s="376" t="s">
        <v>16171</v>
      </c>
      <c r="AU160" s="270"/>
      <c r="AV160" s="270"/>
    </row>
    <row r="161" s="260" customFormat="1" ht="14.1" customHeight="1" spans="1:48">
      <c r="A161" s="1624" t="s">
        <v>777</v>
      </c>
      <c r="B161" s="277" t="s">
        <v>16272</v>
      </c>
      <c r="C161" s="278" t="s">
        <v>16273</v>
      </c>
      <c r="D161" s="279" t="s">
        <v>16274</v>
      </c>
      <c r="E161" s="290"/>
      <c r="F161" s="291"/>
      <c r="G161" s="292" t="s">
        <v>43</v>
      </c>
      <c r="H161" s="293" t="s">
        <v>404</v>
      </c>
      <c r="I161" s="293" t="s">
        <v>16275</v>
      </c>
      <c r="J161" s="306" t="s">
        <v>16276</v>
      </c>
      <c r="K161" s="305" t="s">
        <v>16277</v>
      </c>
      <c r="L161" s="303"/>
      <c r="M161" s="315">
        <v>42983</v>
      </c>
      <c r="N161" s="315">
        <v>43073</v>
      </c>
      <c r="O161" s="315">
        <v>43202</v>
      </c>
      <c r="P161" s="315">
        <v>43438</v>
      </c>
      <c r="Q161" s="315"/>
      <c r="R161" s="315"/>
      <c r="S161" s="315"/>
      <c r="T161" s="315"/>
      <c r="U161" s="315"/>
      <c r="V161" s="315"/>
      <c r="W161" s="325">
        <v>62.3497393518483</v>
      </c>
      <c r="X161" s="326" t="s">
        <v>745</v>
      </c>
      <c r="Y161" s="342">
        <v>7000000</v>
      </c>
      <c r="Z161" s="342">
        <v>13500</v>
      </c>
      <c r="AA161" s="335">
        <v>750000</v>
      </c>
      <c r="AB161" s="335">
        <v>315000</v>
      </c>
      <c r="AC161" s="342"/>
      <c r="AD161" s="335">
        <v>1650000</v>
      </c>
      <c r="AE161" s="335"/>
      <c r="AF161" s="335"/>
      <c r="AG161" s="349" t="s">
        <v>112</v>
      </c>
      <c r="AH161" s="349" t="s">
        <v>15012</v>
      </c>
      <c r="AI161" s="349"/>
      <c r="AJ161" s="306" t="s">
        <v>16278</v>
      </c>
      <c r="AK161" s="359" t="s">
        <v>16279</v>
      </c>
      <c r="AL161" s="359" t="s">
        <v>16280</v>
      </c>
      <c r="AM161" s="359" t="s">
        <v>16281</v>
      </c>
      <c r="AN161" s="359" t="s">
        <v>16282</v>
      </c>
      <c r="AO161" s="359" t="s">
        <v>16283</v>
      </c>
      <c r="AP161" s="359" t="s">
        <v>16284</v>
      </c>
      <c r="AQ161" s="374" t="s">
        <v>16285</v>
      </c>
      <c r="AR161" s="375" t="s">
        <v>16089</v>
      </c>
      <c r="AS161" s="376" t="s">
        <v>16286</v>
      </c>
      <c r="AU161" s="270"/>
      <c r="AV161" s="270"/>
    </row>
    <row r="162" s="260" customFormat="1" ht="14.1" customHeight="1" spans="1:48">
      <c r="A162" s="1624" t="s">
        <v>790</v>
      </c>
      <c r="B162" s="277" t="s">
        <v>16287</v>
      </c>
      <c r="C162" s="278" t="s">
        <v>8118</v>
      </c>
      <c r="D162" s="279" t="s">
        <v>16288</v>
      </c>
      <c r="E162" s="290"/>
      <c r="F162" s="291"/>
      <c r="G162" s="292" t="s">
        <v>43</v>
      </c>
      <c r="H162" s="293" t="s">
        <v>60</v>
      </c>
      <c r="I162" s="293" t="s">
        <v>16289</v>
      </c>
      <c r="J162" s="306" t="s">
        <v>16290</v>
      </c>
      <c r="K162" s="305" t="s">
        <v>16291</v>
      </c>
      <c r="L162" s="303"/>
      <c r="M162" s="315">
        <v>42954</v>
      </c>
      <c r="N162" s="315">
        <v>43045</v>
      </c>
      <c r="O162" s="315">
        <v>43202</v>
      </c>
      <c r="P162" s="315"/>
      <c r="Q162" s="315"/>
      <c r="R162" s="315"/>
      <c r="S162" s="315"/>
      <c r="T162" s="315"/>
      <c r="U162" s="315"/>
      <c r="V162" s="315"/>
      <c r="W162" s="325">
        <v>62.3497393518483</v>
      </c>
      <c r="X162" s="326" t="s">
        <v>745</v>
      </c>
      <c r="Y162" s="342">
        <v>5000000</v>
      </c>
      <c r="Z162" s="342">
        <v>15000</v>
      </c>
      <c r="AA162" s="335">
        <v>750000</v>
      </c>
      <c r="AB162" s="335">
        <v>315000</v>
      </c>
      <c r="AC162" s="342"/>
      <c r="AD162" s="335">
        <v>1650000</v>
      </c>
      <c r="AE162" s="335"/>
      <c r="AF162" s="335"/>
      <c r="AG162" s="349" t="s">
        <v>112</v>
      </c>
      <c r="AH162" s="349">
        <v>400</v>
      </c>
      <c r="AI162" s="349"/>
      <c r="AJ162" s="306" t="s">
        <v>16292</v>
      </c>
      <c r="AK162" s="359" t="s">
        <v>16293</v>
      </c>
      <c r="AL162" s="359" t="s">
        <v>16294</v>
      </c>
      <c r="AM162" s="359" t="s">
        <v>16295</v>
      </c>
      <c r="AN162" s="359" t="s">
        <v>16296</v>
      </c>
      <c r="AO162" s="359"/>
      <c r="AP162" s="359" t="s">
        <v>16297</v>
      </c>
      <c r="AQ162" s="374" t="s">
        <v>16298</v>
      </c>
      <c r="AR162" s="375" t="s">
        <v>16089</v>
      </c>
      <c r="AS162" s="376" t="s">
        <v>16212</v>
      </c>
      <c r="AU162" s="270"/>
      <c r="AV162" s="270"/>
    </row>
    <row r="163" s="260" customFormat="1" ht="14.1" customHeight="1" spans="1:48">
      <c r="A163" s="1624" t="s">
        <v>798</v>
      </c>
      <c r="B163" s="277" t="s">
        <v>16299</v>
      </c>
      <c r="C163" s="278" t="s">
        <v>16300</v>
      </c>
      <c r="D163" s="279" t="s">
        <v>16301</v>
      </c>
      <c r="E163" s="290"/>
      <c r="F163" s="291"/>
      <c r="G163" s="292" t="s">
        <v>43</v>
      </c>
      <c r="H163" s="293" t="s">
        <v>60</v>
      </c>
      <c r="I163" s="293" t="s">
        <v>16302</v>
      </c>
      <c r="J163" s="306" t="s">
        <v>16303</v>
      </c>
      <c r="K163" s="305" t="s">
        <v>16304</v>
      </c>
      <c r="L163" s="303"/>
      <c r="M163" s="315">
        <v>42982</v>
      </c>
      <c r="N163" s="315">
        <v>43072</v>
      </c>
      <c r="O163" s="315">
        <v>43202</v>
      </c>
      <c r="P163" s="315">
        <v>43437</v>
      </c>
      <c r="Q163" s="315"/>
      <c r="R163" s="315"/>
      <c r="S163" s="315"/>
      <c r="T163" s="315"/>
      <c r="U163" s="315"/>
      <c r="V163" s="315"/>
      <c r="W163" s="325">
        <v>62.3497393518483</v>
      </c>
      <c r="X163" s="326" t="s">
        <v>745</v>
      </c>
      <c r="Y163" s="342">
        <v>5000000</v>
      </c>
      <c r="Z163" s="342">
        <v>13500</v>
      </c>
      <c r="AA163" s="335">
        <v>750000</v>
      </c>
      <c r="AB163" s="335">
        <v>315000</v>
      </c>
      <c r="AC163" s="342"/>
      <c r="AD163" s="335">
        <v>1650000</v>
      </c>
      <c r="AE163" s="335"/>
      <c r="AF163" s="335"/>
      <c r="AG163" s="349" t="s">
        <v>112</v>
      </c>
      <c r="AH163" s="349">
        <v>400</v>
      </c>
      <c r="AI163" s="349"/>
      <c r="AJ163" s="306" t="s">
        <v>16305</v>
      </c>
      <c r="AK163" s="359" t="s">
        <v>16306</v>
      </c>
      <c r="AL163" s="359" t="s">
        <v>16307</v>
      </c>
      <c r="AM163" s="359" t="s">
        <v>16308</v>
      </c>
      <c r="AN163" s="359" t="s">
        <v>16309</v>
      </c>
      <c r="AO163" s="359" t="s">
        <v>16310</v>
      </c>
      <c r="AP163" s="359" t="s">
        <v>16311</v>
      </c>
      <c r="AQ163" s="374" t="s">
        <v>16312</v>
      </c>
      <c r="AR163" s="375" t="s">
        <v>16089</v>
      </c>
      <c r="AS163" s="376" t="s">
        <v>16313</v>
      </c>
      <c r="AU163" s="270"/>
      <c r="AV163" s="270"/>
    </row>
    <row r="164" s="260" customFormat="1" ht="14.1" customHeight="1" spans="1:48">
      <c r="A164" s="1624" t="s">
        <v>806</v>
      </c>
      <c r="B164" s="277" t="s">
        <v>16314</v>
      </c>
      <c r="C164" s="278" t="s">
        <v>16315</v>
      </c>
      <c r="D164" s="279" t="s">
        <v>16316</v>
      </c>
      <c r="E164" s="290"/>
      <c r="F164" s="291"/>
      <c r="G164" s="292" t="s">
        <v>43</v>
      </c>
      <c r="H164" s="293" t="s">
        <v>96</v>
      </c>
      <c r="I164" s="293" t="s">
        <v>16317</v>
      </c>
      <c r="J164" s="306" t="s">
        <v>16318</v>
      </c>
      <c r="K164" s="305" t="s">
        <v>16319</v>
      </c>
      <c r="L164" s="303"/>
      <c r="M164" s="315">
        <v>42965</v>
      </c>
      <c r="N164" s="315">
        <v>43056</v>
      </c>
      <c r="O164" s="315">
        <v>43202</v>
      </c>
      <c r="P164" s="315">
        <v>43421</v>
      </c>
      <c r="Q164" s="315"/>
      <c r="R164" s="315"/>
      <c r="S164" s="315"/>
      <c r="T164" s="315"/>
      <c r="U164" s="315"/>
      <c r="V164" s="315"/>
      <c r="W164" s="325">
        <v>62.3497393518483</v>
      </c>
      <c r="X164" s="326" t="s">
        <v>745</v>
      </c>
      <c r="Y164" s="342">
        <v>4500000</v>
      </c>
      <c r="Z164" s="342">
        <v>13500</v>
      </c>
      <c r="AA164" s="335">
        <v>750000</v>
      </c>
      <c r="AB164" s="335">
        <v>315000</v>
      </c>
      <c r="AC164" s="342"/>
      <c r="AD164" s="335">
        <v>1650000</v>
      </c>
      <c r="AE164" s="335"/>
      <c r="AF164" s="335"/>
      <c r="AG164" s="349" t="s">
        <v>112</v>
      </c>
      <c r="AH164" s="349">
        <v>400</v>
      </c>
      <c r="AI164" s="349"/>
      <c r="AJ164" s="306" t="s">
        <v>16320</v>
      </c>
      <c r="AK164" s="359" t="s">
        <v>16321</v>
      </c>
      <c r="AL164" s="359" t="s">
        <v>16322</v>
      </c>
      <c r="AM164" s="359" t="s">
        <v>16323</v>
      </c>
      <c r="AN164" s="359" t="s">
        <v>16324</v>
      </c>
      <c r="AO164" s="359" t="s">
        <v>16325</v>
      </c>
      <c r="AP164" s="1628" t="s">
        <v>16326</v>
      </c>
      <c r="AQ164" s="374" t="s">
        <v>16327</v>
      </c>
      <c r="AR164" s="375" t="s">
        <v>16089</v>
      </c>
      <c r="AS164" s="376" t="s">
        <v>16313</v>
      </c>
      <c r="AU164" s="270"/>
      <c r="AV164" s="270"/>
    </row>
    <row r="165" s="260" customFormat="1" ht="14.1" customHeight="1" spans="1:48">
      <c r="A165" s="1624" t="s">
        <v>816</v>
      </c>
      <c r="B165" s="277" t="s">
        <v>16328</v>
      </c>
      <c r="C165" s="278" t="s">
        <v>16329</v>
      </c>
      <c r="D165" s="279" t="s">
        <v>16330</v>
      </c>
      <c r="E165" s="290"/>
      <c r="F165" s="291"/>
      <c r="G165" s="292" t="s">
        <v>43</v>
      </c>
      <c r="H165" s="293" t="s">
        <v>44</v>
      </c>
      <c r="I165" s="293" t="s">
        <v>757</v>
      </c>
      <c r="J165" s="306" t="s">
        <v>16176</v>
      </c>
      <c r="K165" s="305" t="s">
        <v>16331</v>
      </c>
      <c r="L165" s="303"/>
      <c r="M165" s="315">
        <v>42961</v>
      </c>
      <c r="N165" s="315">
        <v>43052</v>
      </c>
      <c r="O165" s="315"/>
      <c r="P165" s="315"/>
      <c r="Q165" s="315"/>
      <c r="R165" s="315"/>
      <c r="S165" s="315"/>
      <c r="T165" s="315"/>
      <c r="U165" s="315"/>
      <c r="V165" s="315"/>
      <c r="W165" s="325">
        <v>-87.6502606481517</v>
      </c>
      <c r="X165" s="326" t="s">
        <v>2569</v>
      </c>
      <c r="Y165" s="342">
        <v>4000000</v>
      </c>
      <c r="Z165" s="342">
        <v>15000</v>
      </c>
      <c r="AA165" s="335">
        <v>750000</v>
      </c>
      <c r="AB165" s="335">
        <v>315000</v>
      </c>
      <c r="AC165" s="342"/>
      <c r="AD165" s="335">
        <v>1650000</v>
      </c>
      <c r="AE165" s="335"/>
      <c r="AF165" s="335"/>
      <c r="AG165" s="349" t="s">
        <v>112</v>
      </c>
      <c r="AH165" s="349">
        <v>400</v>
      </c>
      <c r="AI165" s="349"/>
      <c r="AJ165" s="306" t="s">
        <v>16332</v>
      </c>
      <c r="AK165" s="359" t="s">
        <v>16333</v>
      </c>
      <c r="AL165" s="359" t="s">
        <v>16334</v>
      </c>
      <c r="AM165" s="359" t="s">
        <v>16335</v>
      </c>
      <c r="AN165" s="359" t="s">
        <v>16336</v>
      </c>
      <c r="AO165" s="359" t="s">
        <v>16337</v>
      </c>
      <c r="AP165" s="359" t="s">
        <v>16338</v>
      </c>
      <c r="AQ165" s="374" t="s">
        <v>16339</v>
      </c>
      <c r="AR165" s="375" t="s">
        <v>16089</v>
      </c>
      <c r="AS165" s="376" t="s">
        <v>16185</v>
      </c>
      <c r="AU165" s="270"/>
      <c r="AV165" s="270"/>
    </row>
    <row r="166" s="260" customFormat="1" ht="14.1" customHeight="1" spans="1:48">
      <c r="A166" s="1624" t="s">
        <v>888</v>
      </c>
      <c r="B166" s="277" t="s">
        <v>16340</v>
      </c>
      <c r="C166" s="278" t="s">
        <v>16341</v>
      </c>
      <c r="D166" s="279" t="s">
        <v>16342</v>
      </c>
      <c r="E166" s="290"/>
      <c r="F166" s="291" t="s">
        <v>1110</v>
      </c>
      <c r="G166" s="292" t="s">
        <v>43</v>
      </c>
      <c r="H166" s="293" t="s">
        <v>44</v>
      </c>
      <c r="I166" s="293" t="s">
        <v>15864</v>
      </c>
      <c r="J166" s="306" t="s">
        <v>16343</v>
      </c>
      <c r="K166" s="305" t="s">
        <v>16344</v>
      </c>
      <c r="L166" s="303"/>
      <c r="M166" s="315">
        <v>42979</v>
      </c>
      <c r="N166" s="315">
        <v>43069</v>
      </c>
      <c r="O166" s="315">
        <v>43100</v>
      </c>
      <c r="P166" s="315"/>
      <c r="Q166" s="315"/>
      <c r="R166" s="315"/>
      <c r="S166" s="315"/>
      <c r="T166" s="315"/>
      <c r="U166" s="315"/>
      <c r="V166" s="315"/>
      <c r="W166" s="325">
        <v>-70.6502606481517</v>
      </c>
      <c r="X166" s="326" t="s">
        <v>2569</v>
      </c>
      <c r="Y166" s="342">
        <v>8000000</v>
      </c>
      <c r="Z166" s="342">
        <v>15000</v>
      </c>
      <c r="AA166" s="335">
        <v>750000</v>
      </c>
      <c r="AB166" s="335">
        <v>315000</v>
      </c>
      <c r="AC166" s="342"/>
      <c r="AD166" s="335">
        <v>1650000</v>
      </c>
      <c r="AE166" s="335"/>
      <c r="AF166" s="335"/>
      <c r="AG166" s="349" t="s">
        <v>112</v>
      </c>
      <c r="AH166" s="349">
        <v>400</v>
      </c>
      <c r="AI166" s="349"/>
      <c r="AJ166" s="306" t="s">
        <v>16345</v>
      </c>
      <c r="AK166" s="359" t="s">
        <v>16346</v>
      </c>
      <c r="AL166" s="359" t="s">
        <v>16347</v>
      </c>
      <c r="AM166" s="359" t="s">
        <v>16348</v>
      </c>
      <c r="AN166" s="359" t="s">
        <v>16349</v>
      </c>
      <c r="AO166" s="359"/>
      <c r="AP166" s="359"/>
      <c r="AQ166" s="374" t="s">
        <v>16350</v>
      </c>
      <c r="AR166" s="375" t="s">
        <v>16089</v>
      </c>
      <c r="AS166" s="376" t="s">
        <v>16351</v>
      </c>
      <c r="AU166" s="270"/>
      <c r="AV166" s="270"/>
    </row>
    <row r="167" s="260" customFormat="1" ht="14.1" customHeight="1" spans="1:48">
      <c r="A167" s="1624" t="s">
        <v>916</v>
      </c>
      <c r="B167" s="277" t="s">
        <v>16352</v>
      </c>
      <c r="C167" s="278" t="s">
        <v>16353</v>
      </c>
      <c r="D167" s="279" t="s">
        <v>16354</v>
      </c>
      <c r="E167" s="290"/>
      <c r="F167" s="291" t="s">
        <v>1110</v>
      </c>
      <c r="G167" s="292" t="s">
        <v>125</v>
      </c>
      <c r="H167" s="293" t="s">
        <v>44</v>
      </c>
      <c r="I167" s="293" t="s">
        <v>3528</v>
      </c>
      <c r="J167" s="306" t="s">
        <v>16355</v>
      </c>
      <c r="K167" s="305" t="s">
        <v>16356</v>
      </c>
      <c r="L167" s="303"/>
      <c r="M167" s="315">
        <v>42961</v>
      </c>
      <c r="N167" s="315">
        <v>43325</v>
      </c>
      <c r="O167" s="315"/>
      <c r="P167" s="315"/>
      <c r="Q167" s="315"/>
      <c r="R167" s="315"/>
      <c r="S167" s="315"/>
      <c r="T167" s="315"/>
      <c r="U167" s="315"/>
      <c r="V167" s="315"/>
      <c r="W167" s="325">
        <v>185.349739351848</v>
      </c>
      <c r="X167" s="326" t="s">
        <v>745</v>
      </c>
      <c r="Y167" s="342">
        <v>5000000</v>
      </c>
      <c r="Z167" s="342">
        <v>220000</v>
      </c>
      <c r="AA167" s="335">
        <v>750000</v>
      </c>
      <c r="AB167" s="335"/>
      <c r="AC167" s="342"/>
      <c r="AD167" s="335"/>
      <c r="AE167" s="335"/>
      <c r="AF167" s="335"/>
      <c r="AG167" s="349" t="s">
        <v>0</v>
      </c>
      <c r="AH167" s="349">
        <v>400</v>
      </c>
      <c r="AI167" s="349"/>
      <c r="AJ167" s="306" t="s">
        <v>16357</v>
      </c>
      <c r="AK167" s="359" t="s">
        <v>16358</v>
      </c>
      <c r="AL167" s="359" t="s">
        <v>16359</v>
      </c>
      <c r="AM167" s="359"/>
      <c r="AN167" s="359" t="s">
        <v>16360</v>
      </c>
      <c r="AO167" s="1628" t="s">
        <v>16361</v>
      </c>
      <c r="AP167" s="359"/>
      <c r="AQ167" s="374" t="s">
        <v>16362</v>
      </c>
      <c r="AR167" s="375" t="s">
        <v>16089</v>
      </c>
      <c r="AS167" s="376" t="s">
        <v>16261</v>
      </c>
      <c r="AU167" s="270"/>
      <c r="AV167" s="270"/>
    </row>
    <row r="168" s="260" customFormat="1" ht="14.1" customHeight="1" spans="1:48">
      <c r="A168" s="1624" t="s">
        <v>940</v>
      </c>
      <c r="B168" s="277" t="s">
        <v>16363</v>
      </c>
      <c r="C168" s="278" t="s">
        <v>16364</v>
      </c>
      <c r="D168" s="279" t="s">
        <v>16365</v>
      </c>
      <c r="E168" s="290"/>
      <c r="F168" s="291" t="s">
        <v>1110</v>
      </c>
      <c r="G168" s="292" t="s">
        <v>43</v>
      </c>
      <c r="H168" s="293" t="s">
        <v>44</v>
      </c>
      <c r="I168" s="293" t="s">
        <v>2832</v>
      </c>
      <c r="J168" s="306" t="s">
        <v>16355</v>
      </c>
      <c r="K168" s="305" t="s">
        <v>16356</v>
      </c>
      <c r="L168" s="303"/>
      <c r="M168" s="315">
        <v>42961</v>
      </c>
      <c r="N168" s="315">
        <v>43325</v>
      </c>
      <c r="O168" s="315"/>
      <c r="P168" s="315"/>
      <c r="Q168" s="315"/>
      <c r="R168" s="315"/>
      <c r="S168" s="315"/>
      <c r="T168" s="315"/>
      <c r="U168" s="315"/>
      <c r="V168" s="315"/>
      <c r="W168" s="325">
        <v>185.349739351848</v>
      </c>
      <c r="X168" s="326" t="s">
        <v>745</v>
      </c>
      <c r="Y168" s="342">
        <v>5000000</v>
      </c>
      <c r="Z168" s="342">
        <v>220000</v>
      </c>
      <c r="AA168" s="335">
        <v>750000</v>
      </c>
      <c r="AB168" s="335"/>
      <c r="AC168" s="342"/>
      <c r="AD168" s="335"/>
      <c r="AE168" s="335"/>
      <c r="AF168" s="335"/>
      <c r="AG168" s="349" t="s">
        <v>0</v>
      </c>
      <c r="AH168" s="349">
        <v>400</v>
      </c>
      <c r="AI168" s="349"/>
      <c r="AJ168" s="306" t="s">
        <v>16366</v>
      </c>
      <c r="AK168" s="359" t="s">
        <v>16367</v>
      </c>
      <c r="AL168" s="359" t="s">
        <v>16368</v>
      </c>
      <c r="AM168" s="359" t="s">
        <v>16369</v>
      </c>
      <c r="AN168" s="359" t="s">
        <v>16370</v>
      </c>
      <c r="AO168" s="1628" t="s">
        <v>16371</v>
      </c>
      <c r="AP168" s="359"/>
      <c r="AQ168" s="374" t="s">
        <v>16372</v>
      </c>
      <c r="AR168" s="375" t="s">
        <v>16089</v>
      </c>
      <c r="AS168" s="376" t="s">
        <v>16261</v>
      </c>
      <c r="AU168" s="270"/>
      <c r="AV168" s="270"/>
    </row>
    <row r="169" s="260" customFormat="1" ht="14.1" customHeight="1" spans="1:48">
      <c r="A169" s="1624" t="s">
        <v>949</v>
      </c>
      <c r="B169" s="277" t="s">
        <v>16373</v>
      </c>
      <c r="C169" s="278" t="s">
        <v>16374</v>
      </c>
      <c r="D169" s="279" t="s">
        <v>16375</v>
      </c>
      <c r="E169" s="290"/>
      <c r="F169" s="291" t="s">
        <v>1110</v>
      </c>
      <c r="G169" s="292" t="s">
        <v>43</v>
      </c>
      <c r="H169" s="293" t="s">
        <v>44</v>
      </c>
      <c r="I169" s="293" t="s">
        <v>3089</v>
      </c>
      <c r="J169" s="306" t="s">
        <v>16355</v>
      </c>
      <c r="K169" s="305" t="s">
        <v>16356</v>
      </c>
      <c r="L169" s="303"/>
      <c r="M169" s="315">
        <v>42961</v>
      </c>
      <c r="N169" s="315">
        <v>43325</v>
      </c>
      <c r="O169" s="315"/>
      <c r="P169" s="315"/>
      <c r="Q169" s="315"/>
      <c r="R169" s="315"/>
      <c r="S169" s="315"/>
      <c r="T169" s="315"/>
      <c r="U169" s="315"/>
      <c r="V169" s="315"/>
      <c r="W169" s="325">
        <v>185.349739351848</v>
      </c>
      <c r="X169" s="326" t="s">
        <v>745</v>
      </c>
      <c r="Y169" s="342">
        <v>5000000</v>
      </c>
      <c r="Z169" s="342">
        <v>220000</v>
      </c>
      <c r="AA169" s="335">
        <v>750000</v>
      </c>
      <c r="AB169" s="335"/>
      <c r="AC169" s="342"/>
      <c r="AD169" s="335"/>
      <c r="AE169" s="335"/>
      <c r="AF169" s="335"/>
      <c r="AG169" s="349" t="s">
        <v>0</v>
      </c>
      <c r="AH169" s="349">
        <v>400</v>
      </c>
      <c r="AI169" s="349"/>
      <c r="AJ169" s="306" t="s">
        <v>16376</v>
      </c>
      <c r="AK169" s="359" t="s">
        <v>16377</v>
      </c>
      <c r="AL169" s="359" t="s">
        <v>16378</v>
      </c>
      <c r="AM169" s="359" t="s">
        <v>16379</v>
      </c>
      <c r="AN169" s="359" t="s">
        <v>16380</v>
      </c>
      <c r="AO169" s="1628" t="s">
        <v>16381</v>
      </c>
      <c r="AP169" s="359"/>
      <c r="AQ169" s="374" t="s">
        <v>16382</v>
      </c>
      <c r="AR169" s="375" t="s">
        <v>16089</v>
      </c>
      <c r="AS169" s="376" t="s">
        <v>16261</v>
      </c>
      <c r="AU169" s="270"/>
      <c r="AV169" s="270"/>
    </row>
    <row r="170" s="260" customFormat="1" ht="14.1" customHeight="1" spans="1:48">
      <c r="A170" s="1624" t="s">
        <v>961</v>
      </c>
      <c r="B170" s="277" t="s">
        <v>16383</v>
      </c>
      <c r="C170" s="278" t="s">
        <v>16384</v>
      </c>
      <c r="D170" s="279" t="s">
        <v>16385</v>
      </c>
      <c r="E170" s="290"/>
      <c r="F170" s="291" t="s">
        <v>1110</v>
      </c>
      <c r="G170" s="292" t="s">
        <v>43</v>
      </c>
      <c r="H170" s="293" t="s">
        <v>44</v>
      </c>
      <c r="I170" s="293" t="s">
        <v>10370</v>
      </c>
      <c r="J170" s="306" t="s">
        <v>16355</v>
      </c>
      <c r="K170" s="305" t="s">
        <v>16356</v>
      </c>
      <c r="L170" s="303"/>
      <c r="M170" s="315">
        <v>42961</v>
      </c>
      <c r="N170" s="315">
        <v>43325</v>
      </c>
      <c r="O170" s="315"/>
      <c r="P170" s="315"/>
      <c r="Q170" s="315"/>
      <c r="R170" s="315"/>
      <c r="S170" s="315"/>
      <c r="T170" s="315"/>
      <c r="U170" s="315"/>
      <c r="V170" s="315"/>
      <c r="W170" s="325">
        <v>185.349739351848</v>
      </c>
      <c r="X170" s="326" t="s">
        <v>745</v>
      </c>
      <c r="Y170" s="342">
        <v>5000000</v>
      </c>
      <c r="Z170" s="342">
        <v>220000</v>
      </c>
      <c r="AA170" s="335">
        <v>750000</v>
      </c>
      <c r="AB170" s="335"/>
      <c r="AC170" s="342"/>
      <c r="AD170" s="335"/>
      <c r="AE170" s="335"/>
      <c r="AF170" s="335"/>
      <c r="AG170" s="349" t="s">
        <v>0</v>
      </c>
      <c r="AH170" s="349">
        <v>400</v>
      </c>
      <c r="AI170" s="349"/>
      <c r="AJ170" s="306" t="s">
        <v>16386</v>
      </c>
      <c r="AK170" s="359" t="s">
        <v>16387</v>
      </c>
      <c r="AL170" s="359" t="s">
        <v>16388</v>
      </c>
      <c r="AM170" s="359" t="s">
        <v>16389</v>
      </c>
      <c r="AN170" s="359" t="s">
        <v>16390</v>
      </c>
      <c r="AO170" s="1628" t="s">
        <v>16391</v>
      </c>
      <c r="AP170" s="359"/>
      <c r="AQ170" s="374" t="s">
        <v>16392</v>
      </c>
      <c r="AR170" s="375" t="s">
        <v>16089</v>
      </c>
      <c r="AS170" s="376" t="s">
        <v>16261</v>
      </c>
      <c r="AU170" s="270"/>
      <c r="AV170" s="270"/>
    </row>
    <row r="171" s="260" customFormat="1" ht="14.1" customHeight="1" spans="1:48">
      <c r="A171" s="1624" t="s">
        <v>970</v>
      </c>
      <c r="B171" s="277" t="s">
        <v>16393</v>
      </c>
      <c r="C171" s="278" t="s">
        <v>16394</v>
      </c>
      <c r="D171" s="279" t="s">
        <v>16395</v>
      </c>
      <c r="E171" s="290"/>
      <c r="F171" s="291" t="s">
        <v>1110</v>
      </c>
      <c r="G171" s="292" t="s">
        <v>125</v>
      </c>
      <c r="H171" s="293" t="s">
        <v>44</v>
      </c>
      <c r="I171" s="293" t="s">
        <v>1300</v>
      </c>
      <c r="J171" s="306" t="s">
        <v>16355</v>
      </c>
      <c r="K171" s="305" t="s">
        <v>16356</v>
      </c>
      <c r="L171" s="303"/>
      <c r="M171" s="315">
        <v>42961</v>
      </c>
      <c r="N171" s="315">
        <v>43325</v>
      </c>
      <c r="O171" s="315"/>
      <c r="P171" s="315"/>
      <c r="Q171" s="315"/>
      <c r="R171" s="315"/>
      <c r="S171" s="315"/>
      <c r="T171" s="315"/>
      <c r="U171" s="315"/>
      <c r="V171" s="315"/>
      <c r="W171" s="325">
        <v>185.349739351848</v>
      </c>
      <c r="X171" s="326" t="s">
        <v>745</v>
      </c>
      <c r="Y171" s="342">
        <v>5000000</v>
      </c>
      <c r="Z171" s="342">
        <v>220000</v>
      </c>
      <c r="AA171" s="335">
        <v>750000</v>
      </c>
      <c r="AB171" s="335"/>
      <c r="AC171" s="342"/>
      <c r="AD171" s="335"/>
      <c r="AE171" s="335"/>
      <c r="AF171" s="335"/>
      <c r="AG171" s="349" t="s">
        <v>0</v>
      </c>
      <c r="AH171" s="349">
        <v>400</v>
      </c>
      <c r="AI171" s="349"/>
      <c r="AJ171" s="306" t="s">
        <v>16396</v>
      </c>
      <c r="AK171" s="359" t="s">
        <v>16397</v>
      </c>
      <c r="AL171" s="359" t="s">
        <v>16398</v>
      </c>
      <c r="AM171" s="359" t="s">
        <v>16399</v>
      </c>
      <c r="AN171" s="359" t="s">
        <v>16400</v>
      </c>
      <c r="AO171" s="1628" t="s">
        <v>16401</v>
      </c>
      <c r="AP171" s="359"/>
      <c r="AQ171" s="374" t="s">
        <v>16402</v>
      </c>
      <c r="AR171" s="375" t="s">
        <v>16089</v>
      </c>
      <c r="AS171" s="376" t="s">
        <v>16261</v>
      </c>
      <c r="AU171" s="270"/>
      <c r="AV171" s="270"/>
    </row>
    <row r="172" s="260" customFormat="1" ht="14.1" customHeight="1" spans="1:48">
      <c r="A172" s="1624" t="s">
        <v>3214</v>
      </c>
      <c r="B172" s="277" t="s">
        <v>16403</v>
      </c>
      <c r="C172" s="278" t="s">
        <v>16404</v>
      </c>
      <c r="D172" s="279" t="s">
        <v>16405</v>
      </c>
      <c r="E172" s="290"/>
      <c r="F172" s="291" t="s">
        <v>1110</v>
      </c>
      <c r="G172" s="292" t="s">
        <v>125</v>
      </c>
      <c r="H172" s="293" t="s">
        <v>44</v>
      </c>
      <c r="I172" s="293" t="s">
        <v>3528</v>
      </c>
      <c r="J172" s="306" t="s">
        <v>16355</v>
      </c>
      <c r="K172" s="305" t="s">
        <v>16356</v>
      </c>
      <c r="L172" s="303"/>
      <c r="M172" s="315">
        <v>42961</v>
      </c>
      <c r="N172" s="315">
        <v>43325</v>
      </c>
      <c r="O172" s="315"/>
      <c r="P172" s="315"/>
      <c r="Q172" s="315"/>
      <c r="R172" s="315"/>
      <c r="S172" s="315"/>
      <c r="T172" s="315"/>
      <c r="U172" s="315"/>
      <c r="V172" s="315"/>
      <c r="W172" s="325">
        <v>185.349739351848</v>
      </c>
      <c r="X172" s="326" t="s">
        <v>745</v>
      </c>
      <c r="Y172" s="342">
        <v>5000000</v>
      </c>
      <c r="Z172" s="342">
        <v>220000</v>
      </c>
      <c r="AA172" s="335">
        <v>750000</v>
      </c>
      <c r="AB172" s="335"/>
      <c r="AC172" s="342"/>
      <c r="AD172" s="335"/>
      <c r="AE172" s="335"/>
      <c r="AF172" s="335"/>
      <c r="AG172" s="349" t="s">
        <v>0</v>
      </c>
      <c r="AH172" s="349">
        <v>400</v>
      </c>
      <c r="AI172" s="349"/>
      <c r="AJ172" s="306" t="s">
        <v>16406</v>
      </c>
      <c r="AK172" s="359" t="s">
        <v>16407</v>
      </c>
      <c r="AL172" s="359" t="s">
        <v>16408</v>
      </c>
      <c r="AM172" s="359"/>
      <c r="AN172" s="359" t="s">
        <v>16409</v>
      </c>
      <c r="AO172" s="1628" t="s">
        <v>16410</v>
      </c>
      <c r="AP172" s="359"/>
      <c r="AQ172" s="374" t="s">
        <v>16411</v>
      </c>
      <c r="AR172" s="375" t="s">
        <v>16089</v>
      </c>
      <c r="AS172" s="376" t="s">
        <v>16261</v>
      </c>
      <c r="AU172" s="270"/>
      <c r="AV172" s="270"/>
    </row>
    <row r="173" s="260" customFormat="1" ht="14.1" customHeight="1" spans="1:48">
      <c r="A173" s="1624" t="s">
        <v>979</v>
      </c>
      <c r="B173" s="277" t="s">
        <v>16412</v>
      </c>
      <c r="C173" s="278" t="s">
        <v>16413</v>
      </c>
      <c r="D173" s="279" t="s">
        <v>16414</v>
      </c>
      <c r="E173" s="290"/>
      <c r="F173" s="291" t="s">
        <v>1110</v>
      </c>
      <c r="G173" s="292" t="s">
        <v>43</v>
      </c>
      <c r="H173" s="293" t="s">
        <v>44</v>
      </c>
      <c r="I173" s="293" t="s">
        <v>3528</v>
      </c>
      <c r="J173" s="306" t="s">
        <v>16355</v>
      </c>
      <c r="K173" s="305" t="s">
        <v>16356</v>
      </c>
      <c r="L173" s="303"/>
      <c r="M173" s="315">
        <v>42961</v>
      </c>
      <c r="N173" s="315">
        <v>43325</v>
      </c>
      <c r="O173" s="315"/>
      <c r="P173" s="315"/>
      <c r="Q173" s="315"/>
      <c r="R173" s="315"/>
      <c r="S173" s="315"/>
      <c r="T173" s="315"/>
      <c r="U173" s="315"/>
      <c r="V173" s="315"/>
      <c r="W173" s="325">
        <v>185.349739351848</v>
      </c>
      <c r="X173" s="326" t="s">
        <v>745</v>
      </c>
      <c r="Y173" s="342">
        <v>5000000</v>
      </c>
      <c r="Z173" s="342">
        <v>220000</v>
      </c>
      <c r="AA173" s="335">
        <v>750000</v>
      </c>
      <c r="AB173" s="335"/>
      <c r="AC173" s="342"/>
      <c r="AD173" s="335"/>
      <c r="AE173" s="335"/>
      <c r="AF173" s="335"/>
      <c r="AG173" s="349" t="s">
        <v>0</v>
      </c>
      <c r="AH173" s="415">
        <v>400</v>
      </c>
      <c r="AI173" s="349"/>
      <c r="AJ173" s="306" t="s">
        <v>16415</v>
      </c>
      <c r="AK173" s="359" t="s">
        <v>16416</v>
      </c>
      <c r="AL173" s="359" t="s">
        <v>16417</v>
      </c>
      <c r="AM173" s="359" t="s">
        <v>16418</v>
      </c>
      <c r="AN173" s="359" t="s">
        <v>16419</v>
      </c>
      <c r="AO173" s="1628" t="s">
        <v>16420</v>
      </c>
      <c r="AP173" s="359"/>
      <c r="AQ173" s="374" t="s">
        <v>16421</v>
      </c>
      <c r="AR173" s="375" t="s">
        <v>16089</v>
      </c>
      <c r="AS173" s="376" t="s">
        <v>16261</v>
      </c>
      <c r="AU173" s="270"/>
      <c r="AV173" s="270"/>
    </row>
    <row r="174" s="260" customFormat="1" ht="14.1" customHeight="1" spans="1:48">
      <c r="A174" s="1624" t="s">
        <v>988</v>
      </c>
      <c r="B174" s="32" t="s">
        <v>16422</v>
      </c>
      <c r="C174" s="278" t="s">
        <v>16423</v>
      </c>
      <c r="D174" s="279" t="s">
        <v>16424</v>
      </c>
      <c r="E174" s="290"/>
      <c r="F174" s="291"/>
      <c r="G174" s="292" t="s">
        <v>43</v>
      </c>
      <c r="H174" s="293" t="s">
        <v>44</v>
      </c>
      <c r="I174" s="293" t="s">
        <v>16425</v>
      </c>
      <c r="J174" s="306" t="s">
        <v>16426</v>
      </c>
      <c r="K174" s="305" t="s">
        <v>16427</v>
      </c>
      <c r="L174" s="303"/>
      <c r="M174" s="315">
        <v>42982</v>
      </c>
      <c r="N174" s="315">
        <v>43072</v>
      </c>
      <c r="O174" s="315">
        <v>43100</v>
      </c>
      <c r="P174" s="315"/>
      <c r="Q174" s="315"/>
      <c r="R174" s="315"/>
      <c r="S174" s="315"/>
      <c r="T174" s="315"/>
      <c r="U174" s="315"/>
      <c r="V174" s="315"/>
      <c r="W174" s="325">
        <v>-67.6502606481517</v>
      </c>
      <c r="X174" s="326" t="s">
        <v>2569</v>
      </c>
      <c r="Y174" s="342">
        <v>10000000</v>
      </c>
      <c r="Z174" s="342">
        <v>20000</v>
      </c>
      <c r="AA174" s="335">
        <v>750000</v>
      </c>
      <c r="AB174" s="335">
        <v>315000</v>
      </c>
      <c r="AC174" s="342"/>
      <c r="AD174" s="335">
        <v>1650000</v>
      </c>
      <c r="AE174" s="335"/>
      <c r="AF174" s="335"/>
      <c r="AG174" s="349" t="s">
        <v>0</v>
      </c>
      <c r="AH174" s="349">
        <v>750</v>
      </c>
      <c r="AI174" s="349"/>
      <c r="AJ174" s="306" t="s">
        <v>16428</v>
      </c>
      <c r="AK174" s="359" t="s">
        <v>16429</v>
      </c>
      <c r="AL174" s="359" t="s">
        <v>16430</v>
      </c>
      <c r="AM174" s="359" t="s">
        <v>16431</v>
      </c>
      <c r="AN174" s="359" t="s">
        <v>16432</v>
      </c>
      <c r="AO174" s="1628" t="s">
        <v>16433</v>
      </c>
      <c r="AP174" s="1628" t="s">
        <v>16434</v>
      </c>
      <c r="AQ174" s="374" t="s">
        <v>16435</v>
      </c>
      <c r="AR174" s="375" t="s">
        <v>16089</v>
      </c>
      <c r="AS174" s="376" t="s">
        <v>16436</v>
      </c>
      <c r="AU174" s="270"/>
      <c r="AV174" s="270"/>
    </row>
    <row r="175" s="260" customFormat="1" ht="14.1" customHeight="1" spans="1:48">
      <c r="A175" s="1624" t="s">
        <v>1006</v>
      </c>
      <c r="B175" s="32" t="s">
        <v>16437</v>
      </c>
      <c r="C175" s="278" t="s">
        <v>16438</v>
      </c>
      <c r="D175" s="279" t="s">
        <v>16439</v>
      </c>
      <c r="E175" s="290"/>
      <c r="F175" s="291" t="s">
        <v>16440</v>
      </c>
      <c r="G175" s="292" t="s">
        <v>43</v>
      </c>
      <c r="H175" s="293" t="s">
        <v>404</v>
      </c>
      <c r="I175" s="293" t="s">
        <v>16441</v>
      </c>
      <c r="J175" s="306" t="s">
        <v>16442</v>
      </c>
      <c r="K175" s="304" t="s">
        <v>16443</v>
      </c>
      <c r="L175" s="400"/>
      <c r="M175" s="315">
        <v>42996</v>
      </c>
      <c r="N175" s="315">
        <v>43086</v>
      </c>
      <c r="O175" s="315"/>
      <c r="P175" s="315"/>
      <c r="Q175" s="315"/>
      <c r="R175" s="315"/>
      <c r="S175" s="315"/>
      <c r="T175" s="315"/>
      <c r="U175" s="315"/>
      <c r="V175" s="315"/>
      <c r="W175" s="325">
        <v>-53.6502606481517</v>
      </c>
      <c r="X175" s="326" t="s">
        <v>2569</v>
      </c>
      <c r="Y175" s="342">
        <v>7000000</v>
      </c>
      <c r="Z175" s="342">
        <v>15000</v>
      </c>
      <c r="AA175" s="335">
        <v>750000</v>
      </c>
      <c r="AB175" s="335">
        <v>315000</v>
      </c>
      <c r="AC175" s="342"/>
      <c r="AD175" s="335">
        <v>1650000</v>
      </c>
      <c r="AE175" s="335"/>
      <c r="AF175" s="335"/>
      <c r="AG175" s="349" t="s">
        <v>112</v>
      </c>
      <c r="AH175" s="349" t="s">
        <v>16444</v>
      </c>
      <c r="AI175" s="349"/>
      <c r="AJ175" s="306" t="s">
        <v>16445</v>
      </c>
      <c r="AK175" s="359" t="s">
        <v>16446</v>
      </c>
      <c r="AL175" s="359" t="s">
        <v>16447</v>
      </c>
      <c r="AM175" s="359" t="s">
        <v>16448</v>
      </c>
      <c r="AN175" s="359" t="s">
        <v>16449</v>
      </c>
      <c r="AO175" s="1628" t="s">
        <v>16450</v>
      </c>
      <c r="AP175" s="1628" t="s">
        <v>16451</v>
      </c>
      <c r="AQ175" s="374" t="s">
        <v>16452</v>
      </c>
      <c r="AR175" s="375" t="s">
        <v>16089</v>
      </c>
      <c r="AS175" s="376" t="s">
        <v>16453</v>
      </c>
      <c r="AU175" s="270"/>
      <c r="AV175" s="270"/>
    </row>
    <row r="176" s="260" customFormat="1" ht="14.1" customHeight="1" spans="1:48">
      <c r="A176" s="1624" t="s">
        <v>1016</v>
      </c>
      <c r="B176" s="32" t="s">
        <v>16454</v>
      </c>
      <c r="C176" s="278" t="s">
        <v>16455</v>
      </c>
      <c r="D176" s="279" t="s">
        <v>16456</v>
      </c>
      <c r="E176" s="290"/>
      <c r="F176" s="291" t="s">
        <v>1110</v>
      </c>
      <c r="G176" s="292" t="s">
        <v>43</v>
      </c>
      <c r="H176" s="293" t="s">
        <v>44</v>
      </c>
      <c r="I176" s="293" t="s">
        <v>3528</v>
      </c>
      <c r="J176" s="306" t="s">
        <v>16457</v>
      </c>
      <c r="K176" s="305" t="s">
        <v>16252</v>
      </c>
      <c r="L176" s="303"/>
      <c r="M176" s="315">
        <v>43006</v>
      </c>
      <c r="N176" s="315">
        <v>43186</v>
      </c>
      <c r="O176" s="315"/>
      <c r="P176" s="315"/>
      <c r="Q176" s="315"/>
      <c r="R176" s="315"/>
      <c r="S176" s="315"/>
      <c r="T176" s="315"/>
      <c r="U176" s="315"/>
      <c r="V176" s="315"/>
      <c r="W176" s="325">
        <v>46.3497393518483</v>
      </c>
      <c r="X176" s="326" t="s">
        <v>745</v>
      </c>
      <c r="Y176" s="342">
        <v>4000000</v>
      </c>
      <c r="Z176" s="342">
        <v>20000</v>
      </c>
      <c r="AA176" s="335">
        <v>750000</v>
      </c>
      <c r="AB176" s="335">
        <v>315000</v>
      </c>
      <c r="AC176" s="342"/>
      <c r="AD176" s="335">
        <v>1650000</v>
      </c>
      <c r="AE176" s="335"/>
      <c r="AF176" s="335"/>
      <c r="AG176" s="349" t="s">
        <v>112</v>
      </c>
      <c r="AH176" s="349">
        <v>400</v>
      </c>
      <c r="AI176" s="349"/>
      <c r="AJ176" s="306" t="s">
        <v>16458</v>
      </c>
      <c r="AK176" s="359" t="s">
        <v>16459</v>
      </c>
      <c r="AL176" s="359" t="s">
        <v>16460</v>
      </c>
      <c r="AM176" s="359" t="s">
        <v>16461</v>
      </c>
      <c r="AN176" s="359" t="s">
        <v>16462</v>
      </c>
      <c r="AO176" s="359"/>
      <c r="AP176" s="359"/>
      <c r="AQ176" s="374" t="s">
        <v>16463</v>
      </c>
      <c r="AR176" s="375" t="s">
        <v>16089</v>
      </c>
      <c r="AS176" s="376" t="s">
        <v>16261</v>
      </c>
      <c r="AU176" s="270"/>
      <c r="AV176" s="270"/>
    </row>
    <row r="177" s="260" customFormat="1" ht="14.1" customHeight="1" spans="1:48">
      <c r="A177" s="1624" t="s">
        <v>1026</v>
      </c>
      <c r="B177" s="32" t="s">
        <v>16464</v>
      </c>
      <c r="C177" s="278" t="s">
        <v>16465</v>
      </c>
      <c r="D177" s="279" t="s">
        <v>16466</v>
      </c>
      <c r="E177" s="290"/>
      <c r="F177" s="291" t="s">
        <v>15067</v>
      </c>
      <c r="G177" s="292" t="s">
        <v>43</v>
      </c>
      <c r="H177" s="293" t="s">
        <v>404</v>
      </c>
      <c r="I177" s="293" t="s">
        <v>15669</v>
      </c>
      <c r="J177" s="306" t="s">
        <v>15670</v>
      </c>
      <c r="K177" s="305" t="s">
        <v>16467</v>
      </c>
      <c r="L177" s="303"/>
      <c r="M177" s="315">
        <v>42996</v>
      </c>
      <c r="N177" s="315">
        <v>43086</v>
      </c>
      <c r="O177" s="315"/>
      <c r="P177" s="315"/>
      <c r="Q177" s="315"/>
      <c r="R177" s="315"/>
      <c r="S177" s="315"/>
      <c r="T177" s="315"/>
      <c r="U177" s="315"/>
      <c r="V177" s="315"/>
      <c r="W177" s="325">
        <v>-53.6502606481517</v>
      </c>
      <c r="X177" s="326" t="s">
        <v>2569</v>
      </c>
      <c r="Y177" s="342">
        <v>8000000</v>
      </c>
      <c r="Z177" s="342">
        <v>15000</v>
      </c>
      <c r="AA177" s="335">
        <v>750000</v>
      </c>
      <c r="AB177" s="335">
        <v>315000</v>
      </c>
      <c r="AC177" s="342"/>
      <c r="AD177" s="335">
        <v>1650000</v>
      </c>
      <c r="AE177" s="335"/>
      <c r="AF177" s="335"/>
      <c r="AG177" s="349" t="s">
        <v>112</v>
      </c>
      <c r="AH177" s="349" t="s">
        <v>16468</v>
      </c>
      <c r="AI177" s="349"/>
      <c r="AJ177" s="306" t="s">
        <v>16469</v>
      </c>
      <c r="AK177" s="359" t="s">
        <v>16470</v>
      </c>
      <c r="AL177" s="359" t="s">
        <v>16471</v>
      </c>
      <c r="AM177" s="359" t="s">
        <v>16472</v>
      </c>
      <c r="AN177" s="359" t="s">
        <v>16473</v>
      </c>
      <c r="AO177" s="359"/>
      <c r="AP177" s="1628" t="s">
        <v>16474</v>
      </c>
      <c r="AQ177" s="374" t="s">
        <v>16475</v>
      </c>
      <c r="AR177" s="375" t="s">
        <v>16089</v>
      </c>
      <c r="AS177" s="376" t="s">
        <v>16116</v>
      </c>
      <c r="AU177" s="270"/>
      <c r="AV177" s="270"/>
    </row>
    <row r="178" s="260" customFormat="1" ht="14.1" customHeight="1" spans="1:48">
      <c r="A178" s="1624" t="s">
        <v>1044</v>
      </c>
      <c r="B178" s="32" t="s">
        <v>16476</v>
      </c>
      <c r="C178" s="278" t="s">
        <v>16477</v>
      </c>
      <c r="D178" s="279" t="s">
        <v>16478</v>
      </c>
      <c r="E178" s="290"/>
      <c r="F178" s="291" t="s">
        <v>16105</v>
      </c>
      <c r="G178" s="292" t="s">
        <v>43</v>
      </c>
      <c r="H178" s="293" t="s">
        <v>404</v>
      </c>
      <c r="I178" s="293" t="s">
        <v>10370</v>
      </c>
      <c r="J178" s="306" t="s">
        <v>16106</v>
      </c>
      <c r="K178" s="305" t="s">
        <v>16467</v>
      </c>
      <c r="L178" s="303"/>
      <c r="M178" s="315">
        <v>43009</v>
      </c>
      <c r="N178" s="315">
        <v>43100</v>
      </c>
      <c r="O178" s="315"/>
      <c r="P178" s="315"/>
      <c r="Q178" s="315"/>
      <c r="R178" s="315"/>
      <c r="S178" s="315"/>
      <c r="T178" s="315"/>
      <c r="U178" s="315"/>
      <c r="V178" s="315"/>
      <c r="W178" s="325">
        <v>-39.6502606481517</v>
      </c>
      <c r="X178" s="326" t="s">
        <v>2569</v>
      </c>
      <c r="Y178" s="342">
        <v>8500000</v>
      </c>
      <c r="Z178" s="342">
        <v>15000</v>
      </c>
      <c r="AA178" s="335">
        <v>750000</v>
      </c>
      <c r="AB178" s="335">
        <v>315000</v>
      </c>
      <c r="AC178" s="342"/>
      <c r="AD178" s="335">
        <v>1650000</v>
      </c>
      <c r="AE178" s="335"/>
      <c r="AF178" s="335"/>
      <c r="AG178" s="349" t="s">
        <v>112</v>
      </c>
      <c r="AH178" s="349" t="s">
        <v>16468</v>
      </c>
      <c r="AI178" s="349"/>
      <c r="AJ178" s="306" t="s">
        <v>16479</v>
      </c>
      <c r="AK178" s="359" t="s">
        <v>16480</v>
      </c>
      <c r="AL178" s="359" t="s">
        <v>16481</v>
      </c>
      <c r="AM178" s="359" t="s">
        <v>16482</v>
      </c>
      <c r="AN178" s="359" t="s">
        <v>16483</v>
      </c>
      <c r="AO178" s="359"/>
      <c r="AP178" s="1628" t="s">
        <v>16484</v>
      </c>
      <c r="AQ178" s="374" t="s">
        <v>16485</v>
      </c>
      <c r="AR178" s="375" t="s">
        <v>16089</v>
      </c>
      <c r="AS178" s="376" t="s">
        <v>16116</v>
      </c>
      <c r="AU178" s="270"/>
      <c r="AV178" s="270"/>
    </row>
    <row r="179" s="260" customFormat="1" ht="14.1" customHeight="1" spans="1:48">
      <c r="A179" s="1624" t="s">
        <v>1053</v>
      </c>
      <c r="B179" s="32" t="s">
        <v>16486</v>
      </c>
      <c r="C179" s="278" t="s">
        <v>16487</v>
      </c>
      <c r="D179" s="279" t="s">
        <v>16488</v>
      </c>
      <c r="E179" s="290"/>
      <c r="F179" s="291" t="s">
        <v>16489</v>
      </c>
      <c r="G179" s="292" t="s">
        <v>43</v>
      </c>
      <c r="H179" s="293" t="s">
        <v>44</v>
      </c>
      <c r="I179" s="293" t="s">
        <v>1549</v>
      </c>
      <c r="J179" s="306" t="s">
        <v>16490</v>
      </c>
      <c r="K179" s="305" t="s">
        <v>16252</v>
      </c>
      <c r="L179" s="303"/>
      <c r="M179" s="315">
        <v>42989</v>
      </c>
      <c r="N179" s="315">
        <v>43169</v>
      </c>
      <c r="O179" s="315"/>
      <c r="P179" s="315"/>
      <c r="Q179" s="315"/>
      <c r="R179" s="315"/>
      <c r="S179" s="315"/>
      <c r="T179" s="315"/>
      <c r="U179" s="315"/>
      <c r="V179" s="315"/>
      <c r="W179" s="325">
        <v>29.3497393518483</v>
      </c>
      <c r="X179" s="326" t="s">
        <v>2569</v>
      </c>
      <c r="Y179" s="342">
        <v>6000000</v>
      </c>
      <c r="Z179" s="342">
        <v>13500</v>
      </c>
      <c r="AA179" s="335">
        <v>750000</v>
      </c>
      <c r="AB179" s="335">
        <v>315000</v>
      </c>
      <c r="AC179" s="342"/>
      <c r="AD179" s="335">
        <v>1650000</v>
      </c>
      <c r="AE179" s="335"/>
      <c r="AF179" s="335"/>
      <c r="AG179" s="349" t="s">
        <v>112</v>
      </c>
      <c r="AH179" s="349">
        <v>400</v>
      </c>
      <c r="AI179" s="349"/>
      <c r="AJ179" s="306" t="s">
        <v>16491</v>
      </c>
      <c r="AK179" s="359" t="s">
        <v>16492</v>
      </c>
      <c r="AL179" s="359" t="s">
        <v>16493</v>
      </c>
      <c r="AM179" s="359"/>
      <c r="AN179" s="359" t="s">
        <v>16494</v>
      </c>
      <c r="AO179" s="1628" t="s">
        <v>16495</v>
      </c>
      <c r="AP179" s="359"/>
      <c r="AQ179" s="374" t="s">
        <v>16496</v>
      </c>
      <c r="AR179" s="375" t="s">
        <v>16089</v>
      </c>
      <c r="AS179" s="376" t="s">
        <v>16261</v>
      </c>
      <c r="AU179" s="270"/>
      <c r="AV179" s="270"/>
    </row>
    <row r="180" s="260" customFormat="1" ht="14.1" customHeight="1" spans="1:48">
      <c r="A180" s="1624" t="s">
        <v>1064</v>
      </c>
      <c r="B180" s="32" t="s">
        <v>16497</v>
      </c>
      <c r="C180" s="278" t="s">
        <v>16498</v>
      </c>
      <c r="D180" s="279" t="s">
        <v>16499</v>
      </c>
      <c r="E180" s="290"/>
      <c r="F180" s="291" t="s">
        <v>16500</v>
      </c>
      <c r="G180" s="292" t="s">
        <v>43</v>
      </c>
      <c r="H180" s="293" t="s">
        <v>44</v>
      </c>
      <c r="I180" s="293" t="s">
        <v>16501</v>
      </c>
      <c r="J180" s="306" t="s">
        <v>16502</v>
      </c>
      <c r="K180" s="305" t="s">
        <v>16503</v>
      </c>
      <c r="L180" s="303"/>
      <c r="M180" s="315">
        <v>42982</v>
      </c>
      <c r="N180" s="315">
        <v>43072</v>
      </c>
      <c r="O180" s="315">
        <v>43202</v>
      </c>
      <c r="P180" s="315">
        <v>43437</v>
      </c>
      <c r="Q180" s="315"/>
      <c r="R180" s="315"/>
      <c r="S180" s="315"/>
      <c r="T180" s="315"/>
      <c r="U180" s="315"/>
      <c r="V180" s="315"/>
      <c r="W180" s="325">
        <v>62.3497393518483</v>
      </c>
      <c r="X180" s="326" t="s">
        <v>745</v>
      </c>
      <c r="Y180" s="342">
        <v>4500000</v>
      </c>
      <c r="Z180" s="342">
        <v>15000</v>
      </c>
      <c r="AA180" s="335">
        <v>750000</v>
      </c>
      <c r="AB180" s="335">
        <v>315000</v>
      </c>
      <c r="AC180" s="342"/>
      <c r="AD180" s="335">
        <v>1650000</v>
      </c>
      <c r="AE180" s="335"/>
      <c r="AF180" s="335"/>
      <c r="AG180" s="349" t="s">
        <v>112</v>
      </c>
      <c r="AH180" s="349">
        <v>400</v>
      </c>
      <c r="AI180" s="349"/>
      <c r="AJ180" s="306" t="s">
        <v>16504</v>
      </c>
      <c r="AK180" s="359" t="s">
        <v>16505</v>
      </c>
      <c r="AL180" s="359" t="s">
        <v>16506</v>
      </c>
      <c r="AM180" s="359" t="s">
        <v>16507</v>
      </c>
      <c r="AN180" s="359" t="s">
        <v>16508</v>
      </c>
      <c r="AO180" s="359"/>
      <c r="AP180" s="1628" t="s">
        <v>16509</v>
      </c>
      <c r="AQ180" s="374" t="s">
        <v>16510</v>
      </c>
      <c r="AR180" s="375" t="s">
        <v>16089</v>
      </c>
      <c r="AS180" s="376" t="s">
        <v>16511</v>
      </c>
      <c r="AU180" s="270"/>
      <c r="AV180" s="270"/>
    </row>
    <row r="181" s="260" customFormat="1" ht="14.1" customHeight="1" spans="1:48">
      <c r="A181" s="1624" t="s">
        <v>5959</v>
      </c>
      <c r="B181" s="32" t="s">
        <v>16512</v>
      </c>
      <c r="C181" s="278" t="s">
        <v>16513</v>
      </c>
      <c r="D181" s="279" t="s">
        <v>16514</v>
      </c>
      <c r="E181" s="290"/>
      <c r="F181" s="291" t="s">
        <v>16515</v>
      </c>
      <c r="G181" s="292" t="s">
        <v>43</v>
      </c>
      <c r="H181" s="293" t="s">
        <v>44</v>
      </c>
      <c r="I181" s="293" t="s">
        <v>3089</v>
      </c>
      <c r="J181" s="306" t="s">
        <v>15722</v>
      </c>
      <c r="K181" s="304" t="s">
        <v>16443</v>
      </c>
      <c r="L181" s="400"/>
      <c r="M181" s="315">
        <v>43009</v>
      </c>
      <c r="N181" s="315">
        <v>43100</v>
      </c>
      <c r="O181" s="315"/>
      <c r="P181" s="315"/>
      <c r="Q181" s="315"/>
      <c r="R181" s="315"/>
      <c r="S181" s="315"/>
      <c r="T181" s="315"/>
      <c r="U181" s="315"/>
      <c r="V181" s="315"/>
      <c r="W181" s="325">
        <v>-39.6502606481517</v>
      </c>
      <c r="X181" s="326" t="s">
        <v>2569</v>
      </c>
      <c r="Y181" s="342">
        <v>13000000</v>
      </c>
      <c r="Z181" s="342">
        <v>15000</v>
      </c>
      <c r="AA181" s="335">
        <v>750000</v>
      </c>
      <c r="AB181" s="335">
        <v>315000</v>
      </c>
      <c r="AC181" s="342"/>
      <c r="AD181" s="335">
        <v>1650000</v>
      </c>
      <c r="AE181" s="335"/>
      <c r="AF181" s="335"/>
      <c r="AG181" s="349" t="s">
        <v>112</v>
      </c>
      <c r="AH181" s="349">
        <v>750</v>
      </c>
      <c r="AI181" s="349"/>
      <c r="AJ181" s="306" t="s">
        <v>16516</v>
      </c>
      <c r="AK181" s="359" t="s">
        <v>16517</v>
      </c>
      <c r="AL181" s="359" t="s">
        <v>16518</v>
      </c>
      <c r="AM181" s="359" t="s">
        <v>16519</v>
      </c>
      <c r="AN181" s="359" t="s">
        <v>16520</v>
      </c>
      <c r="AO181" s="359"/>
      <c r="AP181" s="359"/>
      <c r="AQ181" s="374" t="s">
        <v>16521</v>
      </c>
      <c r="AR181" s="375" t="s">
        <v>16089</v>
      </c>
      <c r="AS181" s="376" t="s">
        <v>16453</v>
      </c>
      <c r="AU181" s="270"/>
      <c r="AV181" s="270"/>
    </row>
    <row r="182" s="260" customFormat="1" ht="14.1" customHeight="1" spans="1:48">
      <c r="A182" s="1624" t="s">
        <v>1205</v>
      </c>
      <c r="B182" s="32" t="s">
        <v>16522</v>
      </c>
      <c r="C182" s="278" t="s">
        <v>16523</v>
      </c>
      <c r="D182" s="279" t="s">
        <v>16524</v>
      </c>
      <c r="E182" s="290"/>
      <c r="F182" s="291" t="s">
        <v>16525</v>
      </c>
      <c r="G182" s="292" t="s">
        <v>43</v>
      </c>
      <c r="H182" s="293" t="s">
        <v>254</v>
      </c>
      <c r="I182" s="293" t="s">
        <v>16526</v>
      </c>
      <c r="J182" s="306" t="s">
        <v>16527</v>
      </c>
      <c r="K182" s="305" t="s">
        <v>16134</v>
      </c>
      <c r="L182" s="303"/>
      <c r="M182" s="315">
        <v>43024</v>
      </c>
      <c r="N182" s="315">
        <v>43115</v>
      </c>
      <c r="O182" s="315"/>
      <c r="P182" s="315"/>
      <c r="Q182" s="315"/>
      <c r="R182" s="315"/>
      <c r="S182" s="315"/>
      <c r="T182" s="315"/>
      <c r="U182" s="315"/>
      <c r="V182" s="315"/>
      <c r="W182" s="325">
        <v>-24.6502606481517</v>
      </c>
      <c r="X182" s="326" t="s">
        <v>2569</v>
      </c>
      <c r="Y182" s="342">
        <v>8000000</v>
      </c>
      <c r="Z182" s="342">
        <v>20000</v>
      </c>
      <c r="AA182" s="335">
        <v>750000</v>
      </c>
      <c r="AB182" s="335">
        <v>315000</v>
      </c>
      <c r="AC182" s="342"/>
      <c r="AD182" s="335">
        <v>1650000</v>
      </c>
      <c r="AE182" s="335"/>
      <c r="AF182" s="335"/>
      <c r="AG182" s="349" t="s">
        <v>112</v>
      </c>
      <c r="AH182" s="349">
        <v>750</v>
      </c>
      <c r="AI182" s="349"/>
      <c r="AJ182" s="306" t="s">
        <v>16528</v>
      </c>
      <c r="AK182" s="359" t="s">
        <v>16529</v>
      </c>
      <c r="AL182" s="359" t="s">
        <v>16530</v>
      </c>
      <c r="AM182" s="359" t="s">
        <v>16531</v>
      </c>
      <c r="AN182" s="359" t="s">
        <v>16532</v>
      </c>
      <c r="AO182" s="359"/>
      <c r="AP182" s="1628" t="s">
        <v>16533</v>
      </c>
      <c r="AQ182" s="374" t="s">
        <v>16534</v>
      </c>
      <c r="AR182" s="375" t="s">
        <v>16089</v>
      </c>
      <c r="AS182" s="376" t="s">
        <v>16142</v>
      </c>
      <c r="AU182" s="270"/>
      <c r="AV182" s="270"/>
    </row>
    <row r="183" s="260" customFormat="1" ht="14.1" customHeight="1" spans="1:48">
      <c r="A183" s="1624" t="s">
        <v>1257</v>
      </c>
      <c r="B183" s="32" t="s">
        <v>16535</v>
      </c>
      <c r="C183" s="278" t="s">
        <v>16536</v>
      </c>
      <c r="D183" s="279" t="s">
        <v>16537</v>
      </c>
      <c r="E183" s="290"/>
      <c r="F183" s="291"/>
      <c r="G183" s="292" t="s">
        <v>43</v>
      </c>
      <c r="H183" s="293" t="s">
        <v>404</v>
      </c>
      <c r="I183" s="293" t="s">
        <v>3089</v>
      </c>
      <c r="J183" s="306" t="s">
        <v>16538</v>
      </c>
      <c r="K183" s="304" t="s">
        <v>16356</v>
      </c>
      <c r="L183" s="400"/>
      <c r="M183" s="315">
        <v>43052</v>
      </c>
      <c r="N183" s="315">
        <v>43202</v>
      </c>
      <c r="O183" s="315"/>
      <c r="P183" s="315"/>
      <c r="Q183" s="315"/>
      <c r="R183" s="315"/>
      <c r="S183" s="315"/>
      <c r="T183" s="315"/>
      <c r="U183" s="315"/>
      <c r="V183" s="315"/>
      <c r="W183" s="325">
        <v>62.3497393518483</v>
      </c>
      <c r="X183" s="326" t="s">
        <v>745</v>
      </c>
      <c r="Y183" s="342">
        <v>5200000</v>
      </c>
      <c r="Z183" s="342">
        <v>15000</v>
      </c>
      <c r="AA183" s="335">
        <v>750000</v>
      </c>
      <c r="AB183" s="335">
        <v>315000</v>
      </c>
      <c r="AC183" s="342"/>
      <c r="AD183" s="335">
        <v>1650000</v>
      </c>
      <c r="AE183" s="335"/>
      <c r="AF183" s="335"/>
      <c r="AG183" s="349" t="s">
        <v>112</v>
      </c>
      <c r="AH183" s="349">
        <v>400</v>
      </c>
      <c r="AI183" s="349"/>
      <c r="AJ183" s="306" t="s">
        <v>16539</v>
      </c>
      <c r="AK183" s="359" t="s">
        <v>16540</v>
      </c>
      <c r="AL183" s="359" t="s">
        <v>16541</v>
      </c>
      <c r="AM183" s="359" t="s">
        <v>16542</v>
      </c>
      <c r="AN183" s="359" t="s">
        <v>16543</v>
      </c>
      <c r="AO183" s="1628" t="s">
        <v>16544</v>
      </c>
      <c r="AP183" s="1628" t="s">
        <v>16545</v>
      </c>
      <c r="AQ183" s="374" t="s">
        <v>16546</v>
      </c>
      <c r="AR183" s="375" t="s">
        <v>16089</v>
      </c>
      <c r="AS183" s="376" t="s">
        <v>16261</v>
      </c>
      <c r="AU183" s="270"/>
      <c r="AV183" s="270"/>
    </row>
    <row r="184" s="260" customFormat="1" ht="14.1" customHeight="1" spans="1:48">
      <c r="A184" s="1624" t="s">
        <v>3347</v>
      </c>
      <c r="B184" s="32" t="s">
        <v>16547</v>
      </c>
      <c r="C184" s="278" t="s">
        <v>16548</v>
      </c>
      <c r="D184" s="279" t="s">
        <v>16549</v>
      </c>
      <c r="E184" s="290"/>
      <c r="F184" s="291"/>
      <c r="G184" s="292" t="s">
        <v>43</v>
      </c>
      <c r="H184" s="293" t="s">
        <v>44</v>
      </c>
      <c r="I184" s="293" t="s">
        <v>3528</v>
      </c>
      <c r="J184" s="306" t="s">
        <v>16013</v>
      </c>
      <c r="K184" s="304" t="s">
        <v>16356</v>
      </c>
      <c r="L184" s="400"/>
      <c r="M184" s="315">
        <v>43054</v>
      </c>
      <c r="N184" s="315">
        <v>43202</v>
      </c>
      <c r="O184" s="315"/>
      <c r="P184" s="315"/>
      <c r="Q184" s="315"/>
      <c r="R184" s="315"/>
      <c r="S184" s="315"/>
      <c r="T184" s="315"/>
      <c r="U184" s="315"/>
      <c r="V184" s="315"/>
      <c r="W184" s="325">
        <v>62.3497393518483</v>
      </c>
      <c r="X184" s="326" t="s">
        <v>745</v>
      </c>
      <c r="Y184" s="342">
        <v>4500000</v>
      </c>
      <c r="Z184" s="342">
        <v>20000</v>
      </c>
      <c r="AA184" s="335">
        <v>750000</v>
      </c>
      <c r="AB184" s="335">
        <v>315000</v>
      </c>
      <c r="AC184" s="342"/>
      <c r="AD184" s="335">
        <v>1650000</v>
      </c>
      <c r="AE184" s="335"/>
      <c r="AF184" s="335"/>
      <c r="AG184" s="349" t="s">
        <v>112</v>
      </c>
      <c r="AH184" s="349" t="s">
        <v>15012</v>
      </c>
      <c r="AI184" s="349"/>
      <c r="AJ184" s="306" t="s">
        <v>16550</v>
      </c>
      <c r="AK184" s="359" t="s">
        <v>16551</v>
      </c>
      <c r="AL184" s="359" t="s">
        <v>16552</v>
      </c>
      <c r="AM184" s="359" t="s">
        <v>16553</v>
      </c>
      <c r="AN184" s="359" t="s">
        <v>16554</v>
      </c>
      <c r="AO184" s="359"/>
      <c r="AP184" s="1628" t="s">
        <v>16555</v>
      </c>
      <c r="AQ184" s="374" t="s">
        <v>16556</v>
      </c>
      <c r="AR184" s="375" t="s">
        <v>16089</v>
      </c>
      <c r="AS184" s="376" t="s">
        <v>16261</v>
      </c>
      <c r="AU184" s="270"/>
      <c r="AV184" s="270"/>
    </row>
    <row r="185" s="260" customFormat="1" ht="14.1" customHeight="1" spans="1:48">
      <c r="A185" s="1624" t="s">
        <v>1265</v>
      </c>
      <c r="B185" s="32" t="s">
        <v>16557</v>
      </c>
      <c r="C185" s="278" t="s">
        <v>16558</v>
      </c>
      <c r="D185" s="279" t="s">
        <v>16559</v>
      </c>
      <c r="E185" s="290"/>
      <c r="F185" s="291"/>
      <c r="G185" s="292" t="s">
        <v>43</v>
      </c>
      <c r="H185" s="293" t="s">
        <v>254</v>
      </c>
      <c r="I185" s="293" t="s">
        <v>16560</v>
      </c>
      <c r="J185" s="306" t="s">
        <v>16561</v>
      </c>
      <c r="K185" s="304" t="s">
        <v>16562</v>
      </c>
      <c r="L185" s="400"/>
      <c r="M185" s="315">
        <v>43047</v>
      </c>
      <c r="N185" s="315">
        <v>43138</v>
      </c>
      <c r="O185" s="315"/>
      <c r="P185" s="315"/>
      <c r="Q185" s="315"/>
      <c r="R185" s="315"/>
      <c r="S185" s="315"/>
      <c r="T185" s="315"/>
      <c r="U185" s="315"/>
      <c r="V185" s="315"/>
      <c r="W185" s="325">
        <v>-1.65026064815174</v>
      </c>
      <c r="X185" s="326" t="s">
        <v>2569</v>
      </c>
      <c r="Y185" s="342">
        <v>6500000</v>
      </c>
      <c r="Z185" s="342">
        <v>15000</v>
      </c>
      <c r="AA185" s="335">
        <v>750000</v>
      </c>
      <c r="AB185" s="335">
        <v>315000</v>
      </c>
      <c r="AC185" s="342"/>
      <c r="AD185" s="335">
        <v>1650000</v>
      </c>
      <c r="AE185" s="335"/>
      <c r="AF185" s="335"/>
      <c r="AG185" s="349" t="s">
        <v>112</v>
      </c>
      <c r="AH185" s="349">
        <v>400</v>
      </c>
      <c r="AI185" s="349"/>
      <c r="AJ185" s="306" t="s">
        <v>16563</v>
      </c>
      <c r="AK185" s="359" t="s">
        <v>16564</v>
      </c>
      <c r="AL185" s="359" t="s">
        <v>16565</v>
      </c>
      <c r="AM185" s="359" t="s">
        <v>16566</v>
      </c>
      <c r="AN185" s="359" t="s">
        <v>16567</v>
      </c>
      <c r="AO185" s="359"/>
      <c r="AP185" s="1628" t="s">
        <v>16568</v>
      </c>
      <c r="AQ185" s="374" t="s">
        <v>16569</v>
      </c>
      <c r="AR185" s="375" t="s">
        <v>16089</v>
      </c>
      <c r="AS185" s="376" t="s">
        <v>16570</v>
      </c>
      <c r="AU185" s="270"/>
      <c r="AV185" s="270"/>
    </row>
    <row r="186" s="260" customFormat="1" ht="14.1" customHeight="1" spans="1:48">
      <c r="A186" s="1624" t="s">
        <v>1277</v>
      </c>
      <c r="B186" s="32" t="s">
        <v>16571</v>
      </c>
      <c r="C186" s="278" t="s">
        <v>16572</v>
      </c>
      <c r="D186" s="279" t="s">
        <v>16573</v>
      </c>
      <c r="E186" s="290"/>
      <c r="F186" s="291"/>
      <c r="G186" s="292" t="s">
        <v>43</v>
      </c>
      <c r="H186" s="293" t="s">
        <v>60</v>
      </c>
      <c r="I186" s="293" t="s">
        <v>16574</v>
      </c>
      <c r="J186" s="306" t="s">
        <v>16575</v>
      </c>
      <c r="K186" s="304" t="s">
        <v>16576</v>
      </c>
      <c r="L186" s="400"/>
      <c r="M186" s="315">
        <v>43060</v>
      </c>
      <c r="N186" s="315">
        <v>43151</v>
      </c>
      <c r="O186" s="315"/>
      <c r="P186" s="315"/>
      <c r="Q186" s="315"/>
      <c r="R186" s="315"/>
      <c r="S186" s="315"/>
      <c r="T186" s="315"/>
      <c r="U186" s="315"/>
      <c r="V186" s="315"/>
      <c r="W186" s="325">
        <v>11.3497393518483</v>
      </c>
      <c r="X186" s="326" t="s">
        <v>2569</v>
      </c>
      <c r="Y186" s="342">
        <v>6500000</v>
      </c>
      <c r="Z186" s="342">
        <v>15000</v>
      </c>
      <c r="AA186" s="335">
        <v>750000</v>
      </c>
      <c r="AB186" s="335">
        <v>315000</v>
      </c>
      <c r="AC186" s="342"/>
      <c r="AD186" s="335">
        <v>1650000</v>
      </c>
      <c r="AE186" s="335"/>
      <c r="AF186" s="335"/>
      <c r="AG186" s="349" t="s">
        <v>112</v>
      </c>
      <c r="AH186" s="349" t="s">
        <v>15012</v>
      </c>
      <c r="AI186" s="349"/>
      <c r="AJ186" s="306" t="s">
        <v>16577</v>
      </c>
      <c r="AK186" s="359" t="s">
        <v>16578</v>
      </c>
      <c r="AL186" s="359" t="s">
        <v>16579</v>
      </c>
      <c r="AM186" s="359"/>
      <c r="AN186" s="359" t="s">
        <v>16580</v>
      </c>
      <c r="AO186" s="359"/>
      <c r="AP186" s="359"/>
      <c r="AQ186" s="374" t="s">
        <v>16581</v>
      </c>
      <c r="AR186" s="375" t="s">
        <v>16089</v>
      </c>
      <c r="AS186" s="376" t="s">
        <v>16237</v>
      </c>
      <c r="AU186" s="270"/>
      <c r="AV186" s="270"/>
    </row>
    <row r="187" s="260" customFormat="1" ht="14.1" customHeight="1" spans="1:48">
      <c r="A187" s="1626" t="s">
        <v>1296</v>
      </c>
      <c r="B187" s="32" t="s">
        <v>16582</v>
      </c>
      <c r="C187" s="278" t="s">
        <v>16583</v>
      </c>
      <c r="D187" s="279" t="s">
        <v>16584</v>
      </c>
      <c r="E187" s="290"/>
      <c r="F187" s="291"/>
      <c r="G187" s="292" t="s">
        <v>43</v>
      </c>
      <c r="H187" s="293" t="s">
        <v>254</v>
      </c>
      <c r="I187" s="293" t="s">
        <v>6633</v>
      </c>
      <c r="J187" s="306" t="s">
        <v>16585</v>
      </c>
      <c r="K187" s="304" t="s">
        <v>16586</v>
      </c>
      <c r="L187" s="400"/>
      <c r="M187" s="315">
        <v>43052</v>
      </c>
      <c r="N187" s="315">
        <v>43202</v>
      </c>
      <c r="O187" s="315"/>
      <c r="P187" s="315"/>
      <c r="Q187" s="315"/>
      <c r="R187" s="315"/>
      <c r="S187" s="315"/>
      <c r="T187" s="315"/>
      <c r="U187" s="315"/>
      <c r="V187" s="315"/>
      <c r="W187" s="325">
        <v>62.3497393518483</v>
      </c>
      <c r="X187" s="326" t="s">
        <v>745</v>
      </c>
      <c r="Y187" s="342">
        <v>3750000</v>
      </c>
      <c r="Z187" s="342">
        <v>15000</v>
      </c>
      <c r="AA187" s="335">
        <v>750000</v>
      </c>
      <c r="AB187" s="335">
        <v>315000</v>
      </c>
      <c r="AC187" s="342"/>
      <c r="AD187" s="335">
        <v>1650000</v>
      </c>
      <c r="AE187" s="335"/>
      <c r="AF187" s="335"/>
      <c r="AG187" s="349" t="s">
        <v>112</v>
      </c>
      <c r="AH187" s="349">
        <v>400</v>
      </c>
      <c r="AI187" s="349"/>
      <c r="AJ187" s="306" t="s">
        <v>16587</v>
      </c>
      <c r="AK187" s="359" t="s">
        <v>16588</v>
      </c>
      <c r="AL187" s="359" t="s">
        <v>16589</v>
      </c>
      <c r="AM187" s="359" t="s">
        <v>16590</v>
      </c>
      <c r="AN187" s="359" t="s">
        <v>16591</v>
      </c>
      <c r="AO187" s="359"/>
      <c r="AP187" s="1628" t="s">
        <v>16592</v>
      </c>
      <c r="AQ187" s="374" t="s">
        <v>16593</v>
      </c>
      <c r="AR187" s="416" t="s">
        <v>16089</v>
      </c>
      <c r="AS187" s="380" t="s">
        <v>16171</v>
      </c>
      <c r="AU187" s="270"/>
      <c r="AV187" s="270"/>
    </row>
    <row r="188" s="260" customFormat="1" ht="14.1" customHeight="1" spans="1:48">
      <c r="A188" s="1624" t="s">
        <v>1307</v>
      </c>
      <c r="B188" s="32" t="s">
        <v>16594</v>
      </c>
      <c r="C188" s="278" t="s">
        <v>16595</v>
      </c>
      <c r="D188" s="279" t="s">
        <v>16596</v>
      </c>
      <c r="E188" s="290"/>
      <c r="F188" s="291"/>
      <c r="G188" s="292" t="s">
        <v>43</v>
      </c>
      <c r="H188" s="293" t="s">
        <v>404</v>
      </c>
      <c r="I188" s="293" t="s">
        <v>16597</v>
      </c>
      <c r="J188" s="306" t="s">
        <v>16598</v>
      </c>
      <c r="K188" s="304" t="s">
        <v>16599</v>
      </c>
      <c r="L188" s="400"/>
      <c r="M188" s="315">
        <v>43059</v>
      </c>
      <c r="N188" s="315">
        <v>43150</v>
      </c>
      <c r="O188" s="315"/>
      <c r="P188" s="315"/>
      <c r="Q188" s="315"/>
      <c r="R188" s="315"/>
      <c r="S188" s="315"/>
      <c r="T188" s="315"/>
      <c r="U188" s="315"/>
      <c r="V188" s="315"/>
      <c r="W188" s="325">
        <v>10.3497393518483</v>
      </c>
      <c r="X188" s="326" t="s">
        <v>2569</v>
      </c>
      <c r="Y188" s="342">
        <v>7500000</v>
      </c>
      <c r="Z188" s="342">
        <v>20000</v>
      </c>
      <c r="AA188" s="335">
        <v>750000</v>
      </c>
      <c r="AB188" s="335">
        <v>315000</v>
      </c>
      <c r="AC188" s="342"/>
      <c r="AD188" s="335">
        <v>1650000</v>
      </c>
      <c r="AE188" s="335"/>
      <c r="AF188" s="335"/>
      <c r="AG188" s="349" t="s">
        <v>112</v>
      </c>
      <c r="AH188" s="349">
        <v>750</v>
      </c>
      <c r="AI188" s="349"/>
      <c r="AJ188" s="306" t="s">
        <v>16600</v>
      </c>
      <c r="AK188" s="359" t="s">
        <v>16601</v>
      </c>
      <c r="AL188" s="359" t="s">
        <v>16602</v>
      </c>
      <c r="AM188" s="359" t="s">
        <v>16603</v>
      </c>
      <c r="AN188" s="359" t="s">
        <v>16604</v>
      </c>
      <c r="AO188" s="1628" t="s">
        <v>16605</v>
      </c>
      <c r="AP188" s="359"/>
      <c r="AQ188" s="374" t="s">
        <v>16606</v>
      </c>
      <c r="AR188" s="375" t="s">
        <v>16089</v>
      </c>
      <c r="AS188" s="376" t="s">
        <v>16142</v>
      </c>
      <c r="AU188" s="270"/>
      <c r="AV188" s="270"/>
    </row>
    <row r="189" s="260" customFormat="1" ht="14.1" customHeight="1" spans="1:48">
      <c r="A189" s="1624" t="s">
        <v>1318</v>
      </c>
      <c r="B189" s="32" t="s">
        <v>16607</v>
      </c>
      <c r="C189" s="278" t="s">
        <v>16608</v>
      </c>
      <c r="D189" s="279" t="s">
        <v>16609</v>
      </c>
      <c r="E189" s="290"/>
      <c r="F189" s="291"/>
      <c r="G189" s="292" t="s">
        <v>43</v>
      </c>
      <c r="H189" s="293" t="s">
        <v>60</v>
      </c>
      <c r="I189" s="293" t="s">
        <v>10370</v>
      </c>
      <c r="J189" s="306" t="s">
        <v>16610</v>
      </c>
      <c r="K189" s="301" t="s">
        <v>16014</v>
      </c>
      <c r="L189" s="303"/>
      <c r="M189" s="315">
        <v>43059</v>
      </c>
      <c r="N189" s="315">
        <v>43150</v>
      </c>
      <c r="O189" s="315"/>
      <c r="P189" s="315"/>
      <c r="Q189" s="315"/>
      <c r="R189" s="315"/>
      <c r="S189" s="315"/>
      <c r="T189" s="315"/>
      <c r="U189" s="315"/>
      <c r="V189" s="315"/>
      <c r="W189" s="325">
        <v>10.3497393518483</v>
      </c>
      <c r="X189" s="326" t="s">
        <v>2569</v>
      </c>
      <c r="Y189" s="342">
        <v>3000000</v>
      </c>
      <c r="Z189" s="342">
        <v>13500</v>
      </c>
      <c r="AA189" s="335">
        <v>750000</v>
      </c>
      <c r="AB189" s="335">
        <v>315000</v>
      </c>
      <c r="AC189" s="342"/>
      <c r="AD189" s="335">
        <v>1650000</v>
      </c>
      <c r="AE189" s="335"/>
      <c r="AF189" s="335"/>
      <c r="AG189" s="349" t="s">
        <v>112</v>
      </c>
      <c r="AH189" s="349">
        <v>400</v>
      </c>
      <c r="AI189" s="349"/>
      <c r="AJ189" s="306" t="s">
        <v>16611</v>
      </c>
      <c r="AK189" s="359" t="s">
        <v>16612</v>
      </c>
      <c r="AL189" s="359" t="s">
        <v>16613</v>
      </c>
      <c r="AM189" s="359" t="s">
        <v>16614</v>
      </c>
      <c r="AN189" s="359" t="s">
        <v>16615</v>
      </c>
      <c r="AO189" s="1628" t="s">
        <v>16616</v>
      </c>
      <c r="AP189" s="1628" t="s">
        <v>16617</v>
      </c>
      <c r="AQ189" s="374" t="s">
        <v>16618</v>
      </c>
      <c r="AR189" s="369" t="s">
        <v>16619</v>
      </c>
      <c r="AS189" s="376" t="s">
        <v>16261</v>
      </c>
      <c r="AU189" s="270"/>
      <c r="AV189" s="270"/>
    </row>
    <row r="190" s="260" customFormat="1" ht="14.1" customHeight="1" spans="1:48">
      <c r="A190" s="1624" t="s">
        <v>1339</v>
      </c>
      <c r="B190" s="1548" t="s">
        <v>16620</v>
      </c>
      <c r="C190" s="278" t="s">
        <v>16621</v>
      </c>
      <c r="D190" s="279" t="s">
        <v>16622</v>
      </c>
      <c r="E190" s="290"/>
      <c r="F190" s="291"/>
      <c r="G190" s="292" t="s">
        <v>43</v>
      </c>
      <c r="H190" s="293" t="s">
        <v>44</v>
      </c>
      <c r="I190" s="293" t="s">
        <v>10370</v>
      </c>
      <c r="J190" s="306" t="s">
        <v>16610</v>
      </c>
      <c r="K190" s="288" t="s">
        <v>16623</v>
      </c>
      <c r="L190" s="303"/>
      <c r="M190" s="315">
        <v>43060</v>
      </c>
      <c r="N190" s="315">
        <v>43151</v>
      </c>
      <c r="O190" s="315"/>
      <c r="P190" s="315"/>
      <c r="Q190" s="315"/>
      <c r="R190" s="315"/>
      <c r="S190" s="315"/>
      <c r="T190" s="315"/>
      <c r="U190" s="315"/>
      <c r="V190" s="315"/>
      <c r="W190" s="325">
        <v>11.3497393518483</v>
      </c>
      <c r="X190" s="326" t="s">
        <v>2569</v>
      </c>
      <c r="Y190" s="342">
        <v>3000000</v>
      </c>
      <c r="Z190" s="342">
        <v>13500</v>
      </c>
      <c r="AA190" s="335">
        <v>750000</v>
      </c>
      <c r="AB190" s="335">
        <v>315000</v>
      </c>
      <c r="AC190" s="342"/>
      <c r="AD190" s="335">
        <v>1650000</v>
      </c>
      <c r="AE190" s="335"/>
      <c r="AF190" s="335"/>
      <c r="AG190" s="349" t="s">
        <v>112</v>
      </c>
      <c r="AH190" s="349">
        <v>400</v>
      </c>
      <c r="AI190" s="349"/>
      <c r="AJ190" s="306" t="s">
        <v>16624</v>
      </c>
      <c r="AK190" s="359" t="s">
        <v>16625</v>
      </c>
      <c r="AL190" s="359" t="s">
        <v>16626</v>
      </c>
      <c r="AM190" s="359"/>
      <c r="AN190" s="359" t="s">
        <v>16627</v>
      </c>
      <c r="AO190" s="359"/>
      <c r="AP190" s="1628" t="s">
        <v>16628</v>
      </c>
      <c r="AQ190" s="374" t="s">
        <v>16629</v>
      </c>
      <c r="AR190" s="375" t="s">
        <v>16089</v>
      </c>
      <c r="AS190" s="376" t="s">
        <v>14969</v>
      </c>
      <c r="AU190" s="270"/>
      <c r="AV190" s="270"/>
    </row>
    <row r="191" s="260" customFormat="1" ht="14.1" customHeight="1" spans="1:48">
      <c r="A191" s="1624" t="s">
        <v>3139</v>
      </c>
      <c r="B191" s="1626" t="s">
        <v>16630</v>
      </c>
      <c r="C191" s="278" t="s">
        <v>16631</v>
      </c>
      <c r="D191" s="279" t="s">
        <v>16632</v>
      </c>
      <c r="E191" s="290"/>
      <c r="F191" s="291"/>
      <c r="G191" s="292" t="s">
        <v>43</v>
      </c>
      <c r="H191" s="293" t="s">
        <v>60</v>
      </c>
      <c r="I191" s="293" t="s">
        <v>2832</v>
      </c>
      <c r="J191" s="306" t="s">
        <v>16633</v>
      </c>
      <c r="K191" s="301" t="s">
        <v>16356</v>
      </c>
      <c r="L191" s="303"/>
      <c r="M191" s="315">
        <v>43073</v>
      </c>
      <c r="N191" s="315">
        <v>43162</v>
      </c>
      <c r="O191" s="315"/>
      <c r="P191" s="315"/>
      <c r="Q191" s="315"/>
      <c r="R191" s="315"/>
      <c r="S191" s="315"/>
      <c r="T191" s="315"/>
      <c r="U191" s="315"/>
      <c r="V191" s="315"/>
      <c r="W191" s="325">
        <v>22.3497393518483</v>
      </c>
      <c r="X191" s="326" t="s">
        <v>2569</v>
      </c>
      <c r="Y191" s="335">
        <v>8100000</v>
      </c>
      <c r="Z191" s="335">
        <v>15000</v>
      </c>
      <c r="AA191" s="335">
        <v>750000</v>
      </c>
      <c r="AB191" s="335">
        <v>315000</v>
      </c>
      <c r="AC191" s="342"/>
      <c r="AD191" s="335">
        <v>1650000</v>
      </c>
      <c r="AE191" s="342"/>
      <c r="AF191" s="335"/>
      <c r="AG191" s="349" t="s">
        <v>112</v>
      </c>
      <c r="AH191" s="349">
        <v>750</v>
      </c>
      <c r="AI191" s="349"/>
      <c r="AJ191" s="306" t="s">
        <v>16634</v>
      </c>
      <c r="AK191" s="1628" t="s">
        <v>16635</v>
      </c>
      <c r="AL191" s="359" t="s">
        <v>16636</v>
      </c>
      <c r="AM191" s="359" t="s">
        <v>16637</v>
      </c>
      <c r="AN191" s="359" t="s">
        <v>16638</v>
      </c>
      <c r="AO191" s="359" t="s">
        <v>16639</v>
      </c>
      <c r="AP191" s="359"/>
      <c r="AQ191" s="374" t="s">
        <v>16640</v>
      </c>
      <c r="AR191" s="375" t="s">
        <v>16089</v>
      </c>
      <c r="AS191" s="376" t="s">
        <v>16261</v>
      </c>
      <c r="AU191" s="270"/>
      <c r="AV191" s="270"/>
    </row>
    <row r="192" s="260" customFormat="1" ht="14.1" customHeight="1" spans="1:48">
      <c r="A192" s="1624" t="s">
        <v>1368</v>
      </c>
      <c r="B192" s="1626" t="s">
        <v>16641</v>
      </c>
      <c r="C192" s="278" t="s">
        <v>16642</v>
      </c>
      <c r="D192" s="279" t="s">
        <v>16643</v>
      </c>
      <c r="E192" s="290"/>
      <c r="F192" s="291"/>
      <c r="G192" s="292" t="s">
        <v>43</v>
      </c>
      <c r="H192" s="293" t="s">
        <v>44</v>
      </c>
      <c r="I192" s="293" t="s">
        <v>3528</v>
      </c>
      <c r="J192" s="306" t="s">
        <v>16457</v>
      </c>
      <c r="K192" s="301" t="s">
        <v>16356</v>
      </c>
      <c r="L192" s="303"/>
      <c r="M192" s="315">
        <v>43096</v>
      </c>
      <c r="N192" s="315">
        <v>43202</v>
      </c>
      <c r="O192" s="315"/>
      <c r="P192" s="315"/>
      <c r="Q192" s="315"/>
      <c r="R192" s="315"/>
      <c r="S192" s="315"/>
      <c r="T192" s="315"/>
      <c r="U192" s="315"/>
      <c r="V192" s="315"/>
      <c r="W192" s="325">
        <v>62.3497393518483</v>
      </c>
      <c r="X192" s="326" t="s">
        <v>745</v>
      </c>
      <c r="Y192" s="335">
        <v>7500000</v>
      </c>
      <c r="Z192" s="335">
        <v>20000</v>
      </c>
      <c r="AA192" s="335">
        <v>750000</v>
      </c>
      <c r="AB192" s="335">
        <v>315000</v>
      </c>
      <c r="AC192" s="342"/>
      <c r="AD192" s="335">
        <v>1650000</v>
      </c>
      <c r="AE192" s="342"/>
      <c r="AF192" s="335"/>
      <c r="AG192" s="349" t="s">
        <v>112</v>
      </c>
      <c r="AH192" s="349">
        <v>750</v>
      </c>
      <c r="AI192" s="349"/>
      <c r="AJ192" s="306" t="s">
        <v>16644</v>
      </c>
      <c r="AK192" s="1628" t="s">
        <v>16645</v>
      </c>
      <c r="AL192" s="359" t="s">
        <v>16646</v>
      </c>
      <c r="AM192" s="359" t="s">
        <v>16647</v>
      </c>
      <c r="AN192" s="359" t="s">
        <v>16648</v>
      </c>
      <c r="AO192" s="359" t="s">
        <v>16649</v>
      </c>
      <c r="AP192" s="359"/>
      <c r="AQ192" s="374" t="s">
        <v>16650</v>
      </c>
      <c r="AR192" s="375" t="s">
        <v>16089</v>
      </c>
      <c r="AS192" s="376" t="s">
        <v>16261</v>
      </c>
      <c r="AU192" s="270"/>
      <c r="AV192" s="270"/>
    </row>
    <row r="193" s="260" customFormat="1" ht="14.1" customHeight="1" spans="1:48">
      <c r="A193" s="1624" t="s">
        <v>1413</v>
      </c>
      <c r="B193" s="1626" t="s">
        <v>16651</v>
      </c>
      <c r="C193" s="278" t="s">
        <v>16652</v>
      </c>
      <c r="D193" s="279" t="s">
        <v>16653</v>
      </c>
      <c r="E193" s="290"/>
      <c r="F193" s="291" t="s">
        <v>16654</v>
      </c>
      <c r="G193" s="292" t="s">
        <v>43</v>
      </c>
      <c r="H193" s="293" t="s">
        <v>44</v>
      </c>
      <c r="I193" s="293" t="s">
        <v>3528</v>
      </c>
      <c r="J193" s="306" t="s">
        <v>16457</v>
      </c>
      <c r="K193" s="301" t="s">
        <v>16014</v>
      </c>
      <c r="L193" s="303"/>
      <c r="M193" s="315">
        <v>43087</v>
      </c>
      <c r="N193" s="315">
        <v>43202</v>
      </c>
      <c r="O193" s="315"/>
      <c r="P193" s="315"/>
      <c r="Q193" s="315"/>
      <c r="R193" s="315"/>
      <c r="S193" s="315"/>
      <c r="T193" s="315"/>
      <c r="U193" s="315"/>
      <c r="V193" s="315"/>
      <c r="W193" s="325">
        <v>62.3497393518483</v>
      </c>
      <c r="X193" s="326" t="s">
        <v>745</v>
      </c>
      <c r="Y193" s="335">
        <v>7500000</v>
      </c>
      <c r="Z193" s="335">
        <v>20000</v>
      </c>
      <c r="AA193" s="335">
        <v>750000</v>
      </c>
      <c r="AB193" s="335">
        <v>315000</v>
      </c>
      <c r="AC193" s="342"/>
      <c r="AD193" s="335">
        <v>1650000</v>
      </c>
      <c r="AE193" s="342"/>
      <c r="AF193" s="335"/>
      <c r="AG193" s="349" t="s">
        <v>112</v>
      </c>
      <c r="AH193" s="349">
        <v>750</v>
      </c>
      <c r="AI193" s="349"/>
      <c r="AJ193" s="306" t="s">
        <v>16655</v>
      </c>
      <c r="AK193" s="1628" t="s">
        <v>16656</v>
      </c>
      <c r="AL193" s="359" t="s">
        <v>16657</v>
      </c>
      <c r="AM193" s="359" t="s">
        <v>16658</v>
      </c>
      <c r="AN193" s="359" t="s">
        <v>16659</v>
      </c>
      <c r="AO193" s="359" t="s">
        <v>16660</v>
      </c>
      <c r="AP193" s="1628" t="s">
        <v>16661</v>
      </c>
      <c r="AQ193" s="374" t="s">
        <v>16662</v>
      </c>
      <c r="AR193" s="375" t="s">
        <v>16089</v>
      </c>
      <c r="AS193" s="376" t="s">
        <v>16261</v>
      </c>
      <c r="AU193" s="270"/>
      <c r="AV193" s="270"/>
    </row>
    <row r="194" s="260" customFormat="1" ht="14.1" customHeight="1" spans="1:48">
      <c r="A194" s="1624" t="s">
        <v>1421</v>
      </c>
      <c r="B194" s="1624" t="s">
        <v>16663</v>
      </c>
      <c r="C194" s="278" t="s">
        <v>16664</v>
      </c>
      <c r="D194" s="279" t="s">
        <v>16665</v>
      </c>
      <c r="E194" s="290"/>
      <c r="F194" s="291"/>
      <c r="G194" s="292" t="s">
        <v>43</v>
      </c>
      <c r="H194" s="293"/>
      <c r="I194" s="293" t="s">
        <v>3528</v>
      </c>
      <c r="J194" s="306" t="s">
        <v>16457</v>
      </c>
      <c r="K194" s="301" t="s">
        <v>16014</v>
      </c>
      <c r="L194" s="303"/>
      <c r="M194" s="315">
        <v>43117</v>
      </c>
      <c r="N194" s="315">
        <v>43202</v>
      </c>
      <c r="O194" s="315"/>
      <c r="P194" s="315"/>
      <c r="Q194" s="315"/>
      <c r="R194" s="315"/>
      <c r="S194" s="315"/>
      <c r="T194" s="315"/>
      <c r="U194" s="315"/>
      <c r="V194" s="315"/>
      <c r="W194" s="325">
        <v>62.3497393518483</v>
      </c>
      <c r="X194" s="326" t="s">
        <v>745</v>
      </c>
      <c r="Y194" s="335">
        <v>5500000</v>
      </c>
      <c r="Z194" s="335">
        <v>20000</v>
      </c>
      <c r="AA194" s="335">
        <v>750000</v>
      </c>
      <c r="AB194" s="335">
        <v>315000</v>
      </c>
      <c r="AC194" s="342"/>
      <c r="AD194" s="335">
        <v>1650000</v>
      </c>
      <c r="AE194" s="342"/>
      <c r="AF194" s="335"/>
      <c r="AG194" s="349" t="s">
        <v>112</v>
      </c>
      <c r="AH194" s="349">
        <v>400</v>
      </c>
      <c r="AI194" s="349"/>
      <c r="AJ194" s="306" t="s">
        <v>16666</v>
      </c>
      <c r="AK194" s="1628" t="s">
        <v>16667</v>
      </c>
      <c r="AL194" s="359"/>
      <c r="AM194" s="359"/>
      <c r="AN194" s="359" t="s">
        <v>16668</v>
      </c>
      <c r="AO194" s="359"/>
      <c r="AP194" s="359"/>
      <c r="AQ194" s="374" t="s">
        <v>16669</v>
      </c>
      <c r="AR194" s="375" t="s">
        <v>16670</v>
      </c>
      <c r="AS194" s="376" t="s">
        <v>16261</v>
      </c>
      <c r="AU194" s="270"/>
      <c r="AV194" s="270"/>
    </row>
    <row r="195" s="260" customFormat="1" ht="14.1" customHeight="1" spans="1:48">
      <c r="A195" s="1624" t="s">
        <v>194</v>
      </c>
      <c r="B195" s="1626" t="s">
        <v>16671</v>
      </c>
      <c r="C195" s="278" t="s">
        <v>16672</v>
      </c>
      <c r="D195" s="279" t="s">
        <v>16673</v>
      </c>
      <c r="E195" s="290">
        <v>29</v>
      </c>
      <c r="F195" s="291" t="s">
        <v>16674</v>
      </c>
      <c r="G195" s="292" t="s">
        <v>43</v>
      </c>
      <c r="H195" s="293" t="s">
        <v>60</v>
      </c>
      <c r="I195" s="293" t="s">
        <v>3528</v>
      </c>
      <c r="J195" s="306" t="s">
        <v>16675</v>
      </c>
      <c r="K195" s="305" t="s">
        <v>16676</v>
      </c>
      <c r="L195" s="303"/>
      <c r="M195" s="315">
        <v>42614</v>
      </c>
      <c r="N195" s="315">
        <v>42794</v>
      </c>
      <c r="O195" s="315">
        <v>43159</v>
      </c>
      <c r="P195" s="315"/>
      <c r="Q195" s="315"/>
      <c r="R195" s="315"/>
      <c r="S195" s="315"/>
      <c r="T195" s="315"/>
      <c r="U195" s="315"/>
      <c r="V195" s="315"/>
      <c r="W195" s="325">
        <v>19.349145023145</v>
      </c>
      <c r="X195" s="326" t="s">
        <v>2569</v>
      </c>
      <c r="Y195" s="335">
        <v>10400000</v>
      </c>
      <c r="Z195" s="335">
        <v>20000</v>
      </c>
      <c r="AA195" s="335">
        <v>750000</v>
      </c>
      <c r="AB195" s="335">
        <v>150000</v>
      </c>
      <c r="AC195" s="335"/>
      <c r="AD195" s="335"/>
      <c r="AE195" s="335"/>
      <c r="AF195" s="335"/>
      <c r="AG195" s="349" t="s">
        <v>0</v>
      </c>
      <c r="AH195" s="349" t="s">
        <v>14458</v>
      </c>
      <c r="AI195" s="349" t="s">
        <v>16677</v>
      </c>
      <c r="AJ195" s="306" t="s">
        <v>16678</v>
      </c>
      <c r="AK195" s="1628" t="s">
        <v>16679</v>
      </c>
      <c r="AL195" s="359" t="s">
        <v>16680</v>
      </c>
      <c r="AM195" s="359" t="s">
        <v>16681</v>
      </c>
      <c r="AN195" s="359" t="s">
        <v>16682</v>
      </c>
      <c r="AO195" s="359"/>
      <c r="AP195" s="359"/>
      <c r="AQ195" s="368" t="s">
        <v>16683</v>
      </c>
      <c r="AR195" s="375" t="s">
        <v>3274</v>
      </c>
      <c r="AS195" s="376" t="s">
        <v>14527</v>
      </c>
      <c r="AU195" s="270"/>
      <c r="AV195" s="270"/>
    </row>
    <row r="196" s="260" customFormat="1" ht="14.1" customHeight="1" spans="1:48">
      <c r="A196" s="1624" t="s">
        <v>239</v>
      </c>
      <c r="B196" s="1626" t="s">
        <v>16684</v>
      </c>
      <c r="C196" s="278" t="s">
        <v>16685</v>
      </c>
      <c r="D196" s="279" t="s">
        <v>16686</v>
      </c>
      <c r="E196" s="290">
        <v>22</v>
      </c>
      <c r="F196" s="291" t="s">
        <v>16687</v>
      </c>
      <c r="G196" s="292" t="s">
        <v>125</v>
      </c>
      <c r="H196" s="293" t="s">
        <v>44</v>
      </c>
      <c r="I196" s="293" t="s">
        <v>3528</v>
      </c>
      <c r="J196" s="306" t="s">
        <v>16688</v>
      </c>
      <c r="K196" s="305" t="s">
        <v>16689</v>
      </c>
      <c r="L196" s="303"/>
      <c r="M196" s="315">
        <v>42744</v>
      </c>
      <c r="N196" s="315">
        <v>43108</v>
      </c>
      <c r="O196" s="315"/>
      <c r="P196" s="315"/>
      <c r="Q196" s="315"/>
      <c r="R196" s="315"/>
      <c r="S196" s="315"/>
      <c r="T196" s="315"/>
      <c r="U196" s="315"/>
      <c r="V196" s="315"/>
      <c r="W196" s="325">
        <v>-31.650854976855</v>
      </c>
      <c r="X196" s="326" t="s">
        <v>2569</v>
      </c>
      <c r="Y196" s="335">
        <v>6500000</v>
      </c>
      <c r="Z196" s="335">
        <v>220000</v>
      </c>
      <c r="AA196" s="335"/>
      <c r="AB196" s="335"/>
      <c r="AC196" s="335"/>
      <c r="AD196" s="335"/>
      <c r="AE196" s="335"/>
      <c r="AF196" s="335"/>
      <c r="AG196" s="349" t="s">
        <v>0</v>
      </c>
      <c r="AH196" s="349" t="s">
        <v>14428</v>
      </c>
      <c r="AI196" s="349"/>
      <c r="AJ196" s="306" t="s">
        <v>16690</v>
      </c>
      <c r="AK196" s="1628" t="s">
        <v>16691</v>
      </c>
      <c r="AL196" s="359" t="s">
        <v>16692</v>
      </c>
      <c r="AM196" s="359" t="s">
        <v>16693</v>
      </c>
      <c r="AN196" s="359" t="s">
        <v>16694</v>
      </c>
      <c r="AO196" s="359"/>
      <c r="AP196" s="359"/>
      <c r="AQ196" s="368" t="s">
        <v>16695</v>
      </c>
      <c r="AR196" s="375" t="s">
        <v>16696</v>
      </c>
      <c r="AS196" s="376" t="s">
        <v>15231</v>
      </c>
      <c r="AU196" s="270"/>
      <c r="AV196" s="270"/>
    </row>
    <row r="197" s="260" customFormat="1" ht="14.1" customHeight="1" spans="1:48">
      <c r="A197" s="1624" t="s">
        <v>569</v>
      </c>
      <c r="B197" s="1626" t="s">
        <v>16697</v>
      </c>
      <c r="C197" s="278" t="s">
        <v>16698</v>
      </c>
      <c r="D197" s="279" t="s">
        <v>16699</v>
      </c>
      <c r="E197" s="290">
        <v>23</v>
      </c>
      <c r="F197" s="291"/>
      <c r="G197" s="292" t="s">
        <v>125</v>
      </c>
      <c r="H197" s="293" t="s">
        <v>44</v>
      </c>
      <c r="I197" s="293" t="s">
        <v>3528</v>
      </c>
      <c r="J197" s="306" t="s">
        <v>15891</v>
      </c>
      <c r="K197" s="305" t="s">
        <v>15892</v>
      </c>
      <c r="L197" s="303"/>
      <c r="M197" s="315">
        <v>42923</v>
      </c>
      <c r="N197" s="315">
        <v>43106</v>
      </c>
      <c r="O197" s="315"/>
      <c r="P197" s="315" t="s">
        <v>583</v>
      </c>
      <c r="Q197" s="315"/>
      <c r="R197" s="315"/>
      <c r="S197" s="315"/>
      <c r="T197" s="315"/>
      <c r="U197" s="315"/>
      <c r="V197" s="315"/>
      <c r="W197" s="325">
        <v>-33.650854976855</v>
      </c>
      <c r="X197" s="326" t="s">
        <v>2569</v>
      </c>
      <c r="Y197" s="335">
        <v>100000</v>
      </c>
      <c r="Z197" s="335" t="s">
        <v>583</v>
      </c>
      <c r="AA197" s="335" t="s">
        <v>583</v>
      </c>
      <c r="AB197" s="335" t="s">
        <v>583</v>
      </c>
      <c r="AC197" s="335"/>
      <c r="AD197" s="335" t="s">
        <v>583</v>
      </c>
      <c r="AE197" s="335"/>
      <c r="AF197" s="335"/>
      <c r="AG197" s="349" t="s">
        <v>112</v>
      </c>
      <c r="AH197" s="349" t="s">
        <v>112</v>
      </c>
      <c r="AI197" s="349"/>
      <c r="AJ197" s="306" t="s">
        <v>16700</v>
      </c>
      <c r="AK197" s="1628" t="s">
        <v>16701</v>
      </c>
      <c r="AL197" s="359" t="s">
        <v>16702</v>
      </c>
      <c r="AM197" s="359"/>
      <c r="AN197" s="359" t="s">
        <v>16703</v>
      </c>
      <c r="AO197" s="359"/>
      <c r="AP197" s="359"/>
      <c r="AQ197" s="368" t="s">
        <v>16704</v>
      </c>
      <c r="AR197" s="375" t="s">
        <v>16705</v>
      </c>
      <c r="AS197" s="376" t="s">
        <v>14981</v>
      </c>
      <c r="AU197" s="270"/>
      <c r="AV197" s="270"/>
    </row>
    <row r="198" s="260" customFormat="1" ht="14.1" customHeight="1" spans="1:48">
      <c r="A198" s="1624" t="s">
        <v>609</v>
      </c>
      <c r="B198" s="277" t="s">
        <v>16706</v>
      </c>
      <c r="C198" s="278" t="s">
        <v>16707</v>
      </c>
      <c r="D198" s="279" t="s">
        <v>16708</v>
      </c>
      <c r="E198" s="290"/>
      <c r="F198" s="291" t="s">
        <v>16709</v>
      </c>
      <c r="G198" s="292" t="s">
        <v>43</v>
      </c>
      <c r="H198" s="293" t="s">
        <v>254</v>
      </c>
      <c r="I198" s="293" t="s">
        <v>3528</v>
      </c>
      <c r="J198" s="306" t="s">
        <v>16710</v>
      </c>
      <c r="K198" s="302" t="s">
        <v>16711</v>
      </c>
      <c r="L198" s="417"/>
      <c r="M198" s="315">
        <v>42948</v>
      </c>
      <c r="N198" s="315">
        <v>43131</v>
      </c>
      <c r="O198" s="315"/>
      <c r="P198" s="315"/>
      <c r="Q198" s="315"/>
      <c r="R198" s="315"/>
      <c r="S198" s="315"/>
      <c r="T198" s="315"/>
      <c r="U198" s="315"/>
      <c r="V198" s="315"/>
      <c r="W198" s="325">
        <v>-8.65085497685504</v>
      </c>
      <c r="X198" s="326" t="s">
        <v>2569</v>
      </c>
      <c r="Y198" s="335">
        <v>16000000</v>
      </c>
      <c r="Z198" s="335">
        <v>20000</v>
      </c>
      <c r="AA198" s="335">
        <v>1300000</v>
      </c>
      <c r="AB198" s="335">
        <v>150000</v>
      </c>
      <c r="AC198" s="335"/>
      <c r="AD198" s="335" t="s">
        <v>583</v>
      </c>
      <c r="AE198" s="335"/>
      <c r="AF198" s="335"/>
      <c r="AG198" s="349" t="s">
        <v>112</v>
      </c>
      <c r="AH198" s="349" t="s">
        <v>14458</v>
      </c>
      <c r="AI198" s="349"/>
      <c r="AJ198" s="306" t="s">
        <v>16712</v>
      </c>
      <c r="AK198" s="359" t="s">
        <v>16713</v>
      </c>
      <c r="AL198" s="359" t="s">
        <v>16714</v>
      </c>
      <c r="AM198" s="1628" t="s">
        <v>16715</v>
      </c>
      <c r="AN198" s="1628" t="s">
        <v>16716</v>
      </c>
      <c r="AO198" s="359"/>
      <c r="AP198" s="359" t="s">
        <v>16717</v>
      </c>
      <c r="AQ198" s="374" t="s">
        <v>16718</v>
      </c>
      <c r="AR198" s="369" t="s">
        <v>10866</v>
      </c>
      <c r="AS198" s="376" t="s">
        <v>16719</v>
      </c>
      <c r="AU198" s="270"/>
      <c r="AV198" s="270"/>
    </row>
    <row r="199" s="260" customFormat="1" ht="14.1" customHeight="1" spans="1:48">
      <c r="A199" s="1624" t="s">
        <v>56</v>
      </c>
      <c r="B199" s="1626" t="s">
        <v>16720</v>
      </c>
      <c r="C199" s="278" t="s">
        <v>16721</v>
      </c>
      <c r="D199" s="279" t="s">
        <v>16722</v>
      </c>
      <c r="E199" s="290">
        <v>28</v>
      </c>
      <c r="F199" s="291" t="s">
        <v>14455</v>
      </c>
      <c r="G199" s="292" t="s">
        <v>43</v>
      </c>
      <c r="H199" s="293" t="s">
        <v>60</v>
      </c>
      <c r="I199" s="293" t="s">
        <v>3528</v>
      </c>
      <c r="J199" s="306" t="s">
        <v>16723</v>
      </c>
      <c r="K199" s="305" t="s">
        <v>16724</v>
      </c>
      <c r="L199" s="303"/>
      <c r="M199" s="315">
        <v>42248</v>
      </c>
      <c r="N199" s="315">
        <v>42429</v>
      </c>
      <c r="O199" s="315">
        <v>42794</v>
      </c>
      <c r="P199" s="315">
        <v>42978</v>
      </c>
      <c r="Q199" s="315"/>
      <c r="R199" s="315"/>
      <c r="S199" s="315">
        <v>42979</v>
      </c>
      <c r="T199" s="315">
        <v>43159</v>
      </c>
      <c r="U199" s="315"/>
      <c r="V199" s="315"/>
      <c r="W199" s="325">
        <v>-6.71456064814993</v>
      </c>
      <c r="X199" s="326" t="s">
        <v>2569</v>
      </c>
      <c r="Y199" s="335">
        <v>7103250</v>
      </c>
      <c r="Z199" s="335">
        <v>20000</v>
      </c>
      <c r="AA199" s="335">
        <v>200000</v>
      </c>
      <c r="AB199" s="335" t="s">
        <v>16725</v>
      </c>
      <c r="AC199" s="335"/>
      <c r="AD199" s="335"/>
      <c r="AE199" s="335"/>
      <c r="AF199" s="335"/>
      <c r="AG199" s="349" t="s">
        <v>48</v>
      </c>
      <c r="AH199" s="349" t="s">
        <v>11917</v>
      </c>
      <c r="AI199" s="349" t="s">
        <v>16726</v>
      </c>
      <c r="AJ199" s="306" t="s">
        <v>16727</v>
      </c>
      <c r="AK199" s="1628" t="s">
        <v>16728</v>
      </c>
      <c r="AL199" s="359" t="s">
        <v>16729</v>
      </c>
      <c r="AM199" s="359" t="s">
        <v>16730</v>
      </c>
      <c r="AN199" s="359" t="s">
        <v>16731</v>
      </c>
      <c r="AO199" s="359">
        <v>0</v>
      </c>
      <c r="AP199" s="1628" t="s">
        <v>16732</v>
      </c>
      <c r="AQ199" s="368" t="s">
        <v>16733</v>
      </c>
      <c r="AR199" s="369" t="s">
        <v>16734</v>
      </c>
      <c r="AS199" s="376" t="s">
        <v>16735</v>
      </c>
      <c r="AU199" s="270"/>
      <c r="AV199" s="270"/>
    </row>
    <row r="200" s="260" customFormat="1" ht="14.1" customHeight="1" spans="1:48">
      <c r="A200" s="1624" t="s">
        <v>215</v>
      </c>
      <c r="B200" s="1626" t="s">
        <v>16736</v>
      </c>
      <c r="C200" s="278" t="s">
        <v>16737</v>
      </c>
      <c r="D200" s="279" t="s">
        <v>16738</v>
      </c>
      <c r="E200" s="290">
        <v>30</v>
      </c>
      <c r="F200" s="291" t="s">
        <v>14516</v>
      </c>
      <c r="G200" s="292" t="s">
        <v>125</v>
      </c>
      <c r="H200" s="293" t="s">
        <v>254</v>
      </c>
      <c r="I200" s="293" t="s">
        <v>3528</v>
      </c>
      <c r="J200" s="306" t="s">
        <v>15438</v>
      </c>
      <c r="K200" s="305" t="s">
        <v>16739</v>
      </c>
      <c r="L200" s="303"/>
      <c r="M200" s="315">
        <v>42670</v>
      </c>
      <c r="N200" s="315">
        <v>42851</v>
      </c>
      <c r="O200" s="315">
        <v>43216</v>
      </c>
      <c r="P200" s="315"/>
      <c r="Q200" s="315"/>
      <c r="R200" s="315"/>
      <c r="S200" s="315"/>
      <c r="T200" s="315"/>
      <c r="U200" s="315"/>
      <c r="V200" s="315"/>
      <c r="W200" s="325">
        <v>50.2854393518501</v>
      </c>
      <c r="X200" s="326" t="s">
        <v>745</v>
      </c>
      <c r="Y200" s="335">
        <v>15000000</v>
      </c>
      <c r="Z200" s="335">
        <v>20000</v>
      </c>
      <c r="AA200" s="335">
        <v>750000</v>
      </c>
      <c r="AB200" s="335">
        <v>150000</v>
      </c>
      <c r="AC200" s="335"/>
      <c r="AD200" s="335"/>
      <c r="AE200" s="335"/>
      <c r="AF200" s="335"/>
      <c r="AG200" s="349" t="s">
        <v>48</v>
      </c>
      <c r="AH200" s="349" t="s">
        <v>14576</v>
      </c>
      <c r="AI200" s="349"/>
      <c r="AJ200" s="306" t="s">
        <v>16740</v>
      </c>
      <c r="AK200" s="1628" t="s">
        <v>16741</v>
      </c>
      <c r="AL200" s="359" t="s">
        <v>16742</v>
      </c>
      <c r="AM200" s="359" t="s">
        <v>16743</v>
      </c>
      <c r="AN200" s="359" t="s">
        <v>16744</v>
      </c>
      <c r="AO200" s="359"/>
      <c r="AP200" s="359"/>
      <c r="AQ200" s="368" t="s">
        <v>16745</v>
      </c>
      <c r="AR200" s="369" t="s">
        <v>16746</v>
      </c>
      <c r="AS200" s="376" t="s">
        <v>16747</v>
      </c>
      <c r="AU200" s="270"/>
      <c r="AV200" s="270"/>
    </row>
    <row r="201" s="260" customFormat="1" ht="14.1" customHeight="1" spans="1:48">
      <c r="A201" s="1624" t="s">
        <v>450</v>
      </c>
      <c r="B201" s="1626" t="s">
        <v>16748</v>
      </c>
      <c r="C201" s="278" t="s">
        <v>16749</v>
      </c>
      <c r="D201" s="279" t="s">
        <v>16750</v>
      </c>
      <c r="E201" s="290">
        <v>24</v>
      </c>
      <c r="F201" s="291"/>
      <c r="G201" s="292" t="s">
        <v>125</v>
      </c>
      <c r="H201" s="293" t="s">
        <v>44</v>
      </c>
      <c r="I201" s="293" t="s">
        <v>3528</v>
      </c>
      <c r="J201" s="306" t="s">
        <v>16751</v>
      </c>
      <c r="K201" s="304" t="s">
        <v>16752</v>
      </c>
      <c r="L201" s="400"/>
      <c r="M201" s="315">
        <v>42863</v>
      </c>
      <c r="N201" s="315">
        <v>43046</v>
      </c>
      <c r="O201" s="315">
        <v>43202</v>
      </c>
      <c r="P201" s="315">
        <v>43227</v>
      </c>
      <c r="Q201" s="315"/>
      <c r="R201" s="315"/>
      <c r="S201" s="315"/>
      <c r="T201" s="315"/>
      <c r="U201" s="315"/>
      <c r="V201" s="315"/>
      <c r="W201" s="325">
        <v>36.2854393518501</v>
      </c>
      <c r="X201" s="326" t="s">
        <v>2569</v>
      </c>
      <c r="Y201" s="335">
        <v>5000000</v>
      </c>
      <c r="Z201" s="335">
        <v>20000</v>
      </c>
      <c r="AA201" s="335">
        <v>750000</v>
      </c>
      <c r="AB201" s="335">
        <v>150000</v>
      </c>
      <c r="AC201" s="335"/>
      <c r="AD201" s="335" t="s">
        <v>583</v>
      </c>
      <c r="AE201" s="335"/>
      <c r="AF201" s="335"/>
      <c r="AG201" s="349" t="s">
        <v>4670</v>
      </c>
      <c r="AH201" s="349" t="s">
        <v>14428</v>
      </c>
      <c r="AI201" s="349"/>
      <c r="AJ201" s="306" t="s">
        <v>16753</v>
      </c>
      <c r="AK201" s="1628" t="s">
        <v>16754</v>
      </c>
      <c r="AL201" s="359" t="s">
        <v>16755</v>
      </c>
      <c r="AM201" s="359" t="s">
        <v>16756</v>
      </c>
      <c r="AN201" s="359" t="s">
        <v>16757</v>
      </c>
      <c r="AO201" s="359" t="s">
        <v>16758</v>
      </c>
      <c r="AP201" s="1628" t="s">
        <v>16759</v>
      </c>
      <c r="AQ201" s="368" t="s">
        <v>16760</v>
      </c>
      <c r="AR201" s="369" t="s">
        <v>16761</v>
      </c>
      <c r="AS201" s="380" t="s">
        <v>14527</v>
      </c>
      <c r="AU201" s="270"/>
      <c r="AV201" s="270"/>
    </row>
    <row r="202" s="260" customFormat="1" ht="14.1" customHeight="1" spans="1:48">
      <c r="A202" s="1626" t="s">
        <v>816</v>
      </c>
      <c r="B202" s="32" t="s">
        <v>16762</v>
      </c>
      <c r="C202" s="278" t="s">
        <v>16763</v>
      </c>
      <c r="D202" s="279" t="s">
        <v>16764</v>
      </c>
      <c r="E202" s="290"/>
      <c r="F202" s="291" t="s">
        <v>1110</v>
      </c>
      <c r="G202" s="292" t="s">
        <v>125</v>
      </c>
      <c r="H202" s="293" t="s">
        <v>44</v>
      </c>
      <c r="I202" s="293" t="s">
        <v>3528</v>
      </c>
      <c r="J202" s="306" t="s">
        <v>16765</v>
      </c>
      <c r="K202" s="304" t="s">
        <v>16766</v>
      </c>
      <c r="L202" s="400"/>
      <c r="M202" s="315">
        <v>43038</v>
      </c>
      <c r="N202" s="315">
        <v>43188</v>
      </c>
      <c r="O202" s="315"/>
      <c r="P202" s="315"/>
      <c r="Q202" s="315"/>
      <c r="R202" s="315"/>
      <c r="S202" s="315"/>
      <c r="T202" s="315"/>
      <c r="U202" s="315"/>
      <c r="V202" s="315"/>
      <c r="W202" s="325">
        <v>22.2854393518501</v>
      </c>
      <c r="X202" s="326" t="s">
        <v>2569</v>
      </c>
      <c r="Y202" s="342">
        <v>100000</v>
      </c>
      <c r="Z202" s="342"/>
      <c r="AA202" s="335"/>
      <c r="AB202" s="335"/>
      <c r="AC202" s="342"/>
      <c r="AD202" s="335"/>
      <c r="AE202" s="335"/>
      <c r="AF202" s="335"/>
      <c r="AG202" s="349" t="s">
        <v>112</v>
      </c>
      <c r="AH202" s="349" t="s">
        <v>112</v>
      </c>
      <c r="AI202" s="349"/>
      <c r="AJ202" s="306" t="s">
        <v>16767</v>
      </c>
      <c r="AK202" s="359" t="s">
        <v>16768</v>
      </c>
      <c r="AL202" s="359" t="s">
        <v>16769</v>
      </c>
      <c r="AM202" s="359"/>
      <c r="AN202" s="359" t="s">
        <v>16770</v>
      </c>
      <c r="AO202" s="359"/>
      <c r="AP202" s="359"/>
      <c r="AQ202" s="374" t="s">
        <v>16771</v>
      </c>
      <c r="AR202" s="375" t="s">
        <v>16772</v>
      </c>
      <c r="AS202" s="380" t="s">
        <v>16773</v>
      </c>
      <c r="AU202" s="270"/>
      <c r="AV202" s="270"/>
    </row>
    <row r="203" s="260" customFormat="1" ht="14.1" customHeight="1" spans="1:48">
      <c r="A203" s="1626" t="s">
        <v>837</v>
      </c>
      <c r="B203" s="32" t="s">
        <v>16774</v>
      </c>
      <c r="C203" s="278" t="s">
        <v>16775</v>
      </c>
      <c r="D203" s="279" t="s">
        <v>16776</v>
      </c>
      <c r="E203" s="290"/>
      <c r="F203" s="291"/>
      <c r="G203" s="292" t="s">
        <v>125</v>
      </c>
      <c r="H203" s="293"/>
      <c r="I203" s="293" t="s">
        <v>3528</v>
      </c>
      <c r="J203" s="306" t="s">
        <v>16777</v>
      </c>
      <c r="K203" s="304" t="s">
        <v>16778</v>
      </c>
      <c r="L203" s="400"/>
      <c r="M203" s="315">
        <v>43054</v>
      </c>
      <c r="N203" s="315">
        <v>43145</v>
      </c>
      <c r="O203" s="315"/>
      <c r="P203" s="315"/>
      <c r="Q203" s="315"/>
      <c r="R203" s="315"/>
      <c r="S203" s="315"/>
      <c r="T203" s="315"/>
      <c r="U203" s="315"/>
      <c r="V203" s="315"/>
      <c r="W203" s="325">
        <v>-20.7145606481499</v>
      </c>
      <c r="X203" s="326" t="s">
        <v>2569</v>
      </c>
      <c r="Y203" s="342">
        <v>100000</v>
      </c>
      <c r="Z203" s="342"/>
      <c r="AA203" s="335"/>
      <c r="AB203" s="335"/>
      <c r="AC203" s="342"/>
      <c r="AD203" s="335"/>
      <c r="AE203" s="335"/>
      <c r="AF203" s="335"/>
      <c r="AG203" s="349" t="s">
        <v>112</v>
      </c>
      <c r="AH203" s="349" t="s">
        <v>112</v>
      </c>
      <c r="AI203" s="349"/>
      <c r="AJ203" s="306" t="s">
        <v>16779</v>
      </c>
      <c r="AK203" s="359" t="s">
        <v>16780</v>
      </c>
      <c r="AL203" s="359" t="s">
        <v>16781</v>
      </c>
      <c r="AM203" s="359" t="s">
        <v>16782</v>
      </c>
      <c r="AN203" s="359" t="s">
        <v>16783</v>
      </c>
      <c r="AO203" s="359"/>
      <c r="AP203" s="1628" t="s">
        <v>16784</v>
      </c>
      <c r="AQ203" s="374" t="s">
        <v>16785</v>
      </c>
      <c r="AR203" s="375" t="s">
        <v>16786</v>
      </c>
      <c r="AS203" s="380" t="s">
        <v>14588</v>
      </c>
      <c r="AU203" s="270"/>
      <c r="AV203" s="270"/>
    </row>
    <row r="204" s="261" customFormat="1" ht="14.1" customHeight="1" spans="1:48">
      <c r="A204" s="1626" t="s">
        <v>68</v>
      </c>
      <c r="B204" s="1626" t="s">
        <v>16787</v>
      </c>
      <c r="C204" s="278" t="s">
        <v>16788</v>
      </c>
      <c r="D204" s="279" t="s">
        <v>16789</v>
      </c>
      <c r="E204" s="290">
        <v>32</v>
      </c>
      <c r="F204" s="291" t="s">
        <v>16790</v>
      </c>
      <c r="G204" s="292" t="s">
        <v>125</v>
      </c>
      <c r="H204" s="293" t="s">
        <v>60</v>
      </c>
      <c r="I204" s="293" t="s">
        <v>3528</v>
      </c>
      <c r="J204" s="306" t="s">
        <v>16791</v>
      </c>
      <c r="K204" s="302" t="s">
        <v>16792</v>
      </c>
      <c r="L204" s="417"/>
      <c r="M204" s="315">
        <v>42272</v>
      </c>
      <c r="N204" s="315">
        <v>42453</v>
      </c>
      <c r="O204" s="315">
        <v>42817</v>
      </c>
      <c r="P204" s="315">
        <v>43001</v>
      </c>
      <c r="Q204" s="315"/>
      <c r="R204" s="315"/>
      <c r="S204" s="315">
        <v>43002</v>
      </c>
      <c r="T204" s="315">
        <v>43182</v>
      </c>
      <c r="U204" s="420">
        <v>43547</v>
      </c>
      <c r="V204" s="420"/>
      <c r="W204" s="325">
        <v>339.389403125002</v>
      </c>
      <c r="X204" s="326" t="s">
        <v>745</v>
      </c>
      <c r="Y204" s="335">
        <v>5830000</v>
      </c>
      <c r="Z204" s="335">
        <v>220000</v>
      </c>
      <c r="AA204" s="335"/>
      <c r="AB204" s="335"/>
      <c r="AC204" s="335"/>
      <c r="AD204" s="335"/>
      <c r="AE204" s="335"/>
      <c r="AF204" s="335"/>
      <c r="AG204" s="349" t="s">
        <v>48</v>
      </c>
      <c r="AH204" s="349" t="s">
        <v>14428</v>
      </c>
      <c r="AI204" s="349" t="s">
        <v>16793</v>
      </c>
      <c r="AJ204" s="306" t="s">
        <v>16794</v>
      </c>
      <c r="AK204" s="1628" t="s">
        <v>16795</v>
      </c>
      <c r="AL204" s="359" t="s">
        <v>16796</v>
      </c>
      <c r="AM204" s="359" t="s">
        <v>16797</v>
      </c>
      <c r="AN204" s="359" t="s">
        <v>16798</v>
      </c>
      <c r="AO204" s="359">
        <v>14040126311</v>
      </c>
      <c r="AP204" s="1628" t="s">
        <v>16799</v>
      </c>
      <c r="AQ204" s="368" t="s">
        <v>16800</v>
      </c>
      <c r="AR204" s="369" t="s">
        <v>16801</v>
      </c>
      <c r="AS204" s="380" t="s">
        <v>16802</v>
      </c>
      <c r="AT204" s="377" t="e">
        <v>#N/A</v>
      </c>
      <c r="AU204" s="378" t="e">
        <v>#N/A</v>
      </c>
      <c r="AV204" s="386"/>
    </row>
    <row r="205" s="261" customFormat="1" ht="14.1" customHeight="1" spans="1:48">
      <c r="A205" s="1626" t="s">
        <v>320</v>
      </c>
      <c r="B205" s="1626" t="s">
        <v>16803</v>
      </c>
      <c r="C205" s="278" t="s">
        <v>16804</v>
      </c>
      <c r="D205" s="279" t="s">
        <v>16805</v>
      </c>
      <c r="E205" s="290">
        <v>22</v>
      </c>
      <c r="F205" s="291"/>
      <c r="G205" s="292" t="s">
        <v>125</v>
      </c>
      <c r="H205" s="293" t="s">
        <v>44</v>
      </c>
      <c r="I205" s="293" t="s">
        <v>3528</v>
      </c>
      <c r="J205" s="306" t="s">
        <v>16806</v>
      </c>
      <c r="K205" s="305" t="s">
        <v>15025</v>
      </c>
      <c r="L205" s="303"/>
      <c r="M205" s="315">
        <v>42807</v>
      </c>
      <c r="N205" s="315">
        <v>42990</v>
      </c>
      <c r="O205" s="315">
        <v>43202</v>
      </c>
      <c r="P205" s="315">
        <v>43355</v>
      </c>
      <c r="Q205" s="315"/>
      <c r="R205" s="315"/>
      <c r="S205" s="315"/>
      <c r="T205" s="315"/>
      <c r="U205" s="315"/>
      <c r="V205" s="315"/>
      <c r="W205" s="325">
        <v>147.389403125002</v>
      </c>
      <c r="X205" s="326" t="s">
        <v>745</v>
      </c>
      <c r="Y205" s="335">
        <v>4500000</v>
      </c>
      <c r="Z205" s="335">
        <v>20000</v>
      </c>
      <c r="AA205" s="335">
        <v>750000</v>
      </c>
      <c r="AB205" s="335">
        <v>125000</v>
      </c>
      <c r="AC205" s="335"/>
      <c r="AD205" s="335"/>
      <c r="AE205" s="335"/>
      <c r="AF205" s="335"/>
      <c r="AG205" s="349" t="s">
        <v>113</v>
      </c>
      <c r="AH205" s="349" t="s">
        <v>14428</v>
      </c>
      <c r="AI205" s="349"/>
      <c r="AJ205" s="306" t="s">
        <v>16807</v>
      </c>
      <c r="AK205" s="359">
        <v>8112395333</v>
      </c>
      <c r="AL205" s="359" t="s">
        <v>16808</v>
      </c>
      <c r="AM205" s="359" t="s">
        <v>16809</v>
      </c>
      <c r="AN205" s="359" t="s">
        <v>16810</v>
      </c>
      <c r="AO205" s="359"/>
      <c r="AP205" s="1628" t="s">
        <v>16811</v>
      </c>
      <c r="AQ205" s="368" t="s">
        <v>16812</v>
      </c>
      <c r="AR205" s="369" t="s">
        <v>16813</v>
      </c>
      <c r="AS205" s="380" t="s">
        <v>15242</v>
      </c>
      <c r="AT205" s="377" t="e">
        <v>#N/A</v>
      </c>
      <c r="AU205" s="378" t="e">
        <v>#N/A</v>
      </c>
      <c r="AV205" s="378"/>
    </row>
    <row r="206" s="261" customFormat="1" ht="14.1" customHeight="1" spans="1:48">
      <c r="A206" s="1626" t="s">
        <v>631</v>
      </c>
      <c r="B206" s="277" t="s">
        <v>16814</v>
      </c>
      <c r="C206" s="278" t="s">
        <v>16815</v>
      </c>
      <c r="D206" s="279" t="s">
        <v>16816</v>
      </c>
      <c r="E206" s="290"/>
      <c r="F206" s="291" t="s">
        <v>16817</v>
      </c>
      <c r="G206" s="292" t="s">
        <v>43</v>
      </c>
      <c r="H206" s="293" t="s">
        <v>44</v>
      </c>
      <c r="I206" s="293" t="s">
        <v>3528</v>
      </c>
      <c r="J206" s="306" t="s">
        <v>16818</v>
      </c>
      <c r="K206" s="305" t="s">
        <v>16819</v>
      </c>
      <c r="L206" s="303"/>
      <c r="M206" s="315">
        <v>42982</v>
      </c>
      <c r="N206" s="315">
        <v>43162</v>
      </c>
      <c r="O206" s="418">
        <v>43202</v>
      </c>
      <c r="P206" s="315">
        <v>43711</v>
      </c>
      <c r="Q206" s="315"/>
      <c r="R206" s="315"/>
      <c r="S206" s="315"/>
      <c r="T206" s="315"/>
      <c r="U206" s="315"/>
      <c r="V206" s="315"/>
      <c r="W206" s="323">
        <v>-5.61059687499801</v>
      </c>
      <c r="X206" s="326" t="s">
        <v>2569</v>
      </c>
      <c r="Y206" s="342">
        <v>3500000</v>
      </c>
      <c r="Z206" s="342">
        <v>20000</v>
      </c>
      <c r="AA206" s="335">
        <v>500000</v>
      </c>
      <c r="AB206" s="335">
        <v>150000</v>
      </c>
      <c r="AC206" s="342"/>
      <c r="AD206" s="335"/>
      <c r="AE206" s="335"/>
      <c r="AF206" s="335"/>
      <c r="AG206" s="349" t="s">
        <v>113</v>
      </c>
      <c r="AH206" s="349">
        <v>400</v>
      </c>
      <c r="AI206" s="349"/>
      <c r="AJ206" s="306" t="s">
        <v>16820</v>
      </c>
      <c r="AK206" s="359" t="s">
        <v>16821</v>
      </c>
      <c r="AL206" s="359" t="s">
        <v>16822</v>
      </c>
      <c r="AM206" s="359" t="s">
        <v>16823</v>
      </c>
      <c r="AN206" s="359" t="s">
        <v>16824</v>
      </c>
      <c r="AO206" s="359"/>
      <c r="AP206" s="359" t="s">
        <v>16825</v>
      </c>
      <c r="AQ206" s="374" t="s">
        <v>16826</v>
      </c>
      <c r="AR206" s="369" t="s">
        <v>16827</v>
      </c>
      <c r="AS206" s="380" t="s">
        <v>16828</v>
      </c>
      <c r="AT206" s="377" t="e">
        <v>#N/A</v>
      </c>
      <c r="AU206" s="378" t="e">
        <v>#N/A</v>
      </c>
      <c r="AV206" s="378"/>
    </row>
    <row r="207" ht="14.1" customHeight="1" spans="1:49">
      <c r="A207" s="1626" t="s">
        <v>107</v>
      </c>
      <c r="B207" s="1626" t="s">
        <v>16829</v>
      </c>
      <c r="C207" s="278" t="s">
        <v>16830</v>
      </c>
      <c r="D207" s="279" t="s">
        <v>16831</v>
      </c>
      <c r="E207" s="290">
        <v>29</v>
      </c>
      <c r="F207" s="291" t="s">
        <v>14455</v>
      </c>
      <c r="G207" s="292" t="s">
        <v>43</v>
      </c>
      <c r="H207" s="293" t="s">
        <v>404</v>
      </c>
      <c r="I207" s="293" t="s">
        <v>3528</v>
      </c>
      <c r="J207" s="306" t="s">
        <v>16832</v>
      </c>
      <c r="K207" s="305" t="s">
        <v>16833</v>
      </c>
      <c r="L207" s="303"/>
      <c r="M207" s="315">
        <v>42380</v>
      </c>
      <c r="N207" s="315">
        <v>42561</v>
      </c>
      <c r="O207" s="315">
        <v>42926</v>
      </c>
      <c r="P207" s="315">
        <v>43110</v>
      </c>
      <c r="Q207" s="315"/>
      <c r="R207" s="315"/>
      <c r="S207" s="315">
        <v>43111</v>
      </c>
      <c r="T207" s="315">
        <v>43291</v>
      </c>
      <c r="U207" s="420" t="s">
        <v>604</v>
      </c>
      <c r="V207" s="315"/>
      <c r="W207" s="325">
        <v>56.5344611111141</v>
      </c>
      <c r="X207" s="326" t="s">
        <v>745</v>
      </c>
      <c r="Y207" s="421">
        <v>15525000</v>
      </c>
      <c r="Z207" s="335">
        <v>20000</v>
      </c>
      <c r="AA207" s="335">
        <v>1300000</v>
      </c>
      <c r="AB207" s="335">
        <v>150000</v>
      </c>
      <c r="AC207" s="335"/>
      <c r="AD207" s="335"/>
      <c r="AE207" s="335"/>
      <c r="AF207" s="335"/>
      <c r="AG207" s="349" t="s">
        <v>112</v>
      </c>
      <c r="AH207" s="349" t="s">
        <v>14458</v>
      </c>
      <c r="AI207" s="424" t="s">
        <v>16834</v>
      </c>
      <c r="AJ207" s="306" t="s">
        <v>16835</v>
      </c>
      <c r="AK207" s="1628" t="s">
        <v>16836</v>
      </c>
      <c r="AL207" s="359" t="s">
        <v>16837</v>
      </c>
      <c r="AM207" s="359" t="s">
        <v>16838</v>
      </c>
      <c r="AN207" s="359" t="s">
        <v>16839</v>
      </c>
      <c r="AO207" s="359">
        <v>13004690841</v>
      </c>
      <c r="AP207" s="1628" t="s">
        <v>16840</v>
      </c>
      <c r="AQ207" s="368" t="s">
        <v>16841</v>
      </c>
      <c r="AR207" s="369" t="s">
        <v>16842</v>
      </c>
      <c r="AS207" s="380" t="s">
        <v>14482</v>
      </c>
      <c r="AT207" s="385">
        <v>3.5</v>
      </c>
      <c r="AU207" s="386">
        <v>15525000</v>
      </c>
      <c r="AV207" s="386">
        <v>16068375</v>
      </c>
      <c r="AW207" s="390">
        <v>543374.999999996</v>
      </c>
    </row>
    <row r="208" ht="14.1" customHeight="1" spans="1:49">
      <c r="A208" s="1624" t="s">
        <v>346</v>
      </c>
      <c r="B208" s="1626" t="s">
        <v>16843</v>
      </c>
      <c r="C208" s="278" t="s">
        <v>16844</v>
      </c>
      <c r="D208" s="279" t="s">
        <v>16845</v>
      </c>
      <c r="E208" s="290">
        <v>26</v>
      </c>
      <c r="F208" s="291"/>
      <c r="G208" s="292" t="s">
        <v>125</v>
      </c>
      <c r="H208" s="293" t="s">
        <v>254</v>
      </c>
      <c r="I208" s="293" t="s">
        <v>3528</v>
      </c>
      <c r="J208" s="306" t="s">
        <v>7940</v>
      </c>
      <c r="K208" s="305" t="s">
        <v>14442</v>
      </c>
      <c r="L208" s="303"/>
      <c r="M208" s="315">
        <v>42842</v>
      </c>
      <c r="N208" s="315">
        <v>43206</v>
      </c>
      <c r="O208" s="418">
        <v>43297</v>
      </c>
      <c r="P208" s="419" t="s">
        <v>604</v>
      </c>
      <c r="Q208" s="315"/>
      <c r="R208" s="315"/>
      <c r="S208" s="315"/>
      <c r="T208" s="315"/>
      <c r="U208" s="315"/>
      <c r="V208" s="315"/>
      <c r="W208" s="325">
        <v>62.5344611111141</v>
      </c>
      <c r="X208" s="326" t="s">
        <v>745</v>
      </c>
      <c r="Y208" s="421">
        <v>3927000</v>
      </c>
      <c r="Z208" s="335">
        <v>220000</v>
      </c>
      <c r="AA208" s="335"/>
      <c r="AB208" s="335" t="s">
        <v>583</v>
      </c>
      <c r="AC208" s="335" t="s">
        <v>583</v>
      </c>
      <c r="AD208" s="335" t="s">
        <v>583</v>
      </c>
      <c r="AE208" s="335"/>
      <c r="AF208" s="335"/>
      <c r="AG208" s="349" t="s">
        <v>48</v>
      </c>
      <c r="AH208" s="349" t="s">
        <v>14428</v>
      </c>
      <c r="AI208" s="424" t="s">
        <v>16846</v>
      </c>
      <c r="AJ208" s="306" t="s">
        <v>16847</v>
      </c>
      <c r="AK208" s="359"/>
      <c r="AL208" s="359" t="s">
        <v>16848</v>
      </c>
      <c r="AM208" s="359"/>
      <c r="AN208" s="359" t="s">
        <v>16849</v>
      </c>
      <c r="AO208" s="359" t="s">
        <v>16850</v>
      </c>
      <c r="AP208" s="1628" t="s">
        <v>16851</v>
      </c>
      <c r="AQ208" s="368" t="s">
        <v>16852</v>
      </c>
      <c r="AR208" s="369" t="s">
        <v>16853</v>
      </c>
      <c r="AS208" s="380" t="s">
        <v>14451</v>
      </c>
      <c r="AT208" s="377">
        <v>2</v>
      </c>
      <c r="AU208" s="378">
        <v>3927000</v>
      </c>
      <c r="AV208" s="378">
        <v>4005540</v>
      </c>
      <c r="AW208" s="387">
        <v>78540</v>
      </c>
    </row>
    <row r="209" ht="14.1" customHeight="1" spans="1:49">
      <c r="A209" s="1624" t="s">
        <v>494</v>
      </c>
      <c r="B209" s="277" t="s">
        <v>16854</v>
      </c>
      <c r="C209" s="278" t="s">
        <v>16855</v>
      </c>
      <c r="D209" s="279" t="s">
        <v>16856</v>
      </c>
      <c r="E209" s="290"/>
      <c r="F209" s="291"/>
      <c r="G209" s="292" t="s">
        <v>43</v>
      </c>
      <c r="H209" s="293" t="s">
        <v>96</v>
      </c>
      <c r="I209" s="293" t="s">
        <v>15269</v>
      </c>
      <c r="J209" s="306" t="s">
        <v>16857</v>
      </c>
      <c r="K209" s="305" t="s">
        <v>15757</v>
      </c>
      <c r="L209" s="303"/>
      <c r="M209" s="315">
        <v>42947</v>
      </c>
      <c r="N209" s="315">
        <v>43038</v>
      </c>
      <c r="O209" s="315">
        <v>43202</v>
      </c>
      <c r="P209" s="315">
        <v>43403</v>
      </c>
      <c r="Q209" s="419" t="s">
        <v>604</v>
      </c>
      <c r="R209" s="315"/>
      <c r="S209" s="315"/>
      <c r="T209" s="315"/>
      <c r="U209" s="315"/>
      <c r="V209" s="315"/>
      <c r="W209" s="325">
        <v>168.534461111114</v>
      </c>
      <c r="X209" s="326" t="s">
        <v>745</v>
      </c>
      <c r="Y209" s="422">
        <v>5200000</v>
      </c>
      <c r="Z209" s="342">
        <v>15000</v>
      </c>
      <c r="AA209" s="335">
        <v>750000</v>
      </c>
      <c r="AB209" s="335">
        <v>315000</v>
      </c>
      <c r="AC209" s="342"/>
      <c r="AD209" s="335">
        <v>1650000</v>
      </c>
      <c r="AE209" s="335"/>
      <c r="AF209" s="335"/>
      <c r="AG209" s="349" t="s">
        <v>4669</v>
      </c>
      <c r="AH209" s="349">
        <v>400</v>
      </c>
      <c r="AI209" s="425" t="s">
        <v>14562</v>
      </c>
      <c r="AJ209" s="306" t="s">
        <v>16858</v>
      </c>
      <c r="AK209" s="359" t="s">
        <v>16859</v>
      </c>
      <c r="AL209" s="359" t="s">
        <v>16860</v>
      </c>
      <c r="AM209" s="359" t="s">
        <v>16861</v>
      </c>
      <c r="AN209" s="359" t="s">
        <v>16862</v>
      </c>
      <c r="AO209" s="359" t="s">
        <v>16863</v>
      </c>
      <c r="AP209" s="359" t="s">
        <v>16864</v>
      </c>
      <c r="AQ209" s="374" t="s">
        <v>16865</v>
      </c>
      <c r="AR209" s="369" t="s">
        <v>16866</v>
      </c>
      <c r="AS209" s="380" t="s">
        <v>16511</v>
      </c>
      <c r="AT209" s="377">
        <v>4</v>
      </c>
      <c r="AU209" s="378">
        <v>5200000</v>
      </c>
      <c r="AV209" s="378"/>
      <c r="AW209" s="261"/>
    </row>
    <row r="210" ht="14.1" customHeight="1" spans="1:49">
      <c r="A210" s="1624" t="s">
        <v>579</v>
      </c>
      <c r="B210" s="277" t="s">
        <v>16867</v>
      </c>
      <c r="C210" s="278" t="s">
        <v>16868</v>
      </c>
      <c r="D210" s="279" t="s">
        <v>16869</v>
      </c>
      <c r="E210" s="290"/>
      <c r="F210" s="291" t="s">
        <v>16105</v>
      </c>
      <c r="G210" s="292" t="s">
        <v>43</v>
      </c>
      <c r="H210" s="293" t="s">
        <v>404</v>
      </c>
      <c r="I210" s="293" t="s">
        <v>2832</v>
      </c>
      <c r="J210" s="306" t="s">
        <v>16870</v>
      </c>
      <c r="K210" s="304" t="s">
        <v>16576</v>
      </c>
      <c r="L210" s="400"/>
      <c r="M210" s="315">
        <v>42979</v>
      </c>
      <c r="N210" s="315">
        <v>43069</v>
      </c>
      <c r="O210" s="315">
        <v>43202</v>
      </c>
      <c r="P210" s="315">
        <v>43434</v>
      </c>
      <c r="Q210" s="419" t="s">
        <v>604</v>
      </c>
      <c r="R210" s="315"/>
      <c r="S210" s="315"/>
      <c r="T210" s="315"/>
      <c r="U210" s="315"/>
      <c r="V210" s="315"/>
      <c r="W210" s="325">
        <v>199.534461111114</v>
      </c>
      <c r="X210" s="326" t="s">
        <v>745</v>
      </c>
      <c r="Y210" s="422">
        <v>6727500</v>
      </c>
      <c r="Z210" s="342">
        <v>15000</v>
      </c>
      <c r="AA210" s="335">
        <v>750000</v>
      </c>
      <c r="AB210" s="335">
        <v>315000</v>
      </c>
      <c r="AC210" s="342"/>
      <c r="AD210" s="335">
        <v>1650000</v>
      </c>
      <c r="AE210" s="335"/>
      <c r="AF210" s="335"/>
      <c r="AG210" s="349" t="s">
        <v>112</v>
      </c>
      <c r="AH210" s="349">
        <v>400</v>
      </c>
      <c r="AI210" s="424" t="s">
        <v>16871</v>
      </c>
      <c r="AJ210" s="306" t="s">
        <v>16872</v>
      </c>
      <c r="AK210" s="359" t="s">
        <v>16873</v>
      </c>
      <c r="AL210" s="359" t="s">
        <v>16874</v>
      </c>
      <c r="AM210" s="359" t="s">
        <v>16875</v>
      </c>
      <c r="AN210" s="359" t="s">
        <v>16876</v>
      </c>
      <c r="AO210" s="359"/>
      <c r="AP210" s="359" t="s">
        <v>16877</v>
      </c>
      <c r="AQ210" s="374" t="s">
        <v>16878</v>
      </c>
      <c r="AR210" s="369" t="s">
        <v>16866</v>
      </c>
      <c r="AS210" s="380" t="s">
        <v>16237</v>
      </c>
      <c r="AT210" s="377">
        <v>3.5</v>
      </c>
      <c r="AU210" s="378">
        <v>6727500</v>
      </c>
      <c r="AV210" s="378">
        <v>6962962.5</v>
      </c>
      <c r="AW210" s="387">
        <v>235462.499999998</v>
      </c>
    </row>
    <row r="211" ht="14.1" customHeight="1" spans="1:49">
      <c r="A211" s="1624" t="s">
        <v>598</v>
      </c>
      <c r="B211" s="277" t="s">
        <v>16879</v>
      </c>
      <c r="C211" s="278" t="s">
        <v>16880</v>
      </c>
      <c r="D211" s="279" t="s">
        <v>16881</v>
      </c>
      <c r="E211" s="290"/>
      <c r="F211" s="291" t="s">
        <v>1110</v>
      </c>
      <c r="G211" s="292" t="s">
        <v>43</v>
      </c>
      <c r="H211" s="293" t="s">
        <v>44</v>
      </c>
      <c r="I211" s="293" t="s">
        <v>3528</v>
      </c>
      <c r="J211" s="306" t="s">
        <v>16882</v>
      </c>
      <c r="K211" s="305" t="s">
        <v>16356</v>
      </c>
      <c r="L211" s="303"/>
      <c r="M211" s="315">
        <v>42961</v>
      </c>
      <c r="N211" s="315">
        <v>43325</v>
      </c>
      <c r="O211" s="313" t="s">
        <v>604</v>
      </c>
      <c r="P211" s="315"/>
      <c r="Q211" s="315"/>
      <c r="R211" s="315"/>
      <c r="S211" s="315"/>
      <c r="T211" s="315"/>
      <c r="U211" s="315"/>
      <c r="V211" s="315"/>
      <c r="W211" s="325">
        <v>90.5344611111141</v>
      </c>
      <c r="X211" s="326" t="s">
        <v>745</v>
      </c>
      <c r="Y211" s="342">
        <v>5175000</v>
      </c>
      <c r="Z211" s="342">
        <v>220000</v>
      </c>
      <c r="AA211" s="335">
        <v>750000</v>
      </c>
      <c r="AB211" s="335"/>
      <c r="AC211" s="342"/>
      <c r="AD211" s="335"/>
      <c r="AE211" s="335"/>
      <c r="AF211" s="335"/>
      <c r="AG211" s="349" t="s">
        <v>0</v>
      </c>
      <c r="AH211" s="349">
        <v>400</v>
      </c>
      <c r="AI211" s="424" t="s">
        <v>16883</v>
      </c>
      <c r="AJ211" s="306" t="s">
        <v>16884</v>
      </c>
      <c r="AK211" s="359" t="s">
        <v>16885</v>
      </c>
      <c r="AL211" s="359" t="s">
        <v>16886</v>
      </c>
      <c r="AM211" s="359" t="s">
        <v>16887</v>
      </c>
      <c r="AN211" s="359" t="s">
        <v>16888</v>
      </c>
      <c r="AO211" s="1628" t="s">
        <v>16889</v>
      </c>
      <c r="AP211" s="1628" t="s">
        <v>16890</v>
      </c>
      <c r="AQ211" s="374" t="s">
        <v>16891</v>
      </c>
      <c r="AR211" s="375" t="s">
        <v>16866</v>
      </c>
      <c r="AS211" s="380" t="s">
        <v>16261</v>
      </c>
      <c r="AT211" s="377">
        <v>3.5</v>
      </c>
      <c r="AU211" s="378">
        <v>5175000</v>
      </c>
      <c r="AV211" s="378">
        <v>5356125</v>
      </c>
      <c r="AW211" s="387">
        <v>181125</v>
      </c>
    </row>
    <row r="212" ht="14.1" customHeight="1" spans="1:49">
      <c r="A212" s="1624" t="s">
        <v>680</v>
      </c>
      <c r="B212" s="32" t="s">
        <v>16892</v>
      </c>
      <c r="C212" s="278" t="s">
        <v>16893</v>
      </c>
      <c r="D212" s="279" t="s">
        <v>16894</v>
      </c>
      <c r="E212" s="290"/>
      <c r="F212" s="291" t="s">
        <v>1110</v>
      </c>
      <c r="G212" s="292" t="s">
        <v>43</v>
      </c>
      <c r="H212" s="293" t="s">
        <v>254</v>
      </c>
      <c r="I212" s="293" t="s">
        <v>7558</v>
      </c>
      <c r="J212" s="306" t="s">
        <v>16895</v>
      </c>
      <c r="K212" s="305" t="s">
        <v>16896</v>
      </c>
      <c r="L212" s="303"/>
      <c r="M212" s="315">
        <v>43019</v>
      </c>
      <c r="N212" s="315">
        <v>43200</v>
      </c>
      <c r="O212" s="420">
        <v>43565</v>
      </c>
      <c r="P212" s="315"/>
      <c r="Q212" s="315"/>
      <c r="R212" s="315"/>
      <c r="S212" s="315"/>
      <c r="T212" s="315"/>
      <c r="U212" s="315"/>
      <c r="V212" s="315"/>
      <c r="W212" s="325">
        <v>-34.4655388888859</v>
      </c>
      <c r="X212" s="326" t="s">
        <v>2569</v>
      </c>
      <c r="Y212" s="342">
        <v>8000000</v>
      </c>
      <c r="Z212" s="342">
        <v>20000</v>
      </c>
      <c r="AA212" s="335">
        <v>1300000</v>
      </c>
      <c r="AB212" s="335">
        <v>150000</v>
      </c>
      <c r="AC212" s="335">
        <v>1500000</v>
      </c>
      <c r="AD212" s="423"/>
      <c r="AE212" s="335"/>
      <c r="AF212" s="335"/>
      <c r="AG212" s="349" t="s">
        <v>113</v>
      </c>
      <c r="AH212" s="349">
        <v>750</v>
      </c>
      <c r="AI212" s="349"/>
      <c r="AJ212" s="306" t="s">
        <v>16897</v>
      </c>
      <c r="AK212" s="359" t="s">
        <v>16898</v>
      </c>
      <c r="AL212" s="359" t="s">
        <v>16899</v>
      </c>
      <c r="AM212" s="359" t="s">
        <v>16900</v>
      </c>
      <c r="AN212" s="359" t="s">
        <v>16901</v>
      </c>
      <c r="AO212" s="1628" t="s">
        <v>16902</v>
      </c>
      <c r="AP212" s="1628" t="s">
        <v>16903</v>
      </c>
      <c r="AQ212" s="374" t="s">
        <v>16904</v>
      </c>
      <c r="AR212" s="369" t="s">
        <v>16905</v>
      </c>
      <c r="AS212" s="380" t="s">
        <v>15181</v>
      </c>
      <c r="AT212" s="377" t="e">
        <v>#N/A</v>
      </c>
      <c r="AU212" s="378" t="e">
        <v>#N/A</v>
      </c>
      <c r="AV212" s="378"/>
      <c r="AW212" s="261"/>
    </row>
    <row r="213" ht="14.1" customHeight="1" spans="1:49">
      <c r="A213" s="1624" t="s">
        <v>690</v>
      </c>
      <c r="B213" s="32" t="s">
        <v>16906</v>
      </c>
      <c r="C213" s="278" t="s">
        <v>16907</v>
      </c>
      <c r="D213" s="279" t="s">
        <v>16908</v>
      </c>
      <c r="E213" s="290"/>
      <c r="F213" s="291"/>
      <c r="G213" s="292" t="s">
        <v>43</v>
      </c>
      <c r="H213" s="293" t="s">
        <v>96</v>
      </c>
      <c r="I213" s="293" t="s">
        <v>1300</v>
      </c>
      <c r="J213" s="306" t="s">
        <v>16895</v>
      </c>
      <c r="K213" s="305" t="s">
        <v>16896</v>
      </c>
      <c r="L213" s="303"/>
      <c r="M213" s="315">
        <v>43019</v>
      </c>
      <c r="N213" s="315">
        <v>43200</v>
      </c>
      <c r="O213" s="420">
        <v>43565</v>
      </c>
      <c r="P213" s="315"/>
      <c r="Q213" s="315"/>
      <c r="R213" s="315"/>
      <c r="S213" s="315"/>
      <c r="T213" s="315"/>
      <c r="U213" s="315"/>
      <c r="V213" s="315"/>
      <c r="W213" s="325">
        <v>-34.4655388888859</v>
      </c>
      <c r="X213" s="326" t="s">
        <v>2569</v>
      </c>
      <c r="Y213" s="342">
        <v>8000000</v>
      </c>
      <c r="Z213" s="342">
        <v>20000</v>
      </c>
      <c r="AA213" s="335">
        <v>1300000</v>
      </c>
      <c r="AB213" s="335">
        <v>150000</v>
      </c>
      <c r="AC213" s="335">
        <v>1500000</v>
      </c>
      <c r="AD213" s="423"/>
      <c r="AE213" s="335"/>
      <c r="AF213" s="335"/>
      <c r="AG213" s="349" t="s">
        <v>113</v>
      </c>
      <c r="AH213" s="349">
        <v>750</v>
      </c>
      <c r="AI213" s="349"/>
      <c r="AJ213" s="306" t="s">
        <v>16909</v>
      </c>
      <c r="AK213" s="359"/>
      <c r="AL213" s="359" t="s">
        <v>16910</v>
      </c>
      <c r="AM213" s="359" t="s">
        <v>16911</v>
      </c>
      <c r="AN213" s="359" t="s">
        <v>16912</v>
      </c>
      <c r="AO213" s="1628" t="s">
        <v>16913</v>
      </c>
      <c r="AP213" s="359"/>
      <c r="AQ213" s="374" t="s">
        <v>16914</v>
      </c>
      <c r="AR213" s="369" t="s">
        <v>16905</v>
      </c>
      <c r="AS213" s="380" t="s">
        <v>15181</v>
      </c>
      <c r="AT213" s="377" t="e">
        <v>#N/A</v>
      </c>
      <c r="AU213" s="378" t="e">
        <v>#N/A</v>
      </c>
      <c r="AV213" s="378"/>
      <c r="AW213" s="261"/>
    </row>
    <row r="214" ht="14.1" customHeight="1" spans="1:49">
      <c r="A214" s="1624" t="s">
        <v>699</v>
      </c>
      <c r="B214" s="32" t="s">
        <v>16915</v>
      </c>
      <c r="C214" s="278" t="s">
        <v>16916</v>
      </c>
      <c r="D214" s="279" t="s">
        <v>16917</v>
      </c>
      <c r="E214" s="290"/>
      <c r="F214" s="291" t="s">
        <v>16918</v>
      </c>
      <c r="G214" s="292" t="s">
        <v>43</v>
      </c>
      <c r="H214" s="293" t="s">
        <v>254</v>
      </c>
      <c r="I214" s="293" t="s">
        <v>3528</v>
      </c>
      <c r="J214" s="306" t="s">
        <v>16895</v>
      </c>
      <c r="K214" s="305" t="s">
        <v>16896</v>
      </c>
      <c r="L214" s="303"/>
      <c r="M214" s="315">
        <v>43019</v>
      </c>
      <c r="N214" s="315">
        <v>43200</v>
      </c>
      <c r="O214" s="420">
        <v>43565</v>
      </c>
      <c r="P214" s="315"/>
      <c r="Q214" s="315"/>
      <c r="R214" s="315"/>
      <c r="S214" s="315"/>
      <c r="T214" s="315"/>
      <c r="U214" s="315"/>
      <c r="V214" s="315"/>
      <c r="W214" s="325">
        <v>-34.4655388888859</v>
      </c>
      <c r="X214" s="326" t="s">
        <v>2569</v>
      </c>
      <c r="Y214" s="342">
        <v>8000000</v>
      </c>
      <c r="Z214" s="342">
        <v>20000</v>
      </c>
      <c r="AA214" s="335">
        <v>1300000</v>
      </c>
      <c r="AB214" s="335">
        <v>150000</v>
      </c>
      <c r="AC214" s="335">
        <v>1500000</v>
      </c>
      <c r="AD214" s="423"/>
      <c r="AE214" s="335"/>
      <c r="AF214" s="335"/>
      <c r="AG214" s="349" t="s">
        <v>113</v>
      </c>
      <c r="AH214" s="349">
        <v>750</v>
      </c>
      <c r="AI214" s="349"/>
      <c r="AJ214" s="306" t="s">
        <v>16919</v>
      </c>
      <c r="AK214" s="359" t="s">
        <v>16920</v>
      </c>
      <c r="AL214" s="359" t="s">
        <v>16921</v>
      </c>
      <c r="AM214" s="359" t="s">
        <v>16922</v>
      </c>
      <c r="AN214" s="359" t="s">
        <v>16923</v>
      </c>
      <c r="AO214" s="1628" t="s">
        <v>16924</v>
      </c>
      <c r="AP214" s="1628" t="s">
        <v>16925</v>
      </c>
      <c r="AQ214" s="374" t="s">
        <v>16926</v>
      </c>
      <c r="AR214" s="369" t="s">
        <v>16905</v>
      </c>
      <c r="AS214" s="380" t="s">
        <v>15181</v>
      </c>
      <c r="AT214" s="377" t="e">
        <v>#N/A</v>
      </c>
      <c r="AU214" s="378" t="e">
        <v>#N/A</v>
      </c>
      <c r="AV214" s="378"/>
      <c r="AW214" s="261"/>
    </row>
    <row r="215" ht="14.1" customHeight="1" spans="1:49">
      <c r="A215" s="1624" t="s">
        <v>709</v>
      </c>
      <c r="B215" s="32" t="s">
        <v>16927</v>
      </c>
      <c r="C215" s="278" t="s">
        <v>16928</v>
      </c>
      <c r="D215" s="279" t="s">
        <v>16929</v>
      </c>
      <c r="E215" s="290"/>
      <c r="F215" s="291"/>
      <c r="G215" s="292" t="s">
        <v>43</v>
      </c>
      <c r="H215" s="293" t="s">
        <v>60</v>
      </c>
      <c r="I215" s="293" t="s">
        <v>3528</v>
      </c>
      <c r="J215" s="306" t="s">
        <v>16895</v>
      </c>
      <c r="K215" s="305" t="s">
        <v>16896</v>
      </c>
      <c r="L215" s="303"/>
      <c r="M215" s="315">
        <v>43019</v>
      </c>
      <c r="N215" s="315">
        <v>43200</v>
      </c>
      <c r="O215" s="420">
        <v>43565</v>
      </c>
      <c r="P215" s="315"/>
      <c r="Q215" s="315"/>
      <c r="R215" s="315"/>
      <c r="S215" s="315"/>
      <c r="T215" s="315"/>
      <c r="U215" s="315"/>
      <c r="V215" s="315"/>
      <c r="W215" s="325">
        <v>-34.4655388888859</v>
      </c>
      <c r="X215" s="326" t="s">
        <v>2569</v>
      </c>
      <c r="Y215" s="342">
        <v>8000000</v>
      </c>
      <c r="Z215" s="342">
        <v>20000</v>
      </c>
      <c r="AA215" s="335">
        <v>1300000</v>
      </c>
      <c r="AB215" s="335">
        <v>150000</v>
      </c>
      <c r="AC215" s="335">
        <v>1500000</v>
      </c>
      <c r="AD215" s="423"/>
      <c r="AE215" s="335"/>
      <c r="AF215" s="335"/>
      <c r="AG215" s="349" t="s">
        <v>113</v>
      </c>
      <c r="AH215" s="349">
        <v>750</v>
      </c>
      <c r="AI215" s="349"/>
      <c r="AJ215" s="306" t="s">
        <v>16930</v>
      </c>
      <c r="AK215" s="359" t="s">
        <v>16931</v>
      </c>
      <c r="AL215" s="359" t="s">
        <v>16932</v>
      </c>
      <c r="AM215" s="359" t="s">
        <v>16933</v>
      </c>
      <c r="AN215" s="359" t="s">
        <v>16934</v>
      </c>
      <c r="AO215" s="1628" t="s">
        <v>16935</v>
      </c>
      <c r="AP215" s="359"/>
      <c r="AQ215" s="374" t="s">
        <v>16936</v>
      </c>
      <c r="AR215" s="369" t="s">
        <v>16905</v>
      </c>
      <c r="AS215" s="380" t="s">
        <v>15181</v>
      </c>
      <c r="AT215" s="377" t="e">
        <v>#N/A</v>
      </c>
      <c r="AU215" s="378" t="e">
        <v>#N/A</v>
      </c>
      <c r="AV215" s="378"/>
      <c r="AW215" s="261"/>
    </row>
    <row r="216" ht="14.1" customHeight="1" spans="1:49">
      <c r="A216" s="1624" t="s">
        <v>718</v>
      </c>
      <c r="B216" s="32" t="s">
        <v>16937</v>
      </c>
      <c r="C216" s="278" t="s">
        <v>16938</v>
      </c>
      <c r="D216" s="279" t="s">
        <v>16939</v>
      </c>
      <c r="E216" s="290"/>
      <c r="F216" s="291" t="s">
        <v>16940</v>
      </c>
      <c r="G216" s="292" t="s">
        <v>43</v>
      </c>
      <c r="H216" s="293" t="s">
        <v>404</v>
      </c>
      <c r="I216" s="293" t="s">
        <v>3089</v>
      </c>
      <c r="J216" s="306" t="s">
        <v>16895</v>
      </c>
      <c r="K216" s="305" t="s">
        <v>16896</v>
      </c>
      <c r="L216" s="303"/>
      <c r="M216" s="315">
        <v>43019</v>
      </c>
      <c r="N216" s="315">
        <v>43200</v>
      </c>
      <c r="O216" s="420">
        <v>43565</v>
      </c>
      <c r="P216" s="315"/>
      <c r="Q216" s="315"/>
      <c r="R216" s="315"/>
      <c r="S216" s="315"/>
      <c r="T216" s="315"/>
      <c r="U216" s="315"/>
      <c r="V216" s="315"/>
      <c r="W216" s="325">
        <v>-34.4655388888859</v>
      </c>
      <c r="X216" s="326" t="s">
        <v>2569</v>
      </c>
      <c r="Y216" s="342">
        <v>8000000</v>
      </c>
      <c r="Z216" s="342">
        <v>20000</v>
      </c>
      <c r="AA216" s="335">
        <v>1300000</v>
      </c>
      <c r="AB216" s="335">
        <v>150000</v>
      </c>
      <c r="AC216" s="335">
        <v>1500000</v>
      </c>
      <c r="AD216" s="423"/>
      <c r="AE216" s="335"/>
      <c r="AF216" s="335"/>
      <c r="AG216" s="349" t="s">
        <v>113</v>
      </c>
      <c r="AH216" s="349">
        <v>750</v>
      </c>
      <c r="AI216" s="349"/>
      <c r="AJ216" s="306" t="s">
        <v>16941</v>
      </c>
      <c r="AK216" s="359" t="s">
        <v>16942</v>
      </c>
      <c r="AL216" s="359" t="s">
        <v>16943</v>
      </c>
      <c r="AM216" s="359" t="s">
        <v>16944</v>
      </c>
      <c r="AN216" s="359" t="s">
        <v>16945</v>
      </c>
      <c r="AO216" s="359"/>
      <c r="AP216" s="1628" t="s">
        <v>16946</v>
      </c>
      <c r="AQ216" s="374" t="s">
        <v>16947</v>
      </c>
      <c r="AR216" s="369" t="s">
        <v>16905</v>
      </c>
      <c r="AS216" s="380" t="s">
        <v>15181</v>
      </c>
      <c r="AT216" s="377" t="e">
        <v>#N/A</v>
      </c>
      <c r="AU216" s="378" t="e">
        <v>#N/A</v>
      </c>
      <c r="AV216" s="378"/>
      <c r="AW216" s="261"/>
    </row>
    <row r="217" ht="14.1" customHeight="1" spans="1:49">
      <c r="A217" s="1624" t="s">
        <v>730</v>
      </c>
      <c r="B217" s="32" t="s">
        <v>16948</v>
      </c>
      <c r="C217" s="278" t="s">
        <v>16949</v>
      </c>
      <c r="D217" s="279" t="s">
        <v>16950</v>
      </c>
      <c r="E217" s="290"/>
      <c r="F217" s="291"/>
      <c r="G217" s="292" t="s">
        <v>43</v>
      </c>
      <c r="H217" s="293" t="s">
        <v>254</v>
      </c>
      <c r="I217" s="293" t="s">
        <v>3528</v>
      </c>
      <c r="J217" s="306" t="s">
        <v>16895</v>
      </c>
      <c r="K217" s="305" t="s">
        <v>16896</v>
      </c>
      <c r="L217" s="303"/>
      <c r="M217" s="315">
        <v>43019</v>
      </c>
      <c r="N217" s="315">
        <v>43200</v>
      </c>
      <c r="O217" s="420">
        <v>43565</v>
      </c>
      <c r="P217" s="315"/>
      <c r="Q217" s="315"/>
      <c r="R217" s="315"/>
      <c r="S217" s="315"/>
      <c r="T217" s="315"/>
      <c r="U217" s="315"/>
      <c r="V217" s="315"/>
      <c r="W217" s="325">
        <v>-34.4655388888859</v>
      </c>
      <c r="X217" s="326" t="s">
        <v>2569</v>
      </c>
      <c r="Y217" s="342">
        <v>8000000</v>
      </c>
      <c r="Z217" s="342">
        <v>20000</v>
      </c>
      <c r="AA217" s="335">
        <v>1300000</v>
      </c>
      <c r="AB217" s="335">
        <v>150000</v>
      </c>
      <c r="AC217" s="335">
        <v>1500000</v>
      </c>
      <c r="AD217" s="423"/>
      <c r="AE217" s="335"/>
      <c r="AF217" s="335"/>
      <c r="AG217" s="349" t="s">
        <v>113</v>
      </c>
      <c r="AH217" s="349">
        <v>750</v>
      </c>
      <c r="AI217" s="349"/>
      <c r="AJ217" s="306" t="s">
        <v>16951</v>
      </c>
      <c r="AK217" s="359" t="s">
        <v>16952</v>
      </c>
      <c r="AL217" s="359" t="s">
        <v>16953</v>
      </c>
      <c r="AM217" s="359" t="s">
        <v>16954</v>
      </c>
      <c r="AN217" s="359" t="s">
        <v>16955</v>
      </c>
      <c r="AO217" s="1628" t="s">
        <v>16956</v>
      </c>
      <c r="AP217" s="1628" t="s">
        <v>16957</v>
      </c>
      <c r="AQ217" s="374" t="s">
        <v>16958</v>
      </c>
      <c r="AR217" s="369" t="s">
        <v>16905</v>
      </c>
      <c r="AS217" s="380" t="s">
        <v>15181</v>
      </c>
      <c r="AT217" s="377" t="e">
        <v>#N/A</v>
      </c>
      <c r="AU217" s="378" t="e">
        <v>#N/A</v>
      </c>
      <c r="AV217" s="378"/>
      <c r="AW217" s="261"/>
    </row>
    <row r="218" ht="14.1" customHeight="1" spans="1:49">
      <c r="A218" s="1624" t="s">
        <v>766</v>
      </c>
      <c r="B218" s="32" t="s">
        <v>15505</v>
      </c>
      <c r="C218" s="278" t="s">
        <v>15506</v>
      </c>
      <c r="D218" s="279" t="s">
        <v>15507</v>
      </c>
      <c r="E218" s="290"/>
      <c r="F218" s="291"/>
      <c r="G218" s="292" t="s">
        <v>125</v>
      </c>
      <c r="H218" s="293" t="s">
        <v>44</v>
      </c>
      <c r="I218" s="293" t="s">
        <v>3528</v>
      </c>
      <c r="J218" s="306" t="s">
        <v>16959</v>
      </c>
      <c r="K218" s="301" t="s">
        <v>15509</v>
      </c>
      <c r="L218" s="303"/>
      <c r="M218" s="315">
        <v>43059</v>
      </c>
      <c r="N218" s="315">
        <v>43202</v>
      </c>
      <c r="O218" s="418">
        <v>43209</v>
      </c>
      <c r="P218" s="315"/>
      <c r="Q218" s="315"/>
      <c r="R218" s="315"/>
      <c r="S218" s="315"/>
      <c r="T218" s="315"/>
      <c r="U218" s="315"/>
      <c r="V218" s="315"/>
      <c r="W218" s="325">
        <v>-25.4655388888859</v>
      </c>
      <c r="X218" s="326" t="s">
        <v>2569</v>
      </c>
      <c r="Y218" s="342">
        <v>100000</v>
      </c>
      <c r="Z218" s="342"/>
      <c r="AA218" s="335"/>
      <c r="AB218" s="335"/>
      <c r="AC218" s="342"/>
      <c r="AD218" s="335"/>
      <c r="AE218" s="335"/>
      <c r="AF218" s="335"/>
      <c r="AG218" s="349" t="s">
        <v>112</v>
      </c>
      <c r="AH218" s="349" t="s">
        <v>112</v>
      </c>
      <c r="AI218" s="349"/>
      <c r="AJ218" s="306" t="s">
        <v>15510</v>
      </c>
      <c r="AK218" s="359" t="s">
        <v>16960</v>
      </c>
      <c r="AL218" s="359" t="s">
        <v>15512</v>
      </c>
      <c r="AM218" s="359"/>
      <c r="AN218" s="359" t="s">
        <v>15513</v>
      </c>
      <c r="AO218" s="359"/>
      <c r="AP218" s="359"/>
      <c r="AQ218" s="374" t="s">
        <v>15514</v>
      </c>
      <c r="AR218" s="375" t="s">
        <v>16961</v>
      </c>
      <c r="AS218" s="380" t="s">
        <v>15515</v>
      </c>
      <c r="AT218" s="377" t="e">
        <v>#N/A</v>
      </c>
      <c r="AU218" s="378" t="e">
        <v>#N/A</v>
      </c>
      <c r="AV218" s="378"/>
      <c r="AW218" s="261"/>
    </row>
    <row r="219" ht="14.1" customHeight="1" spans="1:49">
      <c r="A219" s="1624" t="s">
        <v>798</v>
      </c>
      <c r="B219" s="1626" t="s">
        <v>16962</v>
      </c>
      <c r="C219" s="278" t="s">
        <v>16963</v>
      </c>
      <c r="D219" s="279" t="s">
        <v>16964</v>
      </c>
      <c r="E219" s="290"/>
      <c r="F219" s="291" t="s">
        <v>16965</v>
      </c>
      <c r="G219" s="292" t="s">
        <v>43</v>
      </c>
      <c r="H219" s="293" t="s">
        <v>44</v>
      </c>
      <c r="I219" s="293" t="s">
        <v>3528</v>
      </c>
      <c r="J219" s="306" t="s">
        <v>16966</v>
      </c>
      <c r="K219" s="301" t="s">
        <v>16967</v>
      </c>
      <c r="L219" s="303"/>
      <c r="M219" s="315">
        <v>43080</v>
      </c>
      <c r="N219" s="315">
        <v>43202</v>
      </c>
      <c r="O219" s="418">
        <v>43261</v>
      </c>
      <c r="P219" s="315"/>
      <c r="Q219" s="315"/>
      <c r="R219" s="315"/>
      <c r="S219" s="315"/>
      <c r="T219" s="315"/>
      <c r="U219" s="315"/>
      <c r="V219" s="315"/>
      <c r="W219" s="325">
        <v>26.5344611111141</v>
      </c>
      <c r="X219" s="326" t="s">
        <v>2569</v>
      </c>
      <c r="Y219" s="335">
        <v>3000000</v>
      </c>
      <c r="Z219" s="335">
        <v>20000</v>
      </c>
      <c r="AA219" s="335">
        <v>750000</v>
      </c>
      <c r="AB219" s="335">
        <v>315000</v>
      </c>
      <c r="AC219" s="342"/>
      <c r="AD219" s="335">
        <v>1650000</v>
      </c>
      <c r="AE219" s="342"/>
      <c r="AF219" s="335"/>
      <c r="AG219" s="349" t="s">
        <v>112</v>
      </c>
      <c r="AH219" s="349">
        <v>400</v>
      </c>
      <c r="AI219" s="349"/>
      <c r="AJ219" s="306" t="s">
        <v>16968</v>
      </c>
      <c r="AK219" s="1628" t="s">
        <v>16969</v>
      </c>
      <c r="AL219" s="359" t="s">
        <v>16970</v>
      </c>
      <c r="AM219" s="359" t="s">
        <v>16971</v>
      </c>
      <c r="AN219" s="359" t="s">
        <v>16972</v>
      </c>
      <c r="AO219" s="359"/>
      <c r="AP219" s="1628" t="s">
        <v>16973</v>
      </c>
      <c r="AQ219" s="374" t="s">
        <v>16974</v>
      </c>
      <c r="AR219" s="369" t="s">
        <v>16866</v>
      </c>
      <c r="AS219" s="380" t="s">
        <v>16261</v>
      </c>
      <c r="AT219" s="377" t="e">
        <v>#N/A</v>
      </c>
      <c r="AU219" s="378" t="e">
        <v>#N/A</v>
      </c>
      <c r="AV219" s="378"/>
      <c r="AW219" s="261"/>
    </row>
    <row r="220" ht="14.1" customHeight="1" spans="1:49">
      <c r="A220" s="1624" t="s">
        <v>816</v>
      </c>
      <c r="B220" s="1626" t="s">
        <v>16975</v>
      </c>
      <c r="C220" s="278" t="s">
        <v>16976</v>
      </c>
      <c r="D220" s="279" t="s">
        <v>16977</v>
      </c>
      <c r="E220" s="290"/>
      <c r="F220" s="291"/>
      <c r="G220" s="292" t="s">
        <v>43</v>
      </c>
      <c r="H220" s="293" t="s">
        <v>254</v>
      </c>
      <c r="I220" s="293" t="s">
        <v>15917</v>
      </c>
      <c r="J220" s="306" t="s">
        <v>16978</v>
      </c>
      <c r="K220" s="301" t="s">
        <v>16979</v>
      </c>
      <c r="L220" s="303"/>
      <c r="M220" s="315">
        <v>43080</v>
      </c>
      <c r="N220" s="315">
        <v>43202</v>
      </c>
      <c r="O220" s="315"/>
      <c r="P220" s="315"/>
      <c r="Q220" s="315"/>
      <c r="R220" s="315"/>
      <c r="S220" s="315"/>
      <c r="T220" s="315"/>
      <c r="U220" s="315"/>
      <c r="V220" s="315"/>
      <c r="W220" s="325">
        <v>-32.4655388888859</v>
      </c>
      <c r="X220" s="326" t="s">
        <v>2569</v>
      </c>
      <c r="Y220" s="335">
        <v>4000000</v>
      </c>
      <c r="Z220" s="335">
        <v>15000</v>
      </c>
      <c r="AA220" s="335">
        <v>750000</v>
      </c>
      <c r="AB220" s="335">
        <v>315000</v>
      </c>
      <c r="AC220" s="342"/>
      <c r="AD220" s="335">
        <v>1650000</v>
      </c>
      <c r="AE220" s="342"/>
      <c r="AF220" s="335"/>
      <c r="AG220" s="349" t="s">
        <v>112</v>
      </c>
      <c r="AH220" s="349">
        <v>400</v>
      </c>
      <c r="AI220" s="349"/>
      <c r="AJ220" s="306" t="s">
        <v>16980</v>
      </c>
      <c r="AK220" s="1628" t="s">
        <v>16981</v>
      </c>
      <c r="AL220" s="359" t="s">
        <v>16982</v>
      </c>
      <c r="AM220" s="359" t="s">
        <v>16983</v>
      </c>
      <c r="AN220" s="359" t="s">
        <v>16984</v>
      </c>
      <c r="AO220" s="359"/>
      <c r="AP220" s="1628" t="s">
        <v>16985</v>
      </c>
      <c r="AQ220" s="374" t="s">
        <v>16986</v>
      </c>
      <c r="AR220" s="369" t="s">
        <v>16987</v>
      </c>
      <c r="AS220" s="380" t="s">
        <v>9802</v>
      </c>
      <c r="AT220" s="377" t="e">
        <v>#N/A</v>
      </c>
      <c r="AU220" s="378" t="e">
        <v>#N/A</v>
      </c>
      <c r="AV220" s="378"/>
      <c r="AW220" s="261"/>
    </row>
    <row r="221" ht="14.1" customHeight="1" spans="1:49">
      <c r="A221" s="1624" t="s">
        <v>899</v>
      </c>
      <c r="B221" s="1626" t="s">
        <v>16988</v>
      </c>
      <c r="C221" s="278" t="s">
        <v>16989</v>
      </c>
      <c r="D221" s="279" t="s">
        <v>16990</v>
      </c>
      <c r="E221" s="290"/>
      <c r="F221" s="291"/>
      <c r="G221" s="292" t="s">
        <v>43</v>
      </c>
      <c r="H221" s="293" t="s">
        <v>44</v>
      </c>
      <c r="I221" s="293" t="s">
        <v>7558</v>
      </c>
      <c r="J221" s="306" t="s">
        <v>16991</v>
      </c>
      <c r="K221" s="308" t="s">
        <v>16992</v>
      </c>
      <c r="L221" s="400"/>
      <c r="M221" s="315">
        <v>43112</v>
      </c>
      <c r="N221" s="315">
        <v>43202</v>
      </c>
      <c r="O221" s="418">
        <v>43292</v>
      </c>
      <c r="P221" s="315"/>
      <c r="Q221" s="315"/>
      <c r="R221" s="315"/>
      <c r="S221" s="315"/>
      <c r="T221" s="315"/>
      <c r="U221" s="315"/>
      <c r="V221" s="315"/>
      <c r="W221" s="325">
        <v>57.5344611111141</v>
      </c>
      <c r="X221" s="326" t="s">
        <v>745</v>
      </c>
      <c r="Y221" s="335">
        <v>4200000</v>
      </c>
      <c r="Z221" s="335">
        <v>15000</v>
      </c>
      <c r="AA221" s="335">
        <v>750000</v>
      </c>
      <c r="AB221" s="335">
        <v>315000</v>
      </c>
      <c r="AC221" s="342"/>
      <c r="AD221" s="335">
        <v>1650000</v>
      </c>
      <c r="AE221" s="342"/>
      <c r="AF221" s="335"/>
      <c r="AG221" s="349" t="s">
        <v>112</v>
      </c>
      <c r="AH221" s="349">
        <v>400</v>
      </c>
      <c r="AI221" s="349"/>
      <c r="AJ221" s="306" t="s">
        <v>16993</v>
      </c>
      <c r="AK221" s="1628" t="s">
        <v>16994</v>
      </c>
      <c r="AL221" s="359" t="s">
        <v>16995</v>
      </c>
      <c r="AM221" s="359" t="s">
        <v>16996</v>
      </c>
      <c r="AN221" s="359" t="s">
        <v>16997</v>
      </c>
      <c r="AO221" s="359" t="s">
        <v>16998</v>
      </c>
      <c r="AP221" s="1628" t="s">
        <v>16999</v>
      </c>
      <c r="AQ221" s="86" t="s">
        <v>17000</v>
      </c>
      <c r="AR221" s="369" t="s">
        <v>17001</v>
      </c>
      <c r="AS221" s="380" t="s">
        <v>14969</v>
      </c>
      <c r="AT221" s="377" t="e">
        <v>#N/A</v>
      </c>
      <c r="AU221" s="378" t="e">
        <v>#N/A</v>
      </c>
      <c r="AV221" s="378"/>
      <c r="AW221" s="261"/>
    </row>
    <row r="222" ht="14.1" customHeight="1" spans="1:49">
      <c r="A222" s="1626" t="s">
        <v>926</v>
      </c>
      <c r="B222" s="1626" t="s">
        <v>17002</v>
      </c>
      <c r="C222" s="278" t="s">
        <v>17003</v>
      </c>
      <c r="D222" s="279" t="s">
        <v>17004</v>
      </c>
      <c r="E222" s="290"/>
      <c r="F222" s="291"/>
      <c r="G222" s="292" t="s">
        <v>43</v>
      </c>
      <c r="H222" s="293" t="s">
        <v>44</v>
      </c>
      <c r="I222" s="293" t="s">
        <v>3528</v>
      </c>
      <c r="J222" s="306" t="s">
        <v>15487</v>
      </c>
      <c r="K222" s="308" t="s">
        <v>17005</v>
      </c>
      <c r="L222" s="400"/>
      <c r="M222" s="315">
        <v>43132</v>
      </c>
      <c r="N222" s="315">
        <v>43202</v>
      </c>
      <c r="O222" s="418">
        <v>43220</v>
      </c>
      <c r="P222" s="315"/>
      <c r="Q222" s="315"/>
      <c r="R222" s="315"/>
      <c r="S222" s="315"/>
      <c r="T222" s="315"/>
      <c r="U222" s="315"/>
      <c r="V222" s="315"/>
      <c r="W222" s="325">
        <v>-14.4655388888859</v>
      </c>
      <c r="X222" s="326" t="s">
        <v>2569</v>
      </c>
      <c r="Y222" s="335">
        <v>100000</v>
      </c>
      <c r="Z222" s="335"/>
      <c r="AA222" s="335"/>
      <c r="AB222" s="335"/>
      <c r="AC222" s="342"/>
      <c r="AD222" s="335"/>
      <c r="AE222" s="342"/>
      <c r="AF222" s="335"/>
      <c r="AG222" s="349" t="s">
        <v>112</v>
      </c>
      <c r="AH222" s="349" t="s">
        <v>112</v>
      </c>
      <c r="AI222" s="349"/>
      <c r="AJ222" s="306" t="s">
        <v>17006</v>
      </c>
      <c r="AK222" s="1628" t="s">
        <v>17007</v>
      </c>
      <c r="AL222" s="359" t="s">
        <v>17008</v>
      </c>
      <c r="AM222" s="359"/>
      <c r="AN222" s="359" t="s">
        <v>17009</v>
      </c>
      <c r="AO222" s="359"/>
      <c r="AP222" s="1628" t="s">
        <v>17010</v>
      </c>
      <c r="AQ222" s="86" t="s">
        <v>17011</v>
      </c>
      <c r="AR222" s="369" t="s">
        <v>17012</v>
      </c>
      <c r="AS222" s="261"/>
      <c r="AT222" s="385" t="e">
        <v>#N/A</v>
      </c>
      <c r="AU222" s="386" t="e">
        <v>#N/A</v>
      </c>
      <c r="AV222" s="386"/>
      <c r="AW222" s="261"/>
    </row>
  </sheetData>
  <autoFilter ref="A5:AX93"/>
  <mergeCells count="36">
    <mergeCell ref="M4:N4"/>
    <mergeCell ref="O4:R4"/>
    <mergeCell ref="S4:T4"/>
    <mergeCell ref="A4:A5"/>
    <mergeCell ref="B4:B5"/>
    <mergeCell ref="C4:C5"/>
    <mergeCell ref="D4:D5"/>
    <mergeCell ref="F4:F5"/>
    <mergeCell ref="G4:G5"/>
    <mergeCell ref="H4:H5"/>
    <mergeCell ref="I4:I5"/>
    <mergeCell ref="J4:J5"/>
    <mergeCell ref="K4:K5"/>
    <mergeCell ref="L4:L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4:AM5"/>
    <mergeCell ref="AN4:AN5"/>
    <mergeCell ref="AO4:AO5"/>
    <mergeCell ref="AP4:AP5"/>
    <mergeCell ref="AQ4:AQ5"/>
    <mergeCell ref="AR4:AR5"/>
  </mergeCells>
  <hyperlinks>
    <hyperlink ref="AQ39" location="" display="irmasuryani494@yahoo.com, irma.s@partner.samsung.com"/>
    <hyperlink ref="AQ40" location="" display="ridho.haryson@gmail.com; ridho.h@partner.samsung.com"/>
    <hyperlink ref="AQ13" location="" display="aldinopegorino@gmail.com, aldino.s@partner.samsung.com"/>
    <hyperlink ref="K23" location="" display="andi.laucua@samsung.com"/>
    <hyperlink ref="K24" location="" display="yosie.a@samsung.com, aryo.r@samsung.com"/>
    <hyperlink ref="AQ45" location="" display="arif.muh94@gmail.com, m.arif1@partner.samsung.com"/>
    <hyperlink ref="AQ47" location="" display="arlingga.wj@partner.samsung.com, arlingga.wj@partner.samsung.com"/>
    <hyperlink ref="AQ46" location="" display="richard_papilaya@yahoo.com, r.papilaya@partner.samsung.com"/>
    <hyperlink ref="AQ48" location="" display="dewisulistya41@yahoo.co.id, dewi.su@partner.samsung.com"/>
    <hyperlink ref="AQ49" location="" display="BUDIFITRIANSYAH23@GMAIL.COM, budi.f@partner.samsung.com"/>
    <hyperlink ref="AQ50" location="" display="mwahyuhasan@gmail.com, mario.wh28@gmail.com, mario.wh@partner.samsung.com"/>
    <hyperlink ref="AQ104" location="" display="aryanugamy@rocketmail.com"/>
    <hyperlink ref="AQ105" location="" display="faisalandi30@gmail.com"/>
    <hyperlink ref="AQ106" location="" display="dennysobarna@yahoo.com"/>
    <hyperlink ref="K108" location="" display="d.andi@samsung.com"/>
    <hyperlink ref="AQ110" location="" display="liauw.hendro.irawan@gmail.com"/>
    <hyperlink ref="AQ136" location="" display="ketut.vinon@sbm-itb.ac.id"/>
    <hyperlink ref="AQ142" location="" display="Abishaakmal@gmail.com, abisha.a@partner.samsung.com"/>
    <hyperlink ref="AQ143" location="" display="gusti.anggita@gmail.com, g.anggita@partner.samsung.com"/>
    <hyperlink ref="AQ51" location="" display="ahmadff802@gmail.com, ahmad.sy@partner.samsung.com"/>
    <hyperlink ref="AQ112" location="" display="mastonyy@gmail.com"/>
    <hyperlink ref="AQ113" location="" display="jotaksaka@gmail.com"/>
    <hyperlink ref="AQ114" location="" display="kedarutama@gmail.com"/>
    <hyperlink ref="AQ115" location="" display="bruguieraafa@gmail.com"/>
    <hyperlink ref="AQ52" location="" display="gahara17@gmail.com, a.gahara@partner.samsung.com"/>
    <hyperlink ref="AQ53" location="" display="cynthiarinaldie@yahoo.com, cynthia.r@partner.samsung.com"/>
    <hyperlink ref="AQ54" location="" display="anahernawati@gmail.com, ana.herna@partner.samsung.com"/>
    <hyperlink ref="AQ55" location="" display="ravlyagusta@gmail.com, r.agusta@partner.samsung.com"/>
    <hyperlink ref="AQ56" location="" display="leonardo.christie@yahoo.co.id, leo.nardo@partner.samsung.com"/>
    <hyperlink ref="K58" location="" display="ria.tobing@samsung.com / marina.f@samsung.com"/>
    <hyperlink ref="AQ58" location="" display="agilelo92@gmail.com, aggi.rd@partner.samsung.com"/>
    <hyperlink ref="K46" location="" display="amelia.g@samsung.com"/>
    <hyperlink ref="AQ27" location="" display="yahya.yahya@partner.samsung.com, yahya.yahya@partner.samsung.com"/>
    <hyperlink ref="AQ35" location="" display="i.kartika@partner.samsung.com, intan.kartika91@gmail.com, i.kartika@partner.samsung.com"/>
    <hyperlink ref="K59" location="" display="laksito.a@samsung.com"/>
    <hyperlink ref="AQ60" location="" display="trifo_meinorys23@yahoo.co.id, trifo.m@partner.samsung.com"/>
    <hyperlink ref="AQ137" location="" display="boblimios@gmail.com"/>
    <hyperlink ref="K60" location="" display="suparno.s@samsung.com"/>
    <hyperlink ref="K120" location="" display="rheinhard.m@samsung.com"/>
    <hyperlink ref="AQ128" location="" display="sari.isnawati@ymail.com"/>
    <hyperlink ref="AQ129" location="" display="steven.831120@gmail.com"/>
    <hyperlink ref="AQ130" location="" display="om_cander@yahoo.co.id"/>
    <hyperlink ref="K130" location="" display="timotius.a@samsung.com"/>
    <hyperlink ref="AQ131" location="" display="christiandannyw@gmail.com"/>
    <hyperlink ref="AQ132" location="" display="enrylau@gmail.com"/>
    <hyperlink ref="K134" location="" display="rheinhard.m@samsung.com"/>
    <hyperlink ref="AQ135" location="" display="iqbalazikin@gmail.com"/>
    <hyperlink ref="AQ134" location="" display="burhan.ssng@gmail.com"/>
    <hyperlink ref="AQ62" r:id="rId3" display="mr.apri@gmail.com, apri.s@partner.samsung.com"/>
    <hyperlink ref="AQ63" r:id="rId4" display="ekobudi123@gmail.com, eko.b@partner.samsung.com"/>
    <hyperlink ref="K7" r:id="rId5" display="c.josephine@samsung.com"/>
    <hyperlink ref="K6" r:id="rId6" display="ratu.ita@samsung.com"/>
    <hyperlink ref="K16" r:id="rId7" display="lee.minsoo@samsung.com"/>
    <hyperlink ref="K65" r:id="rId8" display="r.papilaya@partner.samsung.com"/>
    <hyperlink ref="K64" r:id="rId9" display="TRIHADI.N@SAMSUNG.COM"/>
    <hyperlink ref="AQ65" location="" display="gusti.anggita@gmail.com, g.anggita@partner.samsung.com"/>
    <hyperlink ref="AQ66" location="" display="Abishaakmal@gmail.com, abisha.a@partner.samsung.com"/>
    <hyperlink ref="AQ67" r:id="rId10" display="febbyintanidewinta@gmail.com"/>
    <hyperlink ref="AQ68" r:id="rId11" display="sansusan_lie@yahoo.com"/>
    <hyperlink ref="AQ69" r:id="rId12" display="ignatiusfebrian@gmail.com"/>
    <hyperlink ref="AQ70" location="" display="andri.benk30@gmail.com, a.gultom@partner.samsung.com"/>
    <hyperlink ref="K71" r:id="rId13" display="amelia.g@samsung.com"/>
    <hyperlink ref="AQ71" r:id="rId14" display="marcheliaprisella@gmail.com"/>
    <hyperlink ref="AQ139" location="" display="vinkasyamdia@yahoo.com, vinka.s@partner.samsung.com"/>
    <hyperlink ref="AQ140" location="" display="andri.benk30@gmail.com, a.gultom@partner.samsung.com"/>
    <hyperlink ref="AQ141" location="" display="ghaziary.f@gmail.com, ghaziary.f@partner.samsung.com"/>
    <hyperlink ref="AQ64" r:id="rId15" display="puryanto.atek@gmail.com"/>
    <hyperlink ref="K50" r:id="rId16" display="prasti.p@samsung.com"/>
    <hyperlink ref="AQ144" location="" display="clarishaoctavia@gmail.com"/>
    <hyperlink ref="K144" location="" display="erwin.b@samsung.com"/>
    <hyperlink ref="K145" r:id="rId17" display="cecep.s@samsung.com"/>
    <hyperlink ref="AQ145" r:id="rId18" display="frozzen_air@yahoo.com"/>
    <hyperlink ref="AQ76" r:id="rId19" display="ameliashaba@gmail.com"/>
    <hyperlink ref="K76" r:id="rId20" display="margaretha.l@samsung.com"/>
    <hyperlink ref="K146" location="" display="ardi.g@samsung.com"/>
    <hyperlink ref="K147" location="" display="ardi.g@samsung.com"/>
    <hyperlink ref="AQ153" location="" display="befin.putra@gmail.com, befin.a@partner.samsung.com"/>
    <hyperlink ref="AQ154" location="" display="azys.sufriyadi@gmail.com, azys.s@partner.samsung.com"/>
    <hyperlink ref="AQ155" location="" display="arindo.multi.tama@gmail.com, adam.bn@partner.samsung.com"/>
    <hyperlink ref="AQ156" location="" display="yessa.alexander@yahoo.com, yessa.ga@partner.samsung.com"/>
    <hyperlink ref="AQ157" location="" display="ardi.albert@gmail.com, ardi.aa@partner.samsung.com"/>
    <hyperlink ref="AQ160" location="" display="Aroel.Gti@gmail.com , komarul.h@partner.samsung.com"/>
    <hyperlink ref="AQ159" location="" display="arvindapattynasarane@gmail.com, p.arinda@partner.samsung.com"/>
    <hyperlink ref="AQ158" location="" display="vinowahyu@yahoo.co.id, vino.w@partner.samsung.com"/>
    <hyperlink ref="AQ161" location="" display="mpaul.simbolon@gmail.com, paul.a@partner.samsung.com"/>
    <hyperlink ref="AQ165" location="" display="irfanroshadi@gmail.com, irfan.r@partner.samsung.com"/>
    <hyperlink ref="AQ162" location="" display="FIRMAN.ALHABSYI@GMAIL.COM, firmansyah.f@partner.samsung.com"/>
    <hyperlink ref="AQ166" location="" display="sendyraymanda7@gmail.com, sendy.r@partner.samsung.com"/>
    <hyperlink ref="AQ167" location="" display="chatrine.p@partner.samsung.com, c.pratama@partner.samsung.com"/>
    <hyperlink ref="K167" location="" display="nayaka.b@samsung.com"/>
    <hyperlink ref="AQ168" location="" display="mdimas.j@partner.samsung.com , dimas.mj@partner.samsung.com"/>
    <hyperlink ref="AQ169" location="" display="samuel.rjw@partner.samsung.com, samuel.rj@partner.samsung.com"/>
    <hyperlink ref="AQ170" location="" display="satria.f@partner.samsung.com, satria.f@partner.samsung.com"/>
    <hyperlink ref="AQ171" location="" display="satriyani.su@partner.samsung.com, satriyani.s@partner.samsung.com, siahaansatriyani@yahoo.com, satriyani.s@partner.samsung.com"/>
    <hyperlink ref="AQ172" location="" display="savira.fn@partner.samsung.com, savira.f@partner.samsung.com"/>
    <hyperlink ref="AQ173" location="" display="taufiq.ff@partner.samsung.com, t.fikri@partner.samsung.com"/>
    <hyperlink ref="K168" location="" display="nayaka.b@samsung.com"/>
    <hyperlink ref="K169" location="" display="nayaka.b@samsung.com"/>
    <hyperlink ref="K170" location="" display="nayaka.b@samsung.com"/>
    <hyperlink ref="K171" location="" display="nayaka.b@samsung.com"/>
    <hyperlink ref="K172" location="" display="nayaka.b@samsung.com"/>
    <hyperlink ref="K173" location="" display="nayaka.b@samsung.com"/>
    <hyperlink ref="AQ174" location="" display="indrawan_wijaya@hotmail.com, indrawan.w@partner.samsung.com"/>
    <hyperlink ref="AQ175" location="" display="fnazar2@gmail.com, f.nazar@partner.samsung.com"/>
    <hyperlink ref="AQ176" location="" display="aribiohazard@gmail.com, patria.an@partner.samsung.com"/>
    <hyperlink ref="AQ177" location="" display="Reuben_Septian@ymail.com, reuben.s@partner.samsung.com"/>
    <hyperlink ref="K175" r:id="rId21" display="daniel.yt@samsung.com"/>
    <hyperlink ref="AQ178" location="" display="y.fanli@yahoo.co.id, yudhi.f@partner.samsung.com"/>
    <hyperlink ref="AQ179" location="" display="fajartriprabowo@gmail.com, fajar.tp@partner.samsung.com"/>
    <hyperlink ref="AQ180" location="" display="ary_haddade@yahoo.co.id, ary.se@partner.samsung.com"/>
    <hyperlink ref="AQ181" location="" display="bangkit.rudianto@gmail.com, bangkit.r@partner.samsung.com"/>
    <hyperlink ref="K181" r:id="rId21" display="daniel.yt@samsung.com"/>
    <hyperlink ref="AQ185" location="" display="yukieh4658@gmail.com, yukie.h@partner.samsung.com"/>
    <hyperlink ref="AQ183" location="" display="hendrakoerniawann@gmail.com, h.koerniawan@partner.samsung.com"/>
    <hyperlink ref="AQ186" location="" display="enolson_enong@yahoo.com, enolson.tp@partner.samsung.com"/>
    <hyperlink ref="K183" location="" display="nayaka.b@samsung.com"/>
    <hyperlink ref="K184" location="" display="nayaka.b@samsung.com"/>
    <hyperlink ref="K186" location="" display="bondan.r@samsung.com"/>
    <hyperlink ref="AQ184" location="" display="hmmaidi8@gmail.com, maidi.m@partner.samsung.com"/>
    <hyperlink ref="AQ187" location="" display="aries.perwaka@gmail.com, aries.gp@partner.samsung.com"/>
    <hyperlink ref="AQ188" location="" display="roberttua12@gmail.com, roberttua.m@partner.samsung.com"/>
    <hyperlink ref="K188" location="" display="b.reza@samsung.com"/>
    <hyperlink ref="K187" location="" display="adi.p@samsung.com"/>
    <hyperlink ref="AQ189" location="" display="elan.improvian@gmail.com, elan.im@partner.samsung.com"/>
    <hyperlink ref="AQ190" location="" display="malaqabdillahs@gmail.com, m.abdillah@partner.samsung.com"/>
    <hyperlink ref="K191" r:id="rId22" display="nayaka.b@samsung.com"/>
    <hyperlink ref="AQ191" r:id="rId23" display="fajarjharod@gmail.com, fajar.nm@partner.samsung.com"/>
    <hyperlink ref="AQ192" r:id="rId24" display="syaifularifinn@gmail.com, s.arifin@partner.samsung.com"/>
    <hyperlink ref="K192" r:id="rId22" display="nayaka.b@samsung.com"/>
    <hyperlink ref="AQ193" r:id="rId25" display="muhamad.irvan.firdaus@gmail.com, i.firdaus@partner.samsung.com"/>
    <hyperlink ref="AQ194" r:id="rId26" display="marsudin.odz@gmail.com"/>
    <hyperlink ref="AQ198" location="" display="dedykurniawan2706@gmail.com, dedi.km@partner.samsung.com"/>
    <hyperlink ref="K198" r:id="rId27" display="vega.adi@samsung.com"/>
    <hyperlink ref="K12" r:id="rId28" display="sylvia1.k@samsung.com"/>
    <hyperlink ref="K72" r:id="rId29" display="riki.k@samsung.com"/>
    <hyperlink ref="AQ72" r:id="rId30" display="adnan.i@partner.samsung.com"/>
    <hyperlink ref="K73" r:id="rId31" display="ira.js@samsung.com"/>
    <hyperlink ref="AQ73" r:id="rId32" display="egakrisna@gmail.com"/>
    <hyperlink ref="K74" r:id="rId33" display="juan.margala@samsung.com"/>
    <hyperlink ref="AQ74" r:id="rId34" display="tiaradisya@gmail.com"/>
    <hyperlink ref="K75" r:id="rId35" display="dolly.sw@samsung.com"/>
    <hyperlink ref="AQ75" r:id="rId36" display="vinchentiamuliadi@gmail.com"/>
    <hyperlink ref="K201" r:id="rId37" display="mila.l@samsung.com"/>
    <hyperlink ref="K202" location="" display="laurensius.m@samsung.com"/>
    <hyperlink ref="AQ202" location="" display="pudjatari@gmail.com , pudja.l@partner.samsung.com"/>
    <hyperlink ref="AQ203" location="" display="angelnatt@yahoo.com, angelxiao@naver.com, angeline.s@partner.samsung.com"/>
    <hyperlink ref="AQ77" r:id="rId38" display="arii.satria@gmail.com"/>
    <hyperlink ref="K77" r:id="rId39" display="agussp@samsung.com"/>
    <hyperlink ref="K78" r:id="rId40" display="leo.hm@samsung.com"/>
    <hyperlink ref="AQ78" r:id="rId41" display="nancy_fitria@yahoo.com"/>
    <hyperlink ref="K79" r:id="rId42" display="aryo.r@samsung.com"/>
    <hyperlink ref="AQ79" r:id="rId43" display="rusli.ade@gmail.com"/>
    <hyperlink ref="K81" r:id="rId44" display="dikky.g@samsung.com"/>
    <hyperlink ref="K82" r:id="rId45" display="lista.donna@samsung.com"/>
    <hyperlink ref="AQ82" r:id="rId46" display="Novawinda19@gmail.com"/>
    <hyperlink ref="K83" r:id="rId47" display="heryatmita.s@samsung.com"/>
    <hyperlink ref="AQ83" r:id="rId48" display="stephanie.jm05@gmail.com / stephanie.jm@hotmail.com"/>
    <hyperlink ref="K84" r:id="rId16" display="prasti.p@samsung.com"/>
    <hyperlink ref="AQ85" r:id="rId49" display="fiona.perwitasari@gmail.com"/>
    <hyperlink ref="B84" r:id="rId50" display="OS1804011"/>
    <hyperlink ref="B82" r:id="rId50" display="OS1804010"/>
    <hyperlink ref="AQ84" r:id="rId51" display="vina.humira@gmail.com"/>
    <hyperlink ref="AQ87" r:id="rId52" display="idatobing21@gmail.com"/>
    <hyperlink ref="K87" r:id="rId28" display="sylvia1.k@samsung.com"/>
    <hyperlink ref="K86" r:id="rId53" display="taufiqul.f@samsung.com"/>
    <hyperlink ref="K204" r:id="rId54" display="andry.a@samsung.com"/>
    <hyperlink ref="K205" location="" display="prasti.p@samsung.com"/>
    <hyperlink ref="AQ206" location="" display="kennydjopong@gmail.com, kenny.d@partner.samsung.com"/>
    <hyperlink ref="AQ86" r:id="rId55" display="andreaamalia2203@gmail.com"/>
    <hyperlink ref="K89" r:id="rId42" display="aryo.r@samsung.com"/>
    <hyperlink ref="K90" r:id="rId56" display="efan.utama@samsung.com"/>
    <hyperlink ref="AQ90" r:id="rId57" display="bobby.nurman85@gmail.com"/>
    <hyperlink ref="K91" r:id="rId58" display="joni.syam@samsung.com"/>
    <hyperlink ref="AQ91" r:id="rId59" display="septi.oktaviantry@gmail.com"/>
    <hyperlink ref="AQ210" location="" display="caesarmujahid@gmail.com, caesar.m@partner.samsung.com, caesar.m@partner.samsung.com"/>
    <hyperlink ref="K210" location="" display="bondan.r@samsung.com"/>
    <hyperlink ref="AQ211" location="" display="geaffary.an@partner.samsung.com, geaffary.a@partner.samsung.com"/>
    <hyperlink ref="K211" location="" display="nayaka.b@samsung.com"/>
    <hyperlink ref="AQ218" location="" display="karinayusanta@gmail.com, karina.ya@partner.samsung.com"/>
    <hyperlink ref="AQ219" r:id="rId60" display="bgilangyudanto@gmail.com, bagus.g@partner.samsung.com"/>
    <hyperlink ref="K219" r:id="rId22" display="nayaka.b@samsung.com, raby.a@samsung.com"/>
    <hyperlink ref="AQ220" r:id="rId61" display="yogasatria0527@gmail.com, y.satria@partner.samsung.com"/>
    <hyperlink ref="K220" r:id="rId62" display="ERWIN.ST@SAMSUNG.COM"/>
    <hyperlink ref="AQ221" r:id="rId63" display="Agoeng_30@Yahoo.com"/>
    <hyperlink ref="K221" r:id="rId64" display="rizal.t@samsung.com"/>
    <hyperlink ref="AQ222" r:id="rId65" display="richikencana@gmail.com"/>
    <hyperlink ref="K222" r:id="rId66" display="ricky.b@samsung.com"/>
    <hyperlink ref="K62" r:id="rId67" display="Danu Hermawan (danu.h@samsung.com)"/>
    <hyperlink ref="K63" r:id="rId67" display="Danu Hermawan (danu.h@samsung.com)"/>
  </hyperlinks>
  <pageMargins left="0.699305555555556" right="0.699305555555556" top="0.75" bottom="0.75" header="0.3" footer="0.3"/>
  <pageSetup paperSize="1" orientation="landscape"/>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25"/>
  <sheetViews>
    <sheetView showGridLines="0" workbookViewId="0">
      <pane xSplit="3" ySplit="13" topLeftCell="D14" activePane="bottomRight" state="frozen"/>
      <selection/>
      <selection pane="topRight"/>
      <selection pane="bottomLeft"/>
      <selection pane="bottomRight" activeCell="K15" sqref="A1:AD25"/>
    </sheetView>
  </sheetViews>
  <sheetFormatPr defaultColWidth="9" defaultRowHeight="12.95" customHeight="1"/>
  <cols>
    <col min="1" max="1" width="3.425" style="2" customWidth="1"/>
    <col min="2" max="2" width="9.425" style="2" customWidth="1"/>
    <col min="3" max="3" width="12.5666666666667" style="2" customWidth="1"/>
    <col min="4" max="4" width="11.1416666666667" style="2" customWidth="1"/>
    <col min="5" max="5" width="3.56666666666667" style="2" customWidth="1"/>
    <col min="6" max="6" width="8.14166666666667" style="2" customWidth="1"/>
    <col min="7" max="7" width="13" style="2" customWidth="1"/>
    <col min="8" max="8" width="10" style="2" customWidth="1"/>
    <col min="9" max="9" width="9.70833333333333" style="2" customWidth="1"/>
    <col min="10" max="12" width="11.425" style="2" customWidth="1"/>
    <col min="13" max="15" width="8.56666666666667" style="2" customWidth="1"/>
    <col min="16" max="16" width="8.85833333333333" style="2" customWidth="1"/>
    <col min="17" max="17" width="9.85833333333333" style="2" customWidth="1"/>
    <col min="18" max="18" width="10.1416666666667" style="2" customWidth="1"/>
    <col min="19" max="19" width="12.5666666666667" style="2" customWidth="1"/>
    <col min="20" max="20" width="18.1416666666667" style="2" customWidth="1"/>
    <col min="21" max="21" width="14" style="2" customWidth="1"/>
    <col min="22" max="22" width="35" style="2" customWidth="1"/>
    <col min="23" max="23" width="13.1416666666667" style="2" customWidth="1"/>
    <col min="24" max="24" width="20.7083333333333" style="2" customWidth="1"/>
    <col min="25" max="25" width="17.2833333333333" style="2" customWidth="1"/>
    <col min="26" max="26" width="15" style="2" customWidth="1"/>
    <col min="27" max="27" width="10.425" style="2" customWidth="1"/>
    <col min="28" max="28" width="15.1416666666667" style="2" customWidth="1"/>
    <col min="29" max="29" width="28.5666666666667" style="2" customWidth="1"/>
    <col min="30" max="30" width="19.2833333333333" style="2" customWidth="1"/>
    <col min="31" max="16384" width="9.14166666666667" style="2"/>
  </cols>
  <sheetData>
    <row r="1" s="1" customFormat="1" customHeight="1" spans="1:29">
      <c r="A1" s="9"/>
      <c r="B1" s="9"/>
      <c r="C1" s="9"/>
      <c r="D1" s="9"/>
      <c r="E1" s="9"/>
      <c r="F1" s="9"/>
      <c r="Y1" s="145" t="s">
        <v>11108</v>
      </c>
      <c r="Z1" s="145"/>
      <c r="AA1" s="145"/>
      <c r="AB1" s="145"/>
      <c r="AC1" s="145"/>
    </row>
    <row r="2" s="1" customFormat="1" customHeight="1" spans="1:29">
      <c r="A2" s="9"/>
      <c r="B2" s="9"/>
      <c r="C2" s="9"/>
      <c r="D2" s="9"/>
      <c r="E2" s="9"/>
      <c r="F2" s="9"/>
      <c r="Y2" s="146" t="s">
        <v>11109</v>
      </c>
      <c r="Z2" s="146"/>
      <c r="AA2" s="146"/>
      <c r="AB2" s="146"/>
      <c r="AC2" s="146"/>
    </row>
    <row r="3" s="1" customFormat="1" customHeight="1" spans="1:29">
      <c r="A3" s="9"/>
      <c r="B3" s="9"/>
      <c r="C3" s="9"/>
      <c r="D3" s="9"/>
      <c r="E3" s="9"/>
      <c r="F3" s="9"/>
      <c r="P3" s="241"/>
      <c r="Y3" s="146" t="s">
        <v>11110</v>
      </c>
      <c r="Z3" s="146"/>
      <c r="AA3" s="146"/>
      <c r="AB3" s="146"/>
      <c r="AC3" s="146"/>
    </row>
    <row r="4" s="1" customFormat="1" customHeight="1" spans="1:29">
      <c r="A4" s="9"/>
      <c r="B4" s="9"/>
      <c r="C4" s="9"/>
      <c r="D4" s="9"/>
      <c r="E4" s="9"/>
      <c r="F4" s="9"/>
      <c r="Y4" s="146" t="s">
        <v>11111</v>
      </c>
      <c r="Z4" s="146"/>
      <c r="AA4" s="146"/>
      <c r="AB4" s="146"/>
      <c r="AC4" s="146"/>
    </row>
    <row r="5" s="1" customFormat="1" hidden="1" customHeight="1" spans="1:6">
      <c r="A5" s="9"/>
      <c r="B5" s="9"/>
      <c r="C5" s="9"/>
      <c r="D5" s="9"/>
      <c r="E5" s="9"/>
      <c r="F5" s="9"/>
    </row>
    <row r="6" s="1" customFormat="1" hidden="1" customHeight="1" spans="1:6">
      <c r="A6" s="9"/>
      <c r="B6" s="9"/>
      <c r="C6" s="9"/>
      <c r="D6" s="9"/>
      <c r="E6" s="9"/>
      <c r="F6" s="9"/>
    </row>
    <row r="7" s="1" customFormat="1" hidden="1" customHeight="1" spans="3:6">
      <c r="C7" s="9"/>
      <c r="D7" s="9"/>
      <c r="E7" s="9"/>
      <c r="F7" s="9"/>
    </row>
    <row r="8" s="1" customFormat="1" hidden="1" customHeight="1" spans="1:23">
      <c r="A8" s="10" t="s">
        <v>7926</v>
      </c>
      <c r="B8" s="10"/>
      <c r="C8" s="10"/>
      <c r="D8" s="10"/>
      <c r="E8" s="10"/>
      <c r="F8" s="10"/>
      <c r="G8" s="10"/>
      <c r="H8" s="10"/>
      <c r="I8" s="10"/>
      <c r="J8" s="10"/>
      <c r="K8" s="10"/>
      <c r="L8" s="10"/>
      <c r="M8" s="10"/>
      <c r="N8" s="10"/>
      <c r="O8" s="10"/>
      <c r="P8" s="10"/>
      <c r="Q8" s="10"/>
      <c r="R8" s="10"/>
      <c r="S8" s="10"/>
      <c r="T8" s="10"/>
      <c r="U8" s="10"/>
      <c r="V8" s="10"/>
      <c r="W8" s="10"/>
    </row>
    <row r="9" s="1" customFormat="1" hidden="1" customHeight="1" spans="1:23">
      <c r="A9" s="10" t="s">
        <v>17013</v>
      </c>
      <c r="B9" s="10"/>
      <c r="C9" s="10"/>
      <c r="D9" s="10"/>
      <c r="E9" s="10"/>
      <c r="F9" s="10"/>
      <c r="G9" s="10"/>
      <c r="H9" s="10"/>
      <c r="I9" s="10"/>
      <c r="J9" s="10"/>
      <c r="K9" s="10"/>
      <c r="L9" s="10"/>
      <c r="M9" s="10"/>
      <c r="N9" s="10"/>
      <c r="O9" s="10"/>
      <c r="P9" s="10"/>
      <c r="Q9" s="10"/>
      <c r="R9" s="10"/>
      <c r="S9" s="10"/>
      <c r="T9" s="10"/>
      <c r="U9" s="10"/>
      <c r="V9" s="10"/>
      <c r="W9" s="10"/>
    </row>
    <row r="10" s="1" customFormat="1" hidden="1" customHeight="1" spans="1:21">
      <c r="A10" s="10"/>
      <c r="B10" s="10"/>
      <c r="C10" s="10"/>
      <c r="D10" s="10"/>
      <c r="E10" s="10"/>
      <c r="F10" s="10"/>
      <c r="G10" s="10"/>
      <c r="H10" s="10"/>
      <c r="I10" s="10"/>
      <c r="J10" s="10"/>
      <c r="K10" s="10"/>
      <c r="L10" s="10"/>
      <c r="M10" s="10"/>
      <c r="N10" s="10"/>
      <c r="O10" s="10"/>
      <c r="P10" s="10"/>
      <c r="Q10" s="10"/>
      <c r="R10" s="10"/>
      <c r="S10" s="10"/>
      <c r="T10" s="10"/>
      <c r="U10" s="10"/>
    </row>
    <row r="11" s="1" customFormat="1" hidden="1" customHeight="1" spans="3:6">
      <c r="C11" s="9"/>
      <c r="D11" s="9"/>
      <c r="E11" s="9"/>
      <c r="F11" s="9"/>
    </row>
    <row r="12" s="1" customFormat="1" customHeight="1" spans="1:30">
      <c r="A12" s="11" t="s">
        <v>0</v>
      </c>
      <c r="B12" s="11" t="s">
        <v>1</v>
      </c>
      <c r="C12" s="11" t="s">
        <v>2</v>
      </c>
      <c r="D12" s="11" t="s">
        <v>3</v>
      </c>
      <c r="E12" s="11" t="s">
        <v>4</v>
      </c>
      <c r="F12" s="11" t="s">
        <v>7929</v>
      </c>
      <c r="G12" s="11" t="s">
        <v>8</v>
      </c>
      <c r="H12" s="43" t="s">
        <v>9</v>
      </c>
      <c r="I12" s="44"/>
      <c r="J12" s="43" t="s">
        <v>10</v>
      </c>
      <c r="K12" s="44"/>
      <c r="L12" s="240"/>
      <c r="M12" s="43" t="s">
        <v>13</v>
      </c>
      <c r="N12" s="44"/>
      <c r="O12" s="242" t="s">
        <v>10</v>
      </c>
      <c r="P12" s="11" t="s">
        <v>14</v>
      </c>
      <c r="Q12" s="33" t="s">
        <v>15</v>
      </c>
      <c r="R12" s="11" t="s">
        <v>11424</v>
      </c>
      <c r="S12" s="11" t="s">
        <v>17014</v>
      </c>
      <c r="T12" s="11" t="s">
        <v>3509</v>
      </c>
      <c r="U12" s="11" t="s">
        <v>15</v>
      </c>
      <c r="V12" s="60" t="s">
        <v>28</v>
      </c>
      <c r="W12" s="61" t="s">
        <v>29</v>
      </c>
      <c r="X12" s="71" t="s">
        <v>30</v>
      </c>
      <c r="Y12" s="251" t="s">
        <v>32</v>
      </c>
      <c r="Z12" s="251" t="s">
        <v>31</v>
      </c>
      <c r="AA12" s="251" t="s">
        <v>33</v>
      </c>
      <c r="AB12" s="251" t="s">
        <v>34</v>
      </c>
      <c r="AC12" s="251" t="s">
        <v>12150</v>
      </c>
      <c r="AD12" s="72" t="s">
        <v>36</v>
      </c>
    </row>
    <row r="13" s="1" customFormat="1" ht="15.75" customHeight="1" spans="1:30">
      <c r="A13" s="236"/>
      <c r="B13" s="236"/>
      <c r="C13" s="236"/>
      <c r="D13" s="236"/>
      <c r="E13" s="236"/>
      <c r="F13" s="236"/>
      <c r="G13" s="236"/>
      <c r="H13" s="33" t="s">
        <v>37</v>
      </c>
      <c r="I13" s="33" t="s">
        <v>38</v>
      </c>
      <c r="J13" s="33">
        <v>1</v>
      </c>
      <c r="K13" s="33">
        <v>2</v>
      </c>
      <c r="L13" s="33">
        <v>3</v>
      </c>
      <c r="M13" s="33" t="s">
        <v>37</v>
      </c>
      <c r="N13" s="33" t="s">
        <v>38</v>
      </c>
      <c r="O13" s="236">
        <v>1</v>
      </c>
      <c r="P13" s="236"/>
      <c r="Q13" s="243"/>
      <c r="R13" s="244"/>
      <c r="S13" s="236"/>
      <c r="T13" s="244"/>
      <c r="U13" s="244"/>
      <c r="V13" s="247"/>
      <c r="W13" s="248"/>
      <c r="X13" s="249"/>
      <c r="Y13" s="252"/>
      <c r="Z13" s="252"/>
      <c r="AA13" s="252"/>
      <c r="AB13" s="252"/>
      <c r="AC13" s="252"/>
      <c r="AD13" s="256"/>
    </row>
    <row r="14" ht="45.75" spans="1:30">
      <c r="A14" s="1612" t="s">
        <v>39</v>
      </c>
      <c r="B14" s="65" t="s">
        <v>17015</v>
      </c>
      <c r="C14" s="237" t="s">
        <v>17016</v>
      </c>
      <c r="D14" s="49" t="s">
        <v>17017</v>
      </c>
      <c r="E14" s="49" t="s">
        <v>43</v>
      </c>
      <c r="F14" s="13" t="s">
        <v>254</v>
      </c>
      <c r="G14" s="65" t="s">
        <v>2823</v>
      </c>
      <c r="H14" s="49">
        <v>42298</v>
      </c>
      <c r="I14" s="49">
        <v>42480</v>
      </c>
      <c r="J14" s="49">
        <v>42663</v>
      </c>
      <c r="K14" s="49">
        <v>42845</v>
      </c>
      <c r="L14" s="49">
        <v>43028</v>
      </c>
      <c r="M14" s="49">
        <v>43029</v>
      </c>
      <c r="N14" s="49">
        <v>43210</v>
      </c>
      <c r="O14" s="151">
        <v>43393</v>
      </c>
      <c r="P14" s="48">
        <f ca="1">SUM(O14-NOW())</f>
        <v>120.61546296296</v>
      </c>
      <c r="Q14" s="65" t="str">
        <f ca="1">IF(P14&lt;=40,"WARNING","ACTIVE")</f>
        <v>ACTIVE</v>
      </c>
      <c r="R14" s="245">
        <v>3648036</v>
      </c>
      <c r="S14" s="245">
        <v>15000</v>
      </c>
      <c r="T14" s="65" t="s">
        <v>17018</v>
      </c>
      <c r="U14" s="65" t="s">
        <v>17019</v>
      </c>
      <c r="V14" s="65" t="s">
        <v>17020</v>
      </c>
      <c r="W14" s="65" t="s">
        <v>17021</v>
      </c>
      <c r="X14" s="250" t="s">
        <v>17022</v>
      </c>
      <c r="Y14" s="253"/>
      <c r="Z14" s="253" t="s">
        <v>17023</v>
      </c>
      <c r="AA14" s="250"/>
      <c r="AB14" s="250" t="s">
        <v>17024</v>
      </c>
      <c r="AC14" s="257"/>
      <c r="AD14" s="253"/>
    </row>
    <row r="15" s="3" customFormat="1" ht="34.5" customHeight="1" spans="1:30">
      <c r="A15" s="1612" t="s">
        <v>56</v>
      </c>
      <c r="B15" s="65" t="s">
        <v>17025</v>
      </c>
      <c r="C15" s="237" t="s">
        <v>17026</v>
      </c>
      <c r="D15" s="49" t="s">
        <v>17027</v>
      </c>
      <c r="E15" s="49" t="s">
        <v>125</v>
      </c>
      <c r="F15" s="13" t="s">
        <v>44</v>
      </c>
      <c r="G15" s="65" t="s">
        <v>7940</v>
      </c>
      <c r="H15" s="49">
        <v>42832</v>
      </c>
      <c r="I15" s="49">
        <v>43014</v>
      </c>
      <c r="J15" s="49">
        <v>43196</v>
      </c>
      <c r="K15" s="151">
        <v>43379</v>
      </c>
      <c r="L15" s="49"/>
      <c r="M15" s="49"/>
      <c r="N15" s="65"/>
      <c r="O15" s="65"/>
      <c r="P15" s="48">
        <f ca="1">SUM(K15-NOW())</f>
        <v>106.61546296296</v>
      </c>
      <c r="Q15" s="65" t="str">
        <f ca="1">IF(P15&lt;=40,"WARNING","ACTIVE")</f>
        <v>ACTIVE</v>
      </c>
      <c r="R15" s="245">
        <v>4000000</v>
      </c>
      <c r="S15" s="245">
        <v>35000</v>
      </c>
      <c r="T15" s="65" t="s">
        <v>17018</v>
      </c>
      <c r="U15" s="65" t="s">
        <v>17028</v>
      </c>
      <c r="V15" s="65" t="s">
        <v>17029</v>
      </c>
      <c r="W15" s="65">
        <v>81932993099</v>
      </c>
      <c r="X15" s="250" t="s">
        <v>17030</v>
      </c>
      <c r="Y15" s="253" t="s">
        <v>17031</v>
      </c>
      <c r="Z15" s="253" t="s">
        <v>17032</v>
      </c>
      <c r="AA15" s="250"/>
      <c r="AB15" s="250"/>
      <c r="AC15" s="128" t="s">
        <v>17033</v>
      </c>
      <c r="AD15" s="253"/>
    </row>
    <row r="21" customHeight="1" spans="1:2">
      <c r="A21" s="17" t="s">
        <v>2552</v>
      </c>
      <c r="B21" s="17"/>
    </row>
    <row r="22" customHeight="1" spans="1:30">
      <c r="A22" s="27">
        <v>3</v>
      </c>
      <c r="B22" s="27" t="s">
        <v>17034</v>
      </c>
      <c r="C22" s="238" t="s">
        <v>17035</v>
      </c>
      <c r="D22" s="42" t="s">
        <v>17036</v>
      </c>
      <c r="E22" s="42"/>
      <c r="F22" s="20"/>
      <c r="G22" s="27" t="s">
        <v>17037</v>
      </c>
      <c r="H22" s="42">
        <v>42380</v>
      </c>
      <c r="I22" s="42">
        <v>42470</v>
      </c>
      <c r="J22" s="42">
        <v>42530</v>
      </c>
      <c r="K22" s="42"/>
      <c r="L22" s="42"/>
      <c r="M22" s="27"/>
      <c r="N22" s="27"/>
      <c r="O22" s="27"/>
      <c r="P22" s="53">
        <f ca="1">SUM(J22-NOW())</f>
        <v>-742.38453703704</v>
      </c>
      <c r="Q22" s="27" t="str">
        <f ca="1">IF(P22&lt;=35,"WARNING","ACTIVE")</f>
        <v>WARNING</v>
      </c>
      <c r="R22" s="246">
        <v>7000000</v>
      </c>
      <c r="S22" s="246"/>
      <c r="T22" s="27" t="s">
        <v>17018</v>
      </c>
      <c r="U22" s="27" t="s">
        <v>17038</v>
      </c>
      <c r="V22" s="27" t="s">
        <v>17039</v>
      </c>
      <c r="W22" s="27"/>
      <c r="X22" s="87" t="s">
        <v>17040</v>
      </c>
      <c r="Y22" s="254"/>
      <c r="Z22" s="254"/>
      <c r="AA22" s="87"/>
      <c r="AB22" s="87" t="s">
        <v>17041</v>
      </c>
      <c r="AC22" s="258"/>
      <c r="AD22" s="254" t="s">
        <v>17042</v>
      </c>
    </row>
    <row r="23" customHeight="1" spans="1:30">
      <c r="A23" s="27">
        <v>4</v>
      </c>
      <c r="B23" s="27" t="s">
        <v>17043</v>
      </c>
      <c r="C23" s="238" t="s">
        <v>17044</v>
      </c>
      <c r="D23" s="42" t="s">
        <v>17045</v>
      </c>
      <c r="E23" s="42"/>
      <c r="F23" s="20"/>
      <c r="G23" s="27" t="s">
        <v>17037</v>
      </c>
      <c r="H23" s="42">
        <v>42383</v>
      </c>
      <c r="I23" s="42">
        <v>42473</v>
      </c>
      <c r="J23" s="42">
        <v>42533</v>
      </c>
      <c r="K23" s="42"/>
      <c r="L23" s="42"/>
      <c r="M23" s="27"/>
      <c r="N23" s="27"/>
      <c r="O23" s="27"/>
      <c r="P23" s="53">
        <f ca="1">SUM(J23-NOW())</f>
        <v>-739.38453703704</v>
      </c>
      <c r="Q23" s="27" t="str">
        <f ca="1">IF(P23&lt;=35,"WARNING","ACTIVE")</f>
        <v>WARNING</v>
      </c>
      <c r="R23" s="246">
        <v>8000000</v>
      </c>
      <c r="S23" s="246"/>
      <c r="T23" s="27" t="s">
        <v>17018</v>
      </c>
      <c r="U23" s="27" t="s">
        <v>17038</v>
      </c>
      <c r="V23" s="27" t="s">
        <v>17046</v>
      </c>
      <c r="W23" s="27" t="s">
        <v>17047</v>
      </c>
      <c r="X23" s="87" t="s">
        <v>17048</v>
      </c>
      <c r="Y23" s="254"/>
      <c r="Z23" s="254" t="s">
        <v>17049</v>
      </c>
      <c r="AA23" s="87"/>
      <c r="AB23" s="1622" t="s">
        <v>17050</v>
      </c>
      <c r="AC23" s="258"/>
      <c r="AD23" s="254" t="s">
        <v>17051</v>
      </c>
    </row>
    <row r="24" customHeight="1" spans="1:30">
      <c r="A24" s="27">
        <v>1</v>
      </c>
      <c r="B24" s="27" t="s">
        <v>17052</v>
      </c>
      <c r="C24" s="238" t="s">
        <v>17053</v>
      </c>
      <c r="D24" s="42" t="s">
        <v>17054</v>
      </c>
      <c r="E24" s="42" t="s">
        <v>125</v>
      </c>
      <c r="F24" s="20" t="s">
        <v>44</v>
      </c>
      <c r="G24" s="27" t="s">
        <v>7940</v>
      </c>
      <c r="H24" s="42">
        <v>42286</v>
      </c>
      <c r="I24" s="42">
        <v>42468</v>
      </c>
      <c r="J24" s="42">
        <v>42650</v>
      </c>
      <c r="K24" s="42">
        <v>42832</v>
      </c>
      <c r="L24" s="42"/>
      <c r="M24" s="42"/>
      <c r="N24" s="27"/>
      <c r="O24" s="27"/>
      <c r="P24" s="53">
        <f ca="1">SUM(K24-NOW())</f>
        <v>-440.38453703704</v>
      </c>
      <c r="Q24" s="27" t="str">
        <f ca="1">IF(P24&lt;=40,"WARNING","ACTIVE")</f>
        <v>WARNING</v>
      </c>
      <c r="R24" s="246">
        <v>3500000</v>
      </c>
      <c r="S24" s="246">
        <v>25000</v>
      </c>
      <c r="T24" s="27" t="s">
        <v>17018</v>
      </c>
      <c r="U24" s="27"/>
      <c r="V24" s="27" t="s">
        <v>17055</v>
      </c>
      <c r="W24" s="27" t="s">
        <v>17056</v>
      </c>
      <c r="X24" s="20" t="s">
        <v>17057</v>
      </c>
      <c r="Y24" s="254" t="s">
        <v>17058</v>
      </c>
      <c r="Z24" s="255" t="s">
        <v>17059</v>
      </c>
      <c r="AA24" s="87"/>
      <c r="AB24" s="87" t="s">
        <v>17060</v>
      </c>
      <c r="AC24" s="259" t="s">
        <v>17061</v>
      </c>
      <c r="AD24" s="254" t="s">
        <v>17062</v>
      </c>
    </row>
    <row r="25" s="3" customFormat="1" ht="14.1" customHeight="1" spans="1:30">
      <c r="A25" s="1610" t="s">
        <v>68</v>
      </c>
      <c r="B25" s="27" t="s">
        <v>17063</v>
      </c>
      <c r="C25" s="238" t="s">
        <v>17064</v>
      </c>
      <c r="D25" s="42" t="s">
        <v>17065</v>
      </c>
      <c r="E25" s="42"/>
      <c r="F25" s="20"/>
      <c r="G25" s="27" t="s">
        <v>17066</v>
      </c>
      <c r="H25" s="239" t="s">
        <v>17067</v>
      </c>
      <c r="I25" s="42">
        <v>43496</v>
      </c>
      <c r="J25" s="42"/>
      <c r="K25" s="42"/>
      <c r="L25" s="42"/>
      <c r="M25" s="42"/>
      <c r="N25" s="27"/>
      <c r="O25" s="27"/>
      <c r="P25" s="53">
        <f ca="1">SUM(I25-NOW())</f>
        <v>223.61546296296</v>
      </c>
      <c r="Q25" s="27" t="str">
        <f ca="1">IF(P25&lt;=40,"WARNING","ACTIVE")</f>
        <v>ACTIVE</v>
      </c>
      <c r="R25" s="246">
        <v>12000000</v>
      </c>
      <c r="S25" s="246"/>
      <c r="T25" s="27" t="s">
        <v>17068</v>
      </c>
      <c r="U25" s="27"/>
      <c r="V25" s="27" t="s">
        <v>17069</v>
      </c>
      <c r="W25" s="27"/>
      <c r="X25" s="87"/>
      <c r="Y25" s="254"/>
      <c r="Z25" s="254"/>
      <c r="AA25" s="87"/>
      <c r="AB25" s="87"/>
      <c r="AC25" s="229"/>
      <c r="AD25" s="254"/>
    </row>
  </sheetData>
  <mergeCells count="32">
    <mergeCell ref="A1:C1"/>
    <mergeCell ref="A2:C2"/>
    <mergeCell ref="A3:C3"/>
    <mergeCell ref="A6:C6"/>
    <mergeCell ref="R6:T6"/>
    <mergeCell ref="A8:W8"/>
    <mergeCell ref="A9:W9"/>
    <mergeCell ref="H12:I12"/>
    <mergeCell ref="J12:K12"/>
    <mergeCell ref="M12:N12"/>
    <mergeCell ref="A12:A13"/>
    <mergeCell ref="B12:B13"/>
    <mergeCell ref="C12:C13"/>
    <mergeCell ref="D12:D13"/>
    <mergeCell ref="E12:E13"/>
    <mergeCell ref="F12:F13"/>
    <mergeCell ref="G12:G13"/>
    <mergeCell ref="P12:P13"/>
    <mergeCell ref="Q12:Q13"/>
    <mergeCell ref="R12:R13"/>
    <mergeCell ref="S12:S13"/>
    <mergeCell ref="T12:T13"/>
    <mergeCell ref="U12:U13"/>
    <mergeCell ref="V12:V13"/>
    <mergeCell ref="W12:W13"/>
    <mergeCell ref="X12:X13"/>
    <mergeCell ref="Y12:Y13"/>
    <mergeCell ref="Z12:Z13"/>
    <mergeCell ref="AA12:AA13"/>
    <mergeCell ref="AB12:AB13"/>
    <mergeCell ref="AC12:AC13"/>
    <mergeCell ref="AD12:AD13"/>
  </mergeCells>
  <conditionalFormatting sqref="P22:Q23;P14:Q14">
    <cfRule type="expression" dxfId="2323" priority="1" stopIfTrue="1">
      <formula>IF($Q14="warning",TRUE,FALSE)</formula>
    </cfRule>
  </conditionalFormatting>
  <conditionalFormatting sqref="T14:T15;T25">
    <cfRule type="expression" dxfId="2324" priority="2" stopIfTrue="1">
      <formula>IF(OR($BH14="not",$BH14="resign",$BH14="resign",$BH14="end",$BH14="terminated",$BH14="permanent"),"TRUE","FALSE")</formula>
    </cfRule>
  </conditionalFormatting>
  <conditionalFormatting sqref="T23">
    <cfRule type="expression" dxfId="2325" priority="3" stopIfTrue="1">
      <formula>IF(OR($BH15="not",$BH15="resign",$BH15="resign",$BH15="end",$BH15="terminated",$BH15="permanent"),"TRUE","FALSE")</formula>
    </cfRule>
  </conditionalFormatting>
  <conditionalFormatting sqref="T22">
    <cfRule type="expression" dxfId="2326" priority="4" stopIfTrue="1">
      <formula>IF(OR(#REF!="not",#REF!="resign",#REF!="resign",#REF!="end",#REF!="terminated",#REF!="permanent"),"TRUE","FALSE")</formula>
    </cfRule>
  </conditionalFormatting>
  <conditionalFormatting sqref="T24">
    <cfRule type="expression" dxfId="2327" priority="5" stopIfTrue="1">
      <formula>IF(OR(#REF!="not",#REF!="resign",#REF!="resign",#REF!="end",#REF!="terminated",#REF!="permanent"),"TRUE","FALSE")</formula>
    </cfRule>
  </conditionalFormatting>
  <hyperlinks>
    <hyperlink ref="AC24" location="" display="iranovithayanthie@gmail.com"/>
    <hyperlink ref="AC15" location="" display="Firscadevinaa@gmail.com, Firsca.Junianty@dnow.com"/>
  </hyperlinks>
  <printOptions horizontalCentered="1"/>
  <pageMargins left="0.25" right="0.25" top="1" bottom="1" header="0.5" footer="0.5"/>
  <pageSetup paperSize="9" scale="75" orientation="landscape"/>
  <headerFooter alignWithMargins="0"/>
  <drawing r:id="rId2"/>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M85"/>
  <sheetViews>
    <sheetView showGridLines="0" zoomScale="106" zoomScaleNormal="106" topLeftCell="A9" workbookViewId="0">
      <pane xSplit="4" ySplit="2" topLeftCell="I23" activePane="bottomRight" state="frozen"/>
      <selection/>
      <selection pane="topRight"/>
      <selection pane="bottomLeft"/>
      <selection pane="bottomRight" activeCell="N32" sqref="N32"/>
    </sheetView>
  </sheetViews>
  <sheetFormatPr defaultColWidth="9" defaultRowHeight="10.5"/>
  <cols>
    <col min="1" max="1" width="4.28333333333333" style="156" customWidth="1"/>
    <col min="2" max="3" width="10.1416666666667" style="156" customWidth="1"/>
    <col min="4" max="4" width="30" style="156" customWidth="1"/>
    <col min="5" max="5" width="25.1416666666667" style="156" customWidth="1"/>
    <col min="6" max="6" width="12.8583333333333" style="156" customWidth="1"/>
    <col min="7" max="7" width="6" style="156" customWidth="1"/>
    <col min="8" max="8" width="8.70833333333333" style="156" customWidth="1"/>
    <col min="9" max="9" width="10.5666666666667" style="156" customWidth="1"/>
    <col min="10" max="10" width="17.8583333333333" style="156" customWidth="1"/>
    <col min="11" max="11" width="16" style="156" customWidth="1"/>
    <col min="12" max="13" width="11" style="156" customWidth="1"/>
    <col min="14" max="14" width="9.425" style="156" customWidth="1"/>
    <col min="15" max="15" width="9.14166666666667" style="156" customWidth="1"/>
    <col min="16" max="16" width="7.425" style="156" customWidth="1"/>
    <col min="17" max="17" width="9.85833333333333" style="156" customWidth="1"/>
    <col min="18" max="18" width="11.5666666666667" style="91" customWidth="1"/>
    <col min="19" max="19" width="10.8583333333333" style="91" customWidth="1"/>
    <col min="20" max="20" width="10.425" style="91" customWidth="1"/>
    <col min="21" max="21" width="16" style="91" customWidth="1"/>
    <col min="22" max="22" width="11" style="91" customWidth="1"/>
    <col min="23" max="24" width="10" style="91" customWidth="1"/>
    <col min="25" max="25" width="8.14166666666667" style="156" customWidth="1"/>
    <col min="26" max="26" width="25.5666666666667" style="156" customWidth="1"/>
    <col min="27" max="27" width="34.1416666666667" style="156" customWidth="1"/>
    <col min="28" max="28" width="42" style="157" customWidth="1"/>
    <col min="29" max="29" width="12.5666666666667" style="157" customWidth="1"/>
    <col min="30" max="30" width="19" style="158" customWidth="1"/>
    <col min="31" max="31" width="20.2833333333333" style="158" customWidth="1"/>
    <col min="32" max="32" width="18" style="158" customWidth="1"/>
    <col min="33" max="33" width="13.8583333333333" style="158" customWidth="1"/>
    <col min="34" max="34" width="15" style="158" customWidth="1"/>
    <col min="35" max="35" width="36.7083333333333" style="158" customWidth="1"/>
    <col min="36" max="36" width="29.2833333333333" style="159" customWidth="1"/>
    <col min="37" max="37" width="26" style="156" customWidth="1"/>
    <col min="38" max="16384" width="9.14166666666667" style="156"/>
  </cols>
  <sheetData>
    <row r="1" s="91" customFormat="1" spans="1:36">
      <c r="A1" s="96"/>
      <c r="B1" s="96"/>
      <c r="C1" s="96"/>
      <c r="D1" s="96"/>
      <c r="E1" s="96"/>
      <c r="F1" s="96"/>
      <c r="G1" s="96"/>
      <c r="H1" s="96"/>
      <c r="I1" s="96"/>
      <c r="AB1" s="204"/>
      <c r="AC1" s="204"/>
      <c r="AD1" s="213"/>
      <c r="AE1" s="214" t="s">
        <v>11108</v>
      </c>
      <c r="AF1" s="214"/>
      <c r="AG1" s="214"/>
      <c r="AH1" s="214"/>
      <c r="AI1" s="214"/>
      <c r="AJ1" s="159"/>
    </row>
    <row r="2" s="91" customFormat="1" spans="1:36">
      <c r="A2" s="96"/>
      <c r="B2" s="96"/>
      <c r="C2" s="96"/>
      <c r="D2" s="96"/>
      <c r="E2" s="96"/>
      <c r="F2" s="96"/>
      <c r="G2" s="96"/>
      <c r="H2" s="96"/>
      <c r="I2" s="96"/>
      <c r="AB2" s="204"/>
      <c r="AC2" s="204"/>
      <c r="AD2" s="213"/>
      <c r="AE2" s="214" t="s">
        <v>11109</v>
      </c>
      <c r="AF2" s="214"/>
      <c r="AG2" s="214"/>
      <c r="AH2" s="214"/>
      <c r="AI2" s="214"/>
      <c r="AJ2" s="159"/>
    </row>
    <row r="3" s="91" customFormat="1" spans="1:36">
      <c r="A3" s="96"/>
      <c r="B3" s="96"/>
      <c r="C3" s="96"/>
      <c r="D3" s="96"/>
      <c r="E3" s="96"/>
      <c r="F3" s="96"/>
      <c r="G3" s="96"/>
      <c r="H3" s="96"/>
      <c r="I3" s="96"/>
      <c r="P3" s="185"/>
      <c r="AB3" s="204"/>
      <c r="AC3" s="204"/>
      <c r="AD3" s="213"/>
      <c r="AE3" s="214" t="s">
        <v>11110</v>
      </c>
      <c r="AF3" s="214"/>
      <c r="AG3" s="214"/>
      <c r="AH3" s="214"/>
      <c r="AI3" s="214"/>
      <c r="AJ3" s="159"/>
    </row>
    <row r="4" s="91" customFormat="1" spans="1:36">
      <c r="A4" s="97"/>
      <c r="B4" s="97"/>
      <c r="C4" s="97"/>
      <c r="D4" s="97"/>
      <c r="E4" s="97"/>
      <c r="F4" s="97"/>
      <c r="G4" s="97"/>
      <c r="H4" s="97"/>
      <c r="I4" s="97"/>
      <c r="J4" s="97"/>
      <c r="K4" s="97"/>
      <c r="L4" s="97"/>
      <c r="M4" s="97"/>
      <c r="N4" s="97"/>
      <c r="O4" s="97"/>
      <c r="P4" s="97"/>
      <c r="Q4" s="97"/>
      <c r="R4" s="97"/>
      <c r="S4" s="97"/>
      <c r="T4" s="97"/>
      <c r="U4" s="97"/>
      <c r="V4" s="97"/>
      <c r="W4" s="97"/>
      <c r="X4" s="97"/>
      <c r="Y4" s="97"/>
      <c r="Z4" s="97"/>
      <c r="AA4" s="97"/>
      <c r="AB4" s="204"/>
      <c r="AC4" s="204"/>
      <c r="AD4" s="213"/>
      <c r="AE4" s="213"/>
      <c r="AF4" s="213"/>
      <c r="AG4" s="213"/>
      <c r="AH4" s="213"/>
      <c r="AI4" s="213"/>
      <c r="AJ4" s="159"/>
    </row>
    <row r="5" s="91" customFormat="1" spans="1:36">
      <c r="A5" s="97"/>
      <c r="B5" s="97"/>
      <c r="C5" s="97"/>
      <c r="D5" s="97"/>
      <c r="E5" s="97"/>
      <c r="F5" s="97"/>
      <c r="G5" s="97"/>
      <c r="H5" s="97"/>
      <c r="I5" s="97"/>
      <c r="J5" s="97"/>
      <c r="K5" s="97"/>
      <c r="L5" s="97"/>
      <c r="M5" s="97"/>
      <c r="N5" s="97"/>
      <c r="O5" s="97"/>
      <c r="P5" s="97"/>
      <c r="Q5" s="97"/>
      <c r="R5" s="97"/>
      <c r="S5" s="97"/>
      <c r="T5" s="97"/>
      <c r="U5" s="97"/>
      <c r="V5" s="97"/>
      <c r="W5" s="97"/>
      <c r="X5" s="97"/>
      <c r="Y5" s="97"/>
      <c r="Z5" s="97"/>
      <c r="AA5" s="97"/>
      <c r="AB5" s="204"/>
      <c r="AC5" s="204"/>
      <c r="AD5" s="213"/>
      <c r="AE5" s="213"/>
      <c r="AF5" s="213"/>
      <c r="AG5" s="213"/>
      <c r="AH5" s="213"/>
      <c r="AI5" s="213"/>
      <c r="AJ5" s="159"/>
    </row>
    <row r="6" s="91" customFormat="1" spans="1:36">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204"/>
      <c r="AC6" s="204"/>
      <c r="AD6" s="213"/>
      <c r="AE6" s="213"/>
      <c r="AF6" s="213"/>
      <c r="AG6" s="213"/>
      <c r="AH6" s="213"/>
      <c r="AI6" s="213"/>
      <c r="AJ6" s="159"/>
    </row>
    <row r="7" s="91" customFormat="1" spans="1:36">
      <c r="A7" s="97"/>
      <c r="B7" s="97"/>
      <c r="C7" s="97"/>
      <c r="D7" s="97"/>
      <c r="E7" s="97"/>
      <c r="F7" s="97"/>
      <c r="G7" s="97"/>
      <c r="H7" s="97"/>
      <c r="I7" s="97"/>
      <c r="J7" s="97"/>
      <c r="K7" s="97"/>
      <c r="L7" s="97"/>
      <c r="M7" s="97"/>
      <c r="N7" s="97"/>
      <c r="O7" s="97"/>
      <c r="P7" s="97"/>
      <c r="Q7" s="97"/>
      <c r="R7" s="97"/>
      <c r="S7" s="97"/>
      <c r="T7" s="97"/>
      <c r="U7" s="97"/>
      <c r="V7" s="97"/>
      <c r="W7" s="97"/>
      <c r="X7" s="97"/>
      <c r="Y7" s="97"/>
      <c r="Z7" s="97"/>
      <c r="AA7" s="97"/>
      <c r="AB7" s="204"/>
      <c r="AC7" s="204"/>
      <c r="AD7" s="213"/>
      <c r="AE7" s="213"/>
      <c r="AF7" s="213"/>
      <c r="AG7" s="213"/>
      <c r="AH7" s="213"/>
      <c r="AI7" s="213"/>
      <c r="AJ7" s="159"/>
    </row>
    <row r="8" s="91" customFormat="1" ht="11.25" spans="4:36">
      <c r="D8" s="96"/>
      <c r="E8" s="96"/>
      <c r="F8" s="96"/>
      <c r="G8" s="96"/>
      <c r="H8" s="96"/>
      <c r="I8" s="96"/>
      <c r="AB8" s="204"/>
      <c r="AC8" s="204"/>
      <c r="AD8" s="213"/>
      <c r="AE8" s="213"/>
      <c r="AF8" s="213"/>
      <c r="AG8" s="213"/>
      <c r="AH8" s="213"/>
      <c r="AI8" s="213"/>
      <c r="AJ8" s="159"/>
    </row>
    <row r="9" s="91" customFormat="1" ht="12" customHeight="1" spans="1:36">
      <c r="A9" s="98" t="s">
        <v>0</v>
      </c>
      <c r="B9" s="98" t="s">
        <v>17070</v>
      </c>
      <c r="C9" s="98" t="s">
        <v>11423</v>
      </c>
      <c r="D9" s="98" t="s">
        <v>2</v>
      </c>
      <c r="E9" s="98" t="s">
        <v>3</v>
      </c>
      <c r="F9" s="98" t="s">
        <v>17071</v>
      </c>
      <c r="G9" s="98" t="s">
        <v>4</v>
      </c>
      <c r="H9" s="98" t="s">
        <v>7929</v>
      </c>
      <c r="I9" s="98" t="s">
        <v>6</v>
      </c>
      <c r="J9" s="98" t="s">
        <v>8</v>
      </c>
      <c r="K9" s="98" t="s">
        <v>17072</v>
      </c>
      <c r="L9" s="174" t="s">
        <v>9</v>
      </c>
      <c r="M9" s="186"/>
      <c r="N9" s="174" t="s">
        <v>14411</v>
      </c>
      <c r="O9" s="186"/>
      <c r="P9" s="98" t="s">
        <v>14</v>
      </c>
      <c r="Q9" s="103" t="s">
        <v>15</v>
      </c>
      <c r="R9" s="98" t="s">
        <v>16</v>
      </c>
      <c r="S9" s="189" t="s">
        <v>17073</v>
      </c>
      <c r="T9" s="189" t="s">
        <v>17074</v>
      </c>
      <c r="U9" s="189" t="s">
        <v>17075</v>
      </c>
      <c r="V9" s="98" t="s">
        <v>17076</v>
      </c>
      <c r="W9" s="98" t="s">
        <v>24</v>
      </c>
      <c r="X9" s="98" t="s">
        <v>17077</v>
      </c>
      <c r="Y9" s="98" t="s">
        <v>14418</v>
      </c>
      <c r="Z9" s="98" t="s">
        <v>3509</v>
      </c>
      <c r="AA9" s="98" t="s">
        <v>15</v>
      </c>
      <c r="AB9" s="205" t="s">
        <v>28</v>
      </c>
      <c r="AC9" s="215" t="s">
        <v>29</v>
      </c>
      <c r="AD9" s="216" t="s">
        <v>30</v>
      </c>
      <c r="AE9" s="217" t="s">
        <v>32</v>
      </c>
      <c r="AF9" s="217" t="s">
        <v>31</v>
      </c>
      <c r="AG9" s="217" t="s">
        <v>33</v>
      </c>
      <c r="AH9" s="217" t="s">
        <v>34</v>
      </c>
      <c r="AI9" s="217" t="s">
        <v>12150</v>
      </c>
      <c r="AJ9" s="226" t="s">
        <v>36</v>
      </c>
    </row>
    <row r="10" s="91" customFormat="1" ht="12" spans="1:36">
      <c r="A10" s="99"/>
      <c r="B10" s="99"/>
      <c r="C10" s="99"/>
      <c r="D10" s="99"/>
      <c r="E10" s="99"/>
      <c r="F10" s="99" t="s">
        <v>17078</v>
      </c>
      <c r="G10" s="99"/>
      <c r="H10" s="99"/>
      <c r="I10" s="99"/>
      <c r="J10" s="99"/>
      <c r="K10" s="99"/>
      <c r="L10" s="103" t="s">
        <v>37</v>
      </c>
      <c r="M10" s="103" t="s">
        <v>38</v>
      </c>
      <c r="N10" s="103">
        <v>1</v>
      </c>
      <c r="O10" s="103">
        <v>2</v>
      </c>
      <c r="P10" s="99"/>
      <c r="Q10" s="111"/>
      <c r="R10" s="99"/>
      <c r="S10" s="190"/>
      <c r="T10" s="190"/>
      <c r="U10" s="190"/>
      <c r="V10" s="99"/>
      <c r="W10" s="99"/>
      <c r="X10" s="99"/>
      <c r="Y10" s="99"/>
      <c r="Z10" s="115"/>
      <c r="AA10" s="115"/>
      <c r="AB10" s="206"/>
      <c r="AC10" s="218"/>
      <c r="AD10" s="219"/>
      <c r="AE10" s="220"/>
      <c r="AF10" s="220"/>
      <c r="AG10" s="220"/>
      <c r="AH10" s="220"/>
      <c r="AI10" s="220"/>
      <c r="AJ10" s="227"/>
    </row>
    <row r="11" ht="14.1" customHeight="1" spans="1:39">
      <c r="A11" s="1585" t="s">
        <v>39</v>
      </c>
      <c r="B11" s="1585" t="s">
        <v>17079</v>
      </c>
      <c r="C11" s="1615" t="s">
        <v>17080</v>
      </c>
      <c r="D11" s="101" t="s">
        <v>17081</v>
      </c>
      <c r="E11" s="169" t="s">
        <v>17082</v>
      </c>
      <c r="F11" s="169" t="s">
        <v>1110</v>
      </c>
      <c r="G11" s="170" t="s">
        <v>43</v>
      </c>
      <c r="H11" s="102" t="s">
        <v>254</v>
      </c>
      <c r="I11" s="102" t="s">
        <v>17083</v>
      </c>
      <c r="J11" s="100" t="s">
        <v>17084</v>
      </c>
      <c r="K11" s="100" t="s">
        <v>17085</v>
      </c>
      <c r="L11" s="106">
        <v>43009</v>
      </c>
      <c r="M11" s="106">
        <v>43373</v>
      </c>
      <c r="N11" s="106" t="s">
        <v>325</v>
      </c>
      <c r="O11" s="106"/>
      <c r="P11" s="48">
        <f ca="1">SUM(M11-NOW())</f>
        <v>100.61546296296</v>
      </c>
      <c r="Q11" s="49" t="str">
        <f ca="1" t="shared" ref="Q11:Q32" si="0">IF(P11&lt;=40,"WARNING","ACTIVE")</f>
        <v>ACTIVE</v>
      </c>
      <c r="R11" s="191">
        <v>12640320</v>
      </c>
      <c r="S11" s="191"/>
      <c r="T11" s="116"/>
      <c r="U11" s="191"/>
      <c r="V11" s="116"/>
      <c r="W11" s="196">
        <v>3500000</v>
      </c>
      <c r="X11" s="197"/>
      <c r="Y11" s="207" t="s">
        <v>112</v>
      </c>
      <c r="Z11" s="207" t="s">
        <v>14576</v>
      </c>
      <c r="AA11" s="101" t="s">
        <v>17086</v>
      </c>
      <c r="AB11" s="208" t="s">
        <v>17087</v>
      </c>
      <c r="AC11" s="208" t="s">
        <v>17088</v>
      </c>
      <c r="AD11" s="221" t="s">
        <v>17089</v>
      </c>
      <c r="AE11" s="221" t="s">
        <v>17090</v>
      </c>
      <c r="AF11" s="1586" t="s">
        <v>17091</v>
      </c>
      <c r="AG11" s="1586" t="s">
        <v>17092</v>
      </c>
      <c r="AH11" s="221" t="s">
        <v>17093</v>
      </c>
      <c r="AI11" s="127" t="s">
        <v>17094</v>
      </c>
      <c r="AJ11" s="228"/>
      <c r="AK11" s="156" t="s">
        <v>920</v>
      </c>
      <c r="AL11" s="156">
        <v>12640320</v>
      </c>
      <c r="AM11" s="156" t="s">
        <v>17083</v>
      </c>
    </row>
    <row r="12" ht="14.1" customHeight="1" spans="1:38">
      <c r="A12" s="1585" t="s">
        <v>56</v>
      </c>
      <c r="B12" s="1585" t="s">
        <v>17095</v>
      </c>
      <c r="C12" s="1615" t="s">
        <v>17080</v>
      </c>
      <c r="D12" s="101" t="s">
        <v>17096</v>
      </c>
      <c r="E12" s="169" t="s">
        <v>17097</v>
      </c>
      <c r="F12" s="169" t="s">
        <v>17098</v>
      </c>
      <c r="G12" s="170" t="s">
        <v>43</v>
      </c>
      <c r="H12" s="102" t="s">
        <v>96</v>
      </c>
      <c r="I12" s="102" t="s">
        <v>17099</v>
      </c>
      <c r="J12" s="100" t="s">
        <v>17100</v>
      </c>
      <c r="K12" s="100" t="s">
        <v>17101</v>
      </c>
      <c r="L12" s="106">
        <v>43009</v>
      </c>
      <c r="M12" s="106">
        <v>43373</v>
      </c>
      <c r="N12" s="106" t="s">
        <v>325</v>
      </c>
      <c r="O12" s="106"/>
      <c r="P12" s="48">
        <f ca="1" t="shared" ref="P12:P29" si="1">SUM(M12-NOW())</f>
        <v>100.61546296296</v>
      </c>
      <c r="Q12" s="49" t="str">
        <f ca="1" t="shared" si="0"/>
        <v>ACTIVE</v>
      </c>
      <c r="R12" s="191">
        <v>8910000</v>
      </c>
      <c r="S12" s="191"/>
      <c r="T12" s="116"/>
      <c r="U12" s="191"/>
      <c r="V12" s="116"/>
      <c r="W12" s="196">
        <v>1000000</v>
      </c>
      <c r="X12" s="197"/>
      <c r="Y12" s="207" t="s">
        <v>112</v>
      </c>
      <c r="Z12" s="207" t="s">
        <v>14576</v>
      </c>
      <c r="AA12" s="101" t="s">
        <v>17102</v>
      </c>
      <c r="AB12" s="208" t="s">
        <v>17103</v>
      </c>
      <c r="AC12" s="208" t="s">
        <v>17104</v>
      </c>
      <c r="AD12" s="221" t="s">
        <v>17105</v>
      </c>
      <c r="AE12" s="221" t="s">
        <v>17106</v>
      </c>
      <c r="AF12" s="1586" t="s">
        <v>17107</v>
      </c>
      <c r="AG12" s="1586" t="s">
        <v>17108</v>
      </c>
      <c r="AH12" s="221" t="s">
        <v>17109</v>
      </c>
      <c r="AI12" s="128" t="s">
        <v>17110</v>
      </c>
      <c r="AJ12" s="228"/>
      <c r="AK12" s="156" t="s">
        <v>17099</v>
      </c>
      <c r="AL12" s="156">
        <v>8910000</v>
      </c>
    </row>
    <row r="13" ht="14.1" customHeight="1" spans="1:38">
      <c r="A13" s="1585" t="s">
        <v>68</v>
      </c>
      <c r="B13" s="1585" t="s">
        <v>17111</v>
      </c>
      <c r="C13" s="1615" t="s">
        <v>17080</v>
      </c>
      <c r="D13" s="101" t="s">
        <v>17112</v>
      </c>
      <c r="E13" s="169" t="s">
        <v>17113</v>
      </c>
      <c r="F13" s="169"/>
      <c r="G13" s="170" t="s">
        <v>43</v>
      </c>
      <c r="H13" s="102" t="s">
        <v>96</v>
      </c>
      <c r="I13" s="102" t="s">
        <v>7558</v>
      </c>
      <c r="J13" s="100" t="s">
        <v>17114</v>
      </c>
      <c r="K13" s="100" t="s">
        <v>17101</v>
      </c>
      <c r="L13" s="106">
        <v>43009</v>
      </c>
      <c r="M13" s="106">
        <v>43373</v>
      </c>
      <c r="N13" s="106" t="s">
        <v>325</v>
      </c>
      <c r="O13" s="106"/>
      <c r="P13" s="48">
        <f ca="1" t="shared" si="1"/>
        <v>100.61546296296</v>
      </c>
      <c r="Q13" s="49" t="str">
        <f ca="1" t="shared" si="0"/>
        <v>ACTIVE</v>
      </c>
      <c r="R13" s="191">
        <v>10993871</v>
      </c>
      <c r="S13" s="191"/>
      <c r="T13" s="116"/>
      <c r="U13" s="191"/>
      <c r="V13" s="116"/>
      <c r="W13" s="196">
        <v>1000000</v>
      </c>
      <c r="X13" s="197"/>
      <c r="Y13" s="207" t="s">
        <v>112</v>
      </c>
      <c r="Z13" s="207" t="s">
        <v>14576</v>
      </c>
      <c r="AA13" s="101" t="s">
        <v>17115</v>
      </c>
      <c r="AB13" s="208" t="s">
        <v>17116</v>
      </c>
      <c r="AC13" s="208" t="s">
        <v>17117</v>
      </c>
      <c r="AD13" s="221" t="s">
        <v>17118</v>
      </c>
      <c r="AE13" s="221" t="s">
        <v>17119</v>
      </c>
      <c r="AF13" s="1586" t="s">
        <v>17120</v>
      </c>
      <c r="AG13" s="1586" t="s">
        <v>17121</v>
      </c>
      <c r="AH13" s="221" t="s">
        <v>17122</v>
      </c>
      <c r="AI13" s="128" t="s">
        <v>17123</v>
      </c>
      <c r="AJ13" s="228"/>
      <c r="AK13" s="156" t="s">
        <v>7558</v>
      </c>
      <c r="AL13" s="156">
        <v>10993871</v>
      </c>
    </row>
    <row r="14" ht="14.1" customHeight="1" spans="1:38">
      <c r="A14" s="1585" t="s">
        <v>78</v>
      </c>
      <c r="B14" s="1585" t="s">
        <v>17124</v>
      </c>
      <c r="C14" s="1615" t="s">
        <v>17080</v>
      </c>
      <c r="D14" s="101" t="s">
        <v>17125</v>
      </c>
      <c r="E14" s="169" t="s">
        <v>17126</v>
      </c>
      <c r="F14" s="169" t="s">
        <v>17127</v>
      </c>
      <c r="G14" s="170" t="s">
        <v>43</v>
      </c>
      <c r="H14" s="102" t="s">
        <v>254</v>
      </c>
      <c r="I14" s="102" t="s">
        <v>10370</v>
      </c>
      <c r="J14" s="100" t="s">
        <v>17128</v>
      </c>
      <c r="K14" s="100" t="s">
        <v>17129</v>
      </c>
      <c r="L14" s="106">
        <v>43009</v>
      </c>
      <c r="M14" s="106">
        <v>43373</v>
      </c>
      <c r="N14" s="106" t="s">
        <v>325</v>
      </c>
      <c r="O14" s="106"/>
      <c r="P14" s="48">
        <f ca="1" t="shared" si="1"/>
        <v>100.61546296296</v>
      </c>
      <c r="Q14" s="49" t="str">
        <f ca="1" t="shared" si="0"/>
        <v>ACTIVE</v>
      </c>
      <c r="R14" s="191">
        <v>10179472</v>
      </c>
      <c r="S14" s="191"/>
      <c r="T14" s="116"/>
      <c r="U14" s="191"/>
      <c r="V14" s="116"/>
      <c r="W14" s="196">
        <v>1000000</v>
      </c>
      <c r="X14" s="197"/>
      <c r="Y14" s="207" t="s">
        <v>112</v>
      </c>
      <c r="Z14" s="207" t="s">
        <v>14576</v>
      </c>
      <c r="AA14" s="101" t="s">
        <v>17130</v>
      </c>
      <c r="AB14" s="208" t="s">
        <v>17131</v>
      </c>
      <c r="AC14" s="208" t="s">
        <v>17132</v>
      </c>
      <c r="AD14" s="221" t="s">
        <v>17133</v>
      </c>
      <c r="AE14" s="221" t="s">
        <v>17134</v>
      </c>
      <c r="AF14" s="1586" t="s">
        <v>17135</v>
      </c>
      <c r="AG14" s="1586" t="s">
        <v>2574</v>
      </c>
      <c r="AH14" s="221" t="s">
        <v>17136</v>
      </c>
      <c r="AI14" s="128" t="s">
        <v>17137</v>
      </c>
      <c r="AJ14" s="228"/>
      <c r="AK14" s="156" t="s">
        <v>10370</v>
      </c>
      <c r="AL14" s="156">
        <v>10179472</v>
      </c>
    </row>
    <row r="15" s="155" customFormat="1" ht="14.1" customHeight="1" spans="1:39">
      <c r="A15" s="1585" t="s">
        <v>92</v>
      </c>
      <c r="B15" s="1590" t="s">
        <v>17138</v>
      </c>
      <c r="C15" s="1618" t="s">
        <v>17080</v>
      </c>
      <c r="D15" s="163" t="s">
        <v>17139</v>
      </c>
      <c r="E15" s="171" t="s">
        <v>17140</v>
      </c>
      <c r="F15" s="171" t="s">
        <v>17141</v>
      </c>
      <c r="G15" s="172" t="s">
        <v>43</v>
      </c>
      <c r="H15" s="173" t="s">
        <v>44</v>
      </c>
      <c r="I15" s="173" t="s">
        <v>17142</v>
      </c>
      <c r="J15" s="161" t="s">
        <v>17143</v>
      </c>
      <c r="K15" s="161" t="s">
        <v>17085</v>
      </c>
      <c r="L15" s="175">
        <v>43009</v>
      </c>
      <c r="M15" s="175">
        <v>43373</v>
      </c>
      <c r="N15" s="175" t="s">
        <v>325</v>
      </c>
      <c r="O15" s="175"/>
      <c r="P15" s="53">
        <f ca="1" t="shared" si="1"/>
        <v>100.61546296296</v>
      </c>
      <c r="Q15" s="42" t="str">
        <f ca="1" t="shared" si="0"/>
        <v>ACTIVE</v>
      </c>
      <c r="R15" s="192">
        <v>8838008</v>
      </c>
      <c r="S15" s="192"/>
      <c r="T15" s="179"/>
      <c r="U15" s="192"/>
      <c r="V15" s="179"/>
      <c r="W15" s="198">
        <v>2500000</v>
      </c>
      <c r="X15" s="199"/>
      <c r="Y15" s="181" t="s">
        <v>112</v>
      </c>
      <c r="Z15" s="181" t="s">
        <v>14576</v>
      </c>
      <c r="AA15" s="163" t="s">
        <v>17144</v>
      </c>
      <c r="AB15" s="209" t="s">
        <v>17145</v>
      </c>
      <c r="AC15" s="209" t="s">
        <v>17146</v>
      </c>
      <c r="AD15" s="222" t="s">
        <v>17147</v>
      </c>
      <c r="AE15" s="222" t="s">
        <v>17148</v>
      </c>
      <c r="AF15" s="1591" t="s">
        <v>17149</v>
      </c>
      <c r="AG15" s="1591" t="s">
        <v>17150</v>
      </c>
      <c r="AH15" s="1591" t="s">
        <v>17151</v>
      </c>
      <c r="AI15" s="229" t="s">
        <v>17152</v>
      </c>
      <c r="AJ15" s="230" t="s">
        <v>17153</v>
      </c>
      <c r="AK15" s="155" t="s">
        <v>1793</v>
      </c>
      <c r="AL15" s="155">
        <v>8838008</v>
      </c>
      <c r="AM15" s="155" t="s">
        <v>17142</v>
      </c>
    </row>
    <row r="16" ht="14.1" customHeight="1" spans="1:38">
      <c r="A16" s="1585" t="s">
        <v>107</v>
      </c>
      <c r="B16" s="1585" t="s">
        <v>17154</v>
      </c>
      <c r="C16" s="1615" t="s">
        <v>17080</v>
      </c>
      <c r="D16" s="101" t="s">
        <v>17155</v>
      </c>
      <c r="E16" s="169" t="s">
        <v>17156</v>
      </c>
      <c r="F16" s="169"/>
      <c r="G16" s="170" t="s">
        <v>43</v>
      </c>
      <c r="H16" s="102" t="s">
        <v>60</v>
      </c>
      <c r="I16" s="102" t="s">
        <v>920</v>
      </c>
      <c r="J16" s="100" t="s">
        <v>17157</v>
      </c>
      <c r="K16" s="100" t="s">
        <v>17158</v>
      </c>
      <c r="L16" s="106">
        <v>43009</v>
      </c>
      <c r="M16" s="106">
        <v>43373</v>
      </c>
      <c r="N16" s="106" t="s">
        <v>325</v>
      </c>
      <c r="O16" s="106"/>
      <c r="P16" s="48">
        <f ca="1" t="shared" si="1"/>
        <v>100.61546296296</v>
      </c>
      <c r="Q16" s="49" t="str">
        <f ca="1" t="shared" si="0"/>
        <v>ACTIVE</v>
      </c>
      <c r="R16" s="191">
        <v>13493066</v>
      </c>
      <c r="S16" s="191"/>
      <c r="T16" s="116"/>
      <c r="U16" s="191"/>
      <c r="V16" s="116"/>
      <c r="W16" s="196">
        <v>1000000</v>
      </c>
      <c r="X16" s="197"/>
      <c r="Y16" s="207" t="s">
        <v>112</v>
      </c>
      <c r="Z16" s="207" t="s">
        <v>14576</v>
      </c>
      <c r="AA16" s="101" t="s">
        <v>17159</v>
      </c>
      <c r="AB16" s="208" t="s">
        <v>17160</v>
      </c>
      <c r="AC16" s="208" t="s">
        <v>17161</v>
      </c>
      <c r="AD16" s="221" t="s">
        <v>17162</v>
      </c>
      <c r="AE16" s="221" t="s">
        <v>17163</v>
      </c>
      <c r="AF16" s="1586" t="s">
        <v>17164</v>
      </c>
      <c r="AG16" s="221"/>
      <c r="AH16" s="221" t="s">
        <v>17165</v>
      </c>
      <c r="AI16" s="128" t="s">
        <v>17166</v>
      </c>
      <c r="AJ16" s="228"/>
      <c r="AK16" s="156" t="s">
        <v>920</v>
      </c>
      <c r="AL16" s="156">
        <v>13493066</v>
      </c>
    </row>
    <row r="17" ht="14.1" customHeight="1" spans="1:38">
      <c r="A17" s="1585" t="s">
        <v>121</v>
      </c>
      <c r="B17" s="1585" t="s">
        <v>17167</v>
      </c>
      <c r="C17" s="1615" t="s">
        <v>17080</v>
      </c>
      <c r="D17" s="101" t="s">
        <v>17168</v>
      </c>
      <c r="E17" s="169" t="s">
        <v>17169</v>
      </c>
      <c r="F17" s="169" t="s">
        <v>17170</v>
      </c>
      <c r="G17" s="170" t="s">
        <v>43</v>
      </c>
      <c r="H17" s="102" t="s">
        <v>44</v>
      </c>
      <c r="I17" s="102" t="s">
        <v>1300</v>
      </c>
      <c r="J17" s="100" t="s">
        <v>17171</v>
      </c>
      <c r="K17" s="100" t="s">
        <v>17085</v>
      </c>
      <c r="L17" s="176">
        <v>43009</v>
      </c>
      <c r="M17" s="176">
        <v>43373</v>
      </c>
      <c r="N17" s="176" t="s">
        <v>325</v>
      </c>
      <c r="O17" s="106"/>
      <c r="P17" s="48">
        <f ca="1" t="shared" si="1"/>
        <v>100.61546296296</v>
      </c>
      <c r="Q17" s="49" t="str">
        <f ca="1" t="shared" si="0"/>
        <v>ACTIVE</v>
      </c>
      <c r="R17" s="191">
        <v>12451844</v>
      </c>
      <c r="S17" s="191"/>
      <c r="T17" s="116"/>
      <c r="U17" s="191"/>
      <c r="V17" s="116"/>
      <c r="W17" s="196">
        <v>1000000</v>
      </c>
      <c r="X17" s="197"/>
      <c r="Y17" s="207" t="s">
        <v>112</v>
      </c>
      <c r="Z17" s="207" t="s">
        <v>14576</v>
      </c>
      <c r="AA17" s="101" t="s">
        <v>17172</v>
      </c>
      <c r="AB17" s="208" t="s">
        <v>17173</v>
      </c>
      <c r="AC17" s="208" t="s">
        <v>17174</v>
      </c>
      <c r="AD17" s="221" t="s">
        <v>17175</v>
      </c>
      <c r="AE17" s="221" t="s">
        <v>17176</v>
      </c>
      <c r="AF17" s="1586" t="s">
        <v>17177</v>
      </c>
      <c r="AG17" s="221"/>
      <c r="AH17" s="221"/>
      <c r="AI17" s="127" t="s">
        <v>17178</v>
      </c>
      <c r="AJ17" s="228"/>
      <c r="AK17" s="156" t="s">
        <v>1300</v>
      </c>
      <c r="AL17" s="156">
        <v>12451844</v>
      </c>
    </row>
    <row r="18" ht="14.1" customHeight="1" spans="1:38">
      <c r="A18" s="1585" t="s">
        <v>135</v>
      </c>
      <c r="B18" s="1585" t="s">
        <v>17179</v>
      </c>
      <c r="C18" s="1615" t="s">
        <v>6517</v>
      </c>
      <c r="D18" s="101" t="s">
        <v>17180</v>
      </c>
      <c r="E18" s="169" t="s">
        <v>17181</v>
      </c>
      <c r="F18" s="169"/>
      <c r="G18" s="170" t="s">
        <v>43</v>
      </c>
      <c r="H18" s="102" t="s">
        <v>880</v>
      </c>
      <c r="I18" s="102" t="s">
        <v>920</v>
      </c>
      <c r="J18" s="100" t="s">
        <v>17157</v>
      </c>
      <c r="K18" s="100"/>
      <c r="L18" s="106">
        <v>43010</v>
      </c>
      <c r="M18" s="106">
        <v>43373</v>
      </c>
      <c r="N18" s="106" t="s">
        <v>325</v>
      </c>
      <c r="O18" s="106"/>
      <c r="P18" s="48">
        <f ca="1" t="shared" si="1"/>
        <v>100.61546296296</v>
      </c>
      <c r="Q18" s="49" t="str">
        <f ca="1" t="shared" si="0"/>
        <v>ACTIVE</v>
      </c>
      <c r="R18" s="191">
        <v>11880000</v>
      </c>
      <c r="S18" s="191"/>
      <c r="T18" s="116"/>
      <c r="U18" s="191"/>
      <c r="V18" s="116"/>
      <c r="W18" s="196">
        <v>1000000</v>
      </c>
      <c r="X18" s="197"/>
      <c r="Y18" s="207" t="s">
        <v>112</v>
      </c>
      <c r="Z18" s="207" t="s">
        <v>14576</v>
      </c>
      <c r="AA18" s="101" t="s">
        <v>17182</v>
      </c>
      <c r="AB18" s="208" t="s">
        <v>17183</v>
      </c>
      <c r="AC18" s="208" t="s">
        <v>17184</v>
      </c>
      <c r="AD18" s="221" t="s">
        <v>17185</v>
      </c>
      <c r="AE18" s="221" t="s">
        <v>17186</v>
      </c>
      <c r="AF18" s="1586" t="s">
        <v>17187</v>
      </c>
      <c r="AG18" s="1586" t="s">
        <v>5647</v>
      </c>
      <c r="AH18" s="221" t="s">
        <v>17188</v>
      </c>
      <c r="AI18" s="127" t="s">
        <v>17189</v>
      </c>
      <c r="AJ18" s="228"/>
      <c r="AK18" s="156" t="s">
        <v>920</v>
      </c>
      <c r="AL18" s="156">
        <v>11880000</v>
      </c>
    </row>
    <row r="19" ht="14.1" customHeight="1" spans="1:36">
      <c r="A19" s="1585" t="s">
        <v>146</v>
      </c>
      <c r="B19" s="1585" t="s">
        <v>17190</v>
      </c>
      <c r="C19" s="1615" t="s">
        <v>17080</v>
      </c>
      <c r="D19" s="101" t="s">
        <v>17191</v>
      </c>
      <c r="E19" s="169" t="s">
        <v>17192</v>
      </c>
      <c r="F19" s="169" t="s">
        <v>17193</v>
      </c>
      <c r="G19" s="170" t="s">
        <v>125</v>
      </c>
      <c r="H19" s="102" t="s">
        <v>44</v>
      </c>
      <c r="I19" s="102" t="s">
        <v>3528</v>
      </c>
      <c r="J19" s="100" t="s">
        <v>17194</v>
      </c>
      <c r="K19" s="100"/>
      <c r="L19" s="106">
        <v>43009</v>
      </c>
      <c r="M19" s="106">
        <v>43373</v>
      </c>
      <c r="N19" s="106" t="s">
        <v>604</v>
      </c>
      <c r="O19" s="106"/>
      <c r="P19" s="48">
        <f ca="1" t="shared" si="1"/>
        <v>100.61546296296</v>
      </c>
      <c r="Q19" s="49" t="str">
        <f ca="1" t="shared" si="0"/>
        <v>ACTIVE</v>
      </c>
      <c r="R19" s="191">
        <v>7524479</v>
      </c>
      <c r="S19" s="191"/>
      <c r="T19" s="116"/>
      <c r="U19" s="191"/>
      <c r="V19" s="116"/>
      <c r="W19" s="196">
        <v>500000</v>
      </c>
      <c r="X19" s="197"/>
      <c r="Y19" s="207" t="s">
        <v>112</v>
      </c>
      <c r="Z19" s="207" t="s">
        <v>14576</v>
      </c>
      <c r="AA19" s="101" t="s">
        <v>17195</v>
      </c>
      <c r="AB19" s="208" t="s">
        <v>17196</v>
      </c>
      <c r="AC19" s="208">
        <v>0</v>
      </c>
      <c r="AD19" s="221" t="s">
        <v>17197</v>
      </c>
      <c r="AE19" s="221" t="s">
        <v>17198</v>
      </c>
      <c r="AF19" s="1586" t="s">
        <v>17199</v>
      </c>
      <c r="AG19" s="221"/>
      <c r="AH19" s="221"/>
      <c r="AI19" s="128" t="s">
        <v>17200</v>
      </c>
      <c r="AJ19" s="228"/>
    </row>
    <row r="20" ht="14.1" customHeight="1" spans="1:36">
      <c r="A20" s="1585" t="s">
        <v>157</v>
      </c>
      <c r="B20" s="1585" t="s">
        <v>17201</v>
      </c>
      <c r="C20" s="1615" t="s">
        <v>17080</v>
      </c>
      <c r="D20" s="101" t="s">
        <v>17202</v>
      </c>
      <c r="E20" s="169" t="s">
        <v>17203</v>
      </c>
      <c r="F20" s="169"/>
      <c r="G20" s="170" t="s">
        <v>125</v>
      </c>
      <c r="H20" s="102" t="s">
        <v>60</v>
      </c>
      <c r="I20" s="102" t="s">
        <v>3528</v>
      </c>
      <c r="J20" s="100" t="s">
        <v>17194</v>
      </c>
      <c r="K20" s="100"/>
      <c r="L20" s="106">
        <v>43009</v>
      </c>
      <c r="M20" s="106">
        <v>43373</v>
      </c>
      <c r="N20" s="106" t="s">
        <v>604</v>
      </c>
      <c r="O20" s="106"/>
      <c r="P20" s="48">
        <f ca="1" t="shared" si="1"/>
        <v>100.61546296296</v>
      </c>
      <c r="Q20" s="49" t="str">
        <f ca="1" t="shared" si="0"/>
        <v>ACTIVE</v>
      </c>
      <c r="R20" s="191">
        <v>5557892</v>
      </c>
      <c r="S20" s="191"/>
      <c r="T20" s="116"/>
      <c r="U20" s="191"/>
      <c r="V20" s="116"/>
      <c r="W20" s="196" t="s">
        <v>583</v>
      </c>
      <c r="X20" s="197"/>
      <c r="Y20" s="207" t="s">
        <v>112</v>
      </c>
      <c r="Z20" s="207" t="s">
        <v>14576</v>
      </c>
      <c r="AA20" s="101" t="s">
        <v>17204</v>
      </c>
      <c r="AB20" s="208" t="s">
        <v>17205</v>
      </c>
      <c r="AC20" s="208">
        <v>0</v>
      </c>
      <c r="AD20" s="221" t="s">
        <v>17206</v>
      </c>
      <c r="AE20" s="221" t="s">
        <v>17207</v>
      </c>
      <c r="AF20" s="1586" t="s">
        <v>17208</v>
      </c>
      <c r="AG20" s="1586" t="s">
        <v>17209</v>
      </c>
      <c r="AH20" s="221"/>
      <c r="AI20" s="128" t="s">
        <v>17210</v>
      </c>
      <c r="AJ20" s="228"/>
    </row>
    <row r="21" ht="14.1" customHeight="1" spans="1:36">
      <c r="A21" s="1585" t="s">
        <v>168</v>
      </c>
      <c r="B21" s="1585" t="s">
        <v>17211</v>
      </c>
      <c r="C21" s="1615" t="s">
        <v>17080</v>
      </c>
      <c r="D21" s="101" t="s">
        <v>17212</v>
      </c>
      <c r="E21" s="169" t="s">
        <v>17213</v>
      </c>
      <c r="F21" s="169"/>
      <c r="G21" s="170" t="s">
        <v>43</v>
      </c>
      <c r="H21" s="102" t="s">
        <v>44</v>
      </c>
      <c r="I21" s="102" t="s">
        <v>3528</v>
      </c>
      <c r="J21" s="100" t="s">
        <v>17194</v>
      </c>
      <c r="K21" s="100"/>
      <c r="L21" s="106">
        <v>43009</v>
      </c>
      <c r="M21" s="106">
        <v>43373</v>
      </c>
      <c r="N21" s="106" t="s">
        <v>604</v>
      </c>
      <c r="O21" s="106"/>
      <c r="P21" s="48">
        <f ca="1" t="shared" si="1"/>
        <v>100.61546296296</v>
      </c>
      <c r="Q21" s="49" t="str">
        <f ca="1" t="shared" si="0"/>
        <v>ACTIVE</v>
      </c>
      <c r="R21" s="191">
        <v>3749072</v>
      </c>
      <c r="S21" s="191"/>
      <c r="T21" s="116"/>
      <c r="U21" s="191"/>
      <c r="V21" s="116"/>
      <c r="W21" s="196">
        <v>200000</v>
      </c>
      <c r="X21" s="197"/>
      <c r="Y21" s="207" t="s">
        <v>112</v>
      </c>
      <c r="Z21" s="207" t="s">
        <v>14576</v>
      </c>
      <c r="AA21" s="101" t="s">
        <v>17214</v>
      </c>
      <c r="AB21" s="208" t="s">
        <v>17215</v>
      </c>
      <c r="AC21" s="208">
        <v>0</v>
      </c>
      <c r="AD21" s="221" t="s">
        <v>17216</v>
      </c>
      <c r="AE21" s="221" t="s">
        <v>17217</v>
      </c>
      <c r="AF21" s="1586" t="s">
        <v>17218</v>
      </c>
      <c r="AG21" s="221"/>
      <c r="AH21" s="221" t="s">
        <v>17219</v>
      </c>
      <c r="AI21" s="128" t="s">
        <v>17220</v>
      </c>
      <c r="AJ21" s="228"/>
    </row>
    <row r="22" ht="14.1" customHeight="1" spans="1:36">
      <c r="A22" s="1585" t="s">
        <v>181</v>
      </c>
      <c r="B22" s="1585" t="s">
        <v>17221</v>
      </c>
      <c r="C22" s="1615" t="s">
        <v>17080</v>
      </c>
      <c r="D22" s="101" t="s">
        <v>17222</v>
      </c>
      <c r="E22" s="169" t="s">
        <v>17223</v>
      </c>
      <c r="F22" s="169"/>
      <c r="G22" s="170" t="s">
        <v>43</v>
      </c>
      <c r="H22" s="102" t="s">
        <v>44</v>
      </c>
      <c r="I22" s="102" t="s">
        <v>3528</v>
      </c>
      <c r="J22" s="100" t="s">
        <v>17194</v>
      </c>
      <c r="K22" s="100"/>
      <c r="L22" s="106">
        <v>43009</v>
      </c>
      <c r="M22" s="106">
        <v>43373</v>
      </c>
      <c r="N22" s="106" t="s">
        <v>604</v>
      </c>
      <c r="O22" s="106"/>
      <c r="P22" s="48">
        <f ca="1" t="shared" si="1"/>
        <v>100.61546296296</v>
      </c>
      <c r="Q22" s="49" t="str">
        <f ca="1" t="shared" si="0"/>
        <v>ACTIVE</v>
      </c>
      <c r="R22" s="191">
        <v>5082000</v>
      </c>
      <c r="S22" s="191"/>
      <c r="T22" s="116"/>
      <c r="U22" s="191"/>
      <c r="V22" s="116"/>
      <c r="W22" s="196">
        <v>500000</v>
      </c>
      <c r="X22" s="197"/>
      <c r="Y22" s="207" t="s">
        <v>112</v>
      </c>
      <c r="Z22" s="207" t="s">
        <v>14576</v>
      </c>
      <c r="AA22" s="101" t="s">
        <v>17224</v>
      </c>
      <c r="AB22" s="208" t="s">
        <v>17225</v>
      </c>
      <c r="AC22" s="208" t="s">
        <v>17226</v>
      </c>
      <c r="AD22" s="221" t="s">
        <v>17227</v>
      </c>
      <c r="AE22" s="221" t="s">
        <v>17228</v>
      </c>
      <c r="AF22" s="1586" t="s">
        <v>17229</v>
      </c>
      <c r="AG22" s="1586" t="s">
        <v>17230</v>
      </c>
      <c r="AH22" s="221" t="s">
        <v>17231</v>
      </c>
      <c r="AI22" s="127" t="s">
        <v>17232</v>
      </c>
      <c r="AJ22" s="228"/>
    </row>
    <row r="23" ht="14.1" customHeight="1" spans="1:36">
      <c r="A23" s="1585" t="s">
        <v>194</v>
      </c>
      <c r="B23" s="1585" t="s">
        <v>17233</v>
      </c>
      <c r="C23" s="1615" t="s">
        <v>17080</v>
      </c>
      <c r="D23" s="101" t="s">
        <v>17234</v>
      </c>
      <c r="E23" s="169" t="s">
        <v>17235</v>
      </c>
      <c r="F23" s="169" t="s">
        <v>17236</v>
      </c>
      <c r="G23" s="170" t="s">
        <v>43</v>
      </c>
      <c r="H23" s="102" t="s">
        <v>60</v>
      </c>
      <c r="I23" s="102" t="s">
        <v>3528</v>
      </c>
      <c r="J23" s="100" t="s">
        <v>17237</v>
      </c>
      <c r="K23" s="100"/>
      <c r="L23" s="106">
        <v>43009</v>
      </c>
      <c r="M23" s="106">
        <v>43373</v>
      </c>
      <c r="N23" s="106" t="s">
        <v>604</v>
      </c>
      <c r="O23" s="106"/>
      <c r="P23" s="48">
        <f ca="1" t="shared" si="1"/>
        <v>100.61546296296</v>
      </c>
      <c r="Q23" s="49" t="str">
        <f ca="1" t="shared" si="0"/>
        <v>ACTIVE</v>
      </c>
      <c r="R23" s="191">
        <v>19602000</v>
      </c>
      <c r="S23" s="191"/>
      <c r="T23" s="116"/>
      <c r="U23" s="191"/>
      <c r="V23" s="116"/>
      <c r="W23" s="196">
        <v>1000000</v>
      </c>
      <c r="X23" s="197"/>
      <c r="Y23" s="207" t="s">
        <v>112</v>
      </c>
      <c r="Z23" s="207" t="s">
        <v>14576</v>
      </c>
      <c r="AA23" s="101" t="s">
        <v>17238</v>
      </c>
      <c r="AB23" s="208" t="s">
        <v>17239</v>
      </c>
      <c r="AC23" s="208" t="s">
        <v>17240</v>
      </c>
      <c r="AD23" s="221" t="s">
        <v>17241</v>
      </c>
      <c r="AE23" s="221" t="s">
        <v>17242</v>
      </c>
      <c r="AF23" s="1586" t="s">
        <v>17243</v>
      </c>
      <c r="AG23" s="1586" t="s">
        <v>17244</v>
      </c>
      <c r="AH23" s="221"/>
      <c r="AI23" s="128" t="s">
        <v>17245</v>
      </c>
      <c r="AJ23" s="228"/>
    </row>
    <row r="24" ht="14.1" customHeight="1" spans="1:36">
      <c r="A24" s="1585" t="s">
        <v>204</v>
      </c>
      <c r="B24" s="1585" t="s">
        <v>17246</v>
      </c>
      <c r="C24" s="1615" t="s">
        <v>17080</v>
      </c>
      <c r="D24" s="101" t="s">
        <v>17247</v>
      </c>
      <c r="E24" s="169" t="s">
        <v>17248</v>
      </c>
      <c r="F24" s="169"/>
      <c r="G24" s="170" t="s">
        <v>125</v>
      </c>
      <c r="H24" s="102" t="s">
        <v>44</v>
      </c>
      <c r="I24" s="102" t="s">
        <v>3528</v>
      </c>
      <c r="J24" s="177" t="s">
        <v>17249</v>
      </c>
      <c r="K24" s="100"/>
      <c r="L24" s="106">
        <v>43009</v>
      </c>
      <c r="M24" s="106">
        <v>43373</v>
      </c>
      <c r="N24" s="106" t="s">
        <v>604</v>
      </c>
      <c r="O24" s="107" t="s">
        <v>325</v>
      </c>
      <c r="P24" s="48">
        <f ca="1" t="shared" si="1"/>
        <v>100.61546296296</v>
      </c>
      <c r="Q24" s="49" t="str">
        <f ca="1" t="shared" si="0"/>
        <v>ACTIVE</v>
      </c>
      <c r="R24" s="193">
        <v>10953623</v>
      </c>
      <c r="S24" s="191"/>
      <c r="T24" s="116"/>
      <c r="U24" s="191"/>
      <c r="V24" s="116"/>
      <c r="W24" s="196">
        <v>1500000</v>
      </c>
      <c r="X24" s="197"/>
      <c r="Y24" s="207" t="s">
        <v>112</v>
      </c>
      <c r="Z24" s="207" t="s">
        <v>14576</v>
      </c>
      <c r="AA24" s="101" t="s">
        <v>17250</v>
      </c>
      <c r="AB24" s="208" t="s">
        <v>17251</v>
      </c>
      <c r="AC24" s="208">
        <v>81350313355</v>
      </c>
      <c r="AD24" s="221" t="s">
        <v>17252</v>
      </c>
      <c r="AE24" s="221" t="s">
        <v>17253</v>
      </c>
      <c r="AF24" s="1586" t="s">
        <v>17254</v>
      </c>
      <c r="AG24" s="1586" t="s">
        <v>17255</v>
      </c>
      <c r="AH24" s="221"/>
      <c r="AI24" s="128" t="s">
        <v>17256</v>
      </c>
      <c r="AJ24" s="228"/>
    </row>
    <row r="25" ht="14.1" customHeight="1" spans="1:39">
      <c r="A25" s="1585" t="s">
        <v>215</v>
      </c>
      <c r="B25" s="1585" t="s">
        <v>17257</v>
      </c>
      <c r="C25" s="1615" t="s">
        <v>17080</v>
      </c>
      <c r="D25" s="101" t="s">
        <v>17258</v>
      </c>
      <c r="E25" s="169" t="s">
        <v>17259</v>
      </c>
      <c r="F25" s="169"/>
      <c r="G25" s="170" t="s">
        <v>43</v>
      </c>
      <c r="H25" s="102" t="s">
        <v>60</v>
      </c>
      <c r="I25" s="102" t="s">
        <v>17260</v>
      </c>
      <c r="J25" s="100" t="s">
        <v>17261</v>
      </c>
      <c r="K25" s="100" t="s">
        <v>17129</v>
      </c>
      <c r="L25" s="176">
        <v>43009</v>
      </c>
      <c r="M25" s="176">
        <v>43373</v>
      </c>
      <c r="N25" s="176" t="s">
        <v>325</v>
      </c>
      <c r="O25" s="106"/>
      <c r="P25" s="48">
        <f ca="1" t="shared" si="1"/>
        <v>100.61546296296</v>
      </c>
      <c r="Q25" s="49" t="str">
        <f ca="1" t="shared" si="0"/>
        <v>ACTIVE</v>
      </c>
      <c r="R25" s="191">
        <v>9316032</v>
      </c>
      <c r="S25" s="191"/>
      <c r="T25" s="116"/>
      <c r="U25" s="191"/>
      <c r="V25" s="116"/>
      <c r="W25" s="196">
        <v>3000000</v>
      </c>
      <c r="X25" s="197"/>
      <c r="Y25" s="207" t="s">
        <v>112</v>
      </c>
      <c r="Z25" s="207" t="s">
        <v>14576</v>
      </c>
      <c r="AA25" s="101" t="s">
        <v>17262</v>
      </c>
      <c r="AB25" s="208" t="s">
        <v>17263</v>
      </c>
      <c r="AC25" s="208" t="s">
        <v>17264</v>
      </c>
      <c r="AD25" s="221" t="s">
        <v>17265</v>
      </c>
      <c r="AE25" s="221" t="s">
        <v>17266</v>
      </c>
      <c r="AF25" s="1586" t="s">
        <v>17267</v>
      </c>
      <c r="AG25" s="1586" t="s">
        <v>17268</v>
      </c>
      <c r="AH25" s="221" t="s">
        <v>17269</v>
      </c>
      <c r="AI25" s="127" t="s">
        <v>17270</v>
      </c>
      <c r="AJ25" s="228"/>
      <c r="AK25" s="156" t="s">
        <v>3089</v>
      </c>
      <c r="AL25" s="156">
        <v>9316032</v>
      </c>
      <c r="AM25" s="156" t="s">
        <v>17260</v>
      </c>
    </row>
    <row r="26" ht="14.1" customHeight="1" spans="1:36">
      <c r="A26" s="1585" t="s">
        <v>229</v>
      </c>
      <c r="B26" s="1585" t="s">
        <v>17271</v>
      </c>
      <c r="C26" s="1615" t="s">
        <v>17080</v>
      </c>
      <c r="D26" s="101" t="s">
        <v>17272</v>
      </c>
      <c r="E26" s="169" t="s">
        <v>17273</v>
      </c>
      <c r="F26" s="169" t="s">
        <v>16189</v>
      </c>
      <c r="G26" s="170" t="s">
        <v>43</v>
      </c>
      <c r="H26" s="102" t="s">
        <v>44</v>
      </c>
      <c r="I26" s="102" t="s">
        <v>3528</v>
      </c>
      <c r="J26" s="100" t="s">
        <v>17274</v>
      </c>
      <c r="K26" s="100"/>
      <c r="L26" s="106">
        <v>43009</v>
      </c>
      <c r="M26" s="106">
        <v>43373</v>
      </c>
      <c r="N26" s="106" t="s">
        <v>604</v>
      </c>
      <c r="O26" s="106"/>
      <c r="P26" s="48">
        <f ca="1" t="shared" si="1"/>
        <v>100.61546296296</v>
      </c>
      <c r="Q26" s="49" t="str">
        <f ca="1" t="shared" si="0"/>
        <v>ACTIVE</v>
      </c>
      <c r="R26" s="191">
        <v>17545000</v>
      </c>
      <c r="S26" s="191"/>
      <c r="T26" s="116"/>
      <c r="U26" s="191"/>
      <c r="V26" s="116"/>
      <c r="W26" s="196">
        <v>950000</v>
      </c>
      <c r="X26" s="197"/>
      <c r="Y26" s="207" t="s">
        <v>112</v>
      </c>
      <c r="Z26" s="207" t="s">
        <v>14576</v>
      </c>
      <c r="AA26" s="101" t="s">
        <v>17275</v>
      </c>
      <c r="AB26" s="208" t="s">
        <v>17276</v>
      </c>
      <c r="AC26" s="208">
        <v>0</v>
      </c>
      <c r="AD26" s="221" t="s">
        <v>17277</v>
      </c>
      <c r="AE26" s="221" t="s">
        <v>17278</v>
      </c>
      <c r="AF26" s="1586" t="s">
        <v>17279</v>
      </c>
      <c r="AG26" s="1586" t="s">
        <v>17280</v>
      </c>
      <c r="AH26" s="1586" t="s">
        <v>17281</v>
      </c>
      <c r="AI26" s="128" t="s">
        <v>17282</v>
      </c>
      <c r="AJ26" s="228"/>
    </row>
    <row r="27" ht="14.1" customHeight="1" spans="1:36">
      <c r="A27" s="1585" t="s">
        <v>239</v>
      </c>
      <c r="B27" s="1585" t="s">
        <v>17283</v>
      </c>
      <c r="C27" s="1615" t="s">
        <v>17080</v>
      </c>
      <c r="D27" s="101" t="s">
        <v>17284</v>
      </c>
      <c r="E27" s="169" t="s">
        <v>17285</v>
      </c>
      <c r="F27" s="169"/>
      <c r="G27" s="170" t="s">
        <v>125</v>
      </c>
      <c r="H27" s="102" t="s">
        <v>44</v>
      </c>
      <c r="I27" s="102" t="s">
        <v>3528</v>
      </c>
      <c r="J27" s="100" t="s">
        <v>17286</v>
      </c>
      <c r="K27" s="100"/>
      <c r="L27" s="106">
        <v>43009</v>
      </c>
      <c r="M27" s="106">
        <v>43373</v>
      </c>
      <c r="N27" s="106" t="s">
        <v>604</v>
      </c>
      <c r="O27" s="106"/>
      <c r="P27" s="48">
        <f ca="1" t="shared" si="1"/>
        <v>100.61546296296</v>
      </c>
      <c r="Q27" s="49" t="str">
        <f ca="1" t="shared" si="0"/>
        <v>ACTIVE</v>
      </c>
      <c r="R27" s="191">
        <v>6011280</v>
      </c>
      <c r="S27" s="191"/>
      <c r="T27" s="116"/>
      <c r="U27" s="191"/>
      <c r="V27" s="116"/>
      <c r="W27" s="196">
        <v>500000</v>
      </c>
      <c r="X27" s="197"/>
      <c r="Y27" s="207" t="s">
        <v>112</v>
      </c>
      <c r="Z27" s="207" t="s">
        <v>14576</v>
      </c>
      <c r="AA27" s="101" t="s">
        <v>17287</v>
      </c>
      <c r="AB27" s="208" t="s">
        <v>17288</v>
      </c>
      <c r="AC27" s="208" t="s">
        <v>17289</v>
      </c>
      <c r="AD27" s="221" t="s">
        <v>17290</v>
      </c>
      <c r="AE27" s="221" t="s">
        <v>17291</v>
      </c>
      <c r="AF27" s="1586" t="s">
        <v>17292</v>
      </c>
      <c r="AG27" s="1586" t="s">
        <v>17293</v>
      </c>
      <c r="AH27" s="221" t="s">
        <v>17294</v>
      </c>
      <c r="AI27" s="128" t="s">
        <v>17295</v>
      </c>
      <c r="AJ27" s="228"/>
    </row>
    <row r="28" ht="14.1" customHeight="1" spans="1:36">
      <c r="A28" s="1585" t="s">
        <v>250</v>
      </c>
      <c r="B28" s="1585" t="s">
        <v>17296</v>
      </c>
      <c r="C28" s="1615" t="s">
        <v>17080</v>
      </c>
      <c r="D28" s="101" t="s">
        <v>11971</v>
      </c>
      <c r="E28" s="169" t="s">
        <v>11972</v>
      </c>
      <c r="F28" s="169"/>
      <c r="G28" s="170" t="s">
        <v>125</v>
      </c>
      <c r="H28" s="102" t="s">
        <v>44</v>
      </c>
      <c r="I28" s="102" t="s">
        <v>3528</v>
      </c>
      <c r="J28" s="100" t="s">
        <v>17297</v>
      </c>
      <c r="K28" s="100"/>
      <c r="L28" s="106">
        <v>43009</v>
      </c>
      <c r="M28" s="106">
        <v>43373</v>
      </c>
      <c r="N28" s="106" t="s">
        <v>325</v>
      </c>
      <c r="O28" s="106"/>
      <c r="P28" s="48">
        <f ca="1" t="shared" si="1"/>
        <v>100.61546296296</v>
      </c>
      <c r="Q28" s="49" t="str">
        <f ca="1" t="shared" si="0"/>
        <v>ACTIVE</v>
      </c>
      <c r="R28" s="194">
        <v>25148446.4</v>
      </c>
      <c r="S28" s="194"/>
      <c r="T28" s="116"/>
      <c r="U28" s="194"/>
      <c r="V28" s="116"/>
      <c r="W28" s="196">
        <v>2000000</v>
      </c>
      <c r="X28" s="197"/>
      <c r="Y28" s="207" t="s">
        <v>112</v>
      </c>
      <c r="Z28" s="207" t="s">
        <v>14576</v>
      </c>
      <c r="AA28" s="101" t="s">
        <v>17298</v>
      </c>
      <c r="AB28" s="208" t="s">
        <v>11974</v>
      </c>
      <c r="AC28" s="1604" t="s">
        <v>11975</v>
      </c>
      <c r="AD28" s="221" t="s">
        <v>17299</v>
      </c>
      <c r="AE28" s="221" t="s">
        <v>11978</v>
      </c>
      <c r="AF28" s="1586" t="s">
        <v>17300</v>
      </c>
      <c r="AG28" s="1586" t="s">
        <v>17301</v>
      </c>
      <c r="AH28" s="221"/>
      <c r="AI28" s="130" t="s">
        <v>17302</v>
      </c>
      <c r="AJ28" s="228"/>
    </row>
    <row r="29" ht="14.1" customHeight="1" spans="1:39">
      <c r="A29" s="1585" t="s">
        <v>261</v>
      </c>
      <c r="B29" s="1585" t="s">
        <v>17303</v>
      </c>
      <c r="C29" s="1615" t="s">
        <v>17080</v>
      </c>
      <c r="D29" s="101" t="s">
        <v>17304</v>
      </c>
      <c r="E29" s="169" t="s">
        <v>17305</v>
      </c>
      <c r="F29" s="169"/>
      <c r="G29" s="170" t="s">
        <v>43</v>
      </c>
      <c r="H29" s="102" t="s">
        <v>60</v>
      </c>
      <c r="I29" s="102" t="s">
        <v>17306</v>
      </c>
      <c r="J29" s="100" t="s">
        <v>17307</v>
      </c>
      <c r="K29" s="100" t="s">
        <v>17308</v>
      </c>
      <c r="L29" s="176">
        <v>43009</v>
      </c>
      <c r="M29" s="176">
        <v>43373</v>
      </c>
      <c r="N29" s="176" t="s">
        <v>325</v>
      </c>
      <c r="O29" s="106"/>
      <c r="P29" s="48">
        <f ca="1" t="shared" si="1"/>
        <v>100.61546296296</v>
      </c>
      <c r="Q29" s="49" t="str">
        <f ca="1" t="shared" si="0"/>
        <v>ACTIVE</v>
      </c>
      <c r="R29" s="191">
        <v>12206428</v>
      </c>
      <c r="S29" s="191"/>
      <c r="T29" s="116"/>
      <c r="U29" s="191"/>
      <c r="V29" s="116"/>
      <c r="W29" s="196">
        <v>3000000</v>
      </c>
      <c r="X29" s="197"/>
      <c r="Y29" s="207" t="s">
        <v>112</v>
      </c>
      <c r="Z29" s="207" t="s">
        <v>14576</v>
      </c>
      <c r="AA29" s="101" t="s">
        <v>17309</v>
      </c>
      <c r="AB29" s="208" t="s">
        <v>17310</v>
      </c>
      <c r="AC29" s="208">
        <v>87878261555</v>
      </c>
      <c r="AD29" s="221" t="s">
        <v>17311</v>
      </c>
      <c r="AE29" s="221" t="s">
        <v>17312</v>
      </c>
      <c r="AF29" s="1586" t="s">
        <v>17313</v>
      </c>
      <c r="AG29" s="1586" t="s">
        <v>17314</v>
      </c>
      <c r="AH29" s="221" t="s">
        <v>17315</v>
      </c>
      <c r="AI29" s="128" t="s">
        <v>17316</v>
      </c>
      <c r="AJ29" s="228"/>
      <c r="AK29" s="156" t="s">
        <v>3089</v>
      </c>
      <c r="AL29" s="156">
        <v>12206428</v>
      </c>
      <c r="AM29" s="156" t="s">
        <v>17306</v>
      </c>
    </row>
    <row r="30" ht="24" spans="1:36">
      <c r="A30" s="1585" t="s">
        <v>272</v>
      </c>
      <c r="B30" s="164" t="s">
        <v>17317</v>
      </c>
      <c r="C30" s="160"/>
      <c r="D30" s="101" t="s">
        <v>17318</v>
      </c>
      <c r="E30" s="169" t="s">
        <v>17319</v>
      </c>
      <c r="F30" s="169"/>
      <c r="G30" s="170" t="s">
        <v>43</v>
      </c>
      <c r="H30" s="102" t="s">
        <v>254</v>
      </c>
      <c r="I30" s="100" t="s">
        <v>3528</v>
      </c>
      <c r="J30" s="102" t="s">
        <v>17320</v>
      </c>
      <c r="K30" s="100" t="s">
        <v>17321</v>
      </c>
      <c r="L30" s="106">
        <v>43041</v>
      </c>
      <c r="M30" s="106">
        <v>43100</v>
      </c>
      <c r="N30" s="106">
        <v>43190</v>
      </c>
      <c r="O30" s="107">
        <v>43281</v>
      </c>
      <c r="P30" s="48">
        <f ca="1">SUM(O30-NOW())</f>
        <v>8.61546296296001</v>
      </c>
      <c r="Q30" s="49" t="str">
        <f ca="1" t="shared" si="0"/>
        <v>WARNING</v>
      </c>
      <c r="R30" s="191">
        <v>10257500</v>
      </c>
      <c r="S30" s="191"/>
      <c r="T30" s="116"/>
      <c r="U30" s="191">
        <v>1000000</v>
      </c>
      <c r="V30" s="116"/>
      <c r="W30" s="200">
        <v>0</v>
      </c>
      <c r="X30" s="197"/>
      <c r="Y30" s="207" t="s">
        <v>112</v>
      </c>
      <c r="Z30" s="207" t="s">
        <v>14576</v>
      </c>
      <c r="AA30" s="210" t="s">
        <v>17322</v>
      </c>
      <c r="AB30" s="208" t="s">
        <v>17323</v>
      </c>
      <c r="AC30" s="208" t="s">
        <v>17324</v>
      </c>
      <c r="AD30" s="221" t="s">
        <v>17325</v>
      </c>
      <c r="AE30" s="221" t="s">
        <v>17326</v>
      </c>
      <c r="AF30" s="1586" t="s">
        <v>17327</v>
      </c>
      <c r="AG30" s="221"/>
      <c r="AH30" s="221"/>
      <c r="AI30" s="127" t="s">
        <v>17328</v>
      </c>
      <c r="AJ30" s="228"/>
    </row>
    <row r="31" ht="24" spans="1:36">
      <c r="A31" s="1585" t="s">
        <v>286</v>
      </c>
      <c r="B31" s="164" t="s">
        <v>17329</v>
      </c>
      <c r="C31" s="160"/>
      <c r="D31" s="101" t="s">
        <v>17330</v>
      </c>
      <c r="E31" s="169" t="s">
        <v>17331</v>
      </c>
      <c r="F31" s="169"/>
      <c r="G31" s="170" t="s">
        <v>43</v>
      </c>
      <c r="H31" s="102" t="s">
        <v>60</v>
      </c>
      <c r="I31" s="100" t="s">
        <v>3528</v>
      </c>
      <c r="J31" s="102" t="s">
        <v>17320</v>
      </c>
      <c r="K31" s="100" t="s">
        <v>17321</v>
      </c>
      <c r="L31" s="106">
        <v>43041</v>
      </c>
      <c r="M31" s="106">
        <v>43100</v>
      </c>
      <c r="N31" s="106">
        <v>43190</v>
      </c>
      <c r="O31" s="107">
        <v>43281</v>
      </c>
      <c r="P31" s="48">
        <f ca="1">SUM(O31-NOW())</f>
        <v>8.61546296296001</v>
      </c>
      <c r="Q31" s="49" t="str">
        <f ca="1" t="shared" si="0"/>
        <v>WARNING</v>
      </c>
      <c r="R31" s="191">
        <v>11000000</v>
      </c>
      <c r="S31" s="191"/>
      <c r="T31" s="116"/>
      <c r="U31" s="191">
        <v>1000000</v>
      </c>
      <c r="V31" s="116"/>
      <c r="W31" s="200">
        <v>0</v>
      </c>
      <c r="X31" s="197"/>
      <c r="Y31" s="207" t="s">
        <v>112</v>
      </c>
      <c r="Z31" s="207" t="s">
        <v>14576</v>
      </c>
      <c r="AA31" s="210" t="s">
        <v>17322</v>
      </c>
      <c r="AB31" s="208" t="s">
        <v>17332</v>
      </c>
      <c r="AC31" s="208" t="s">
        <v>17333</v>
      </c>
      <c r="AD31" s="221" t="s">
        <v>17334</v>
      </c>
      <c r="AE31" s="221" t="s">
        <v>17335</v>
      </c>
      <c r="AF31" s="1586" t="s">
        <v>17336</v>
      </c>
      <c r="AG31" s="1586" t="s">
        <v>17337</v>
      </c>
      <c r="AH31" s="221"/>
      <c r="AI31" s="127" t="s">
        <v>17338</v>
      </c>
      <c r="AJ31" s="228"/>
    </row>
    <row r="32" ht="21" spans="1:36">
      <c r="A32" s="1585" t="s">
        <v>296</v>
      </c>
      <c r="B32" s="164" t="s">
        <v>17339</v>
      </c>
      <c r="C32" s="160"/>
      <c r="D32" s="101" t="s">
        <v>17340</v>
      </c>
      <c r="E32" s="169" t="s">
        <v>17341</v>
      </c>
      <c r="F32" s="169"/>
      <c r="G32" s="170" t="s">
        <v>43</v>
      </c>
      <c r="H32" s="102" t="s">
        <v>44</v>
      </c>
      <c r="I32" s="100" t="s">
        <v>3528</v>
      </c>
      <c r="J32" s="102" t="s">
        <v>17342</v>
      </c>
      <c r="K32" s="100"/>
      <c r="L32" s="106">
        <v>43143</v>
      </c>
      <c r="M32" s="106">
        <v>43231</v>
      </c>
      <c r="N32" s="107">
        <v>43323</v>
      </c>
      <c r="O32" s="101"/>
      <c r="P32" s="48">
        <f ca="1">SUM(N32-NOW())</f>
        <v>50.61546296296</v>
      </c>
      <c r="Q32" s="49" t="str">
        <f ca="1" t="shared" si="0"/>
        <v>ACTIVE</v>
      </c>
      <c r="R32" s="191">
        <v>9500000</v>
      </c>
      <c r="S32" s="191"/>
      <c r="T32" s="116"/>
      <c r="U32" s="191"/>
      <c r="V32" s="116"/>
      <c r="W32" s="196">
        <v>1000000</v>
      </c>
      <c r="X32" s="197"/>
      <c r="Y32" s="207" t="s">
        <v>112</v>
      </c>
      <c r="Z32" s="207" t="s">
        <v>14576</v>
      </c>
      <c r="AA32" s="101"/>
      <c r="AB32" s="208" t="s">
        <v>17343</v>
      </c>
      <c r="AC32" s="208" t="s">
        <v>17344</v>
      </c>
      <c r="AD32" s="221" t="s">
        <v>17345</v>
      </c>
      <c r="AE32" s="221" t="s">
        <v>17346</v>
      </c>
      <c r="AF32" s="1586" t="s">
        <v>17347</v>
      </c>
      <c r="AG32" s="1586" t="s">
        <v>17348</v>
      </c>
      <c r="AH32" s="1586" t="s">
        <v>17349</v>
      </c>
      <c r="AI32" s="127" t="s">
        <v>17350</v>
      </c>
      <c r="AJ32" s="228"/>
    </row>
    <row r="39" ht="11.25"/>
    <row r="40" ht="14.1" customHeight="1" spans="1:2">
      <c r="A40" s="17" t="s">
        <v>2552</v>
      </c>
      <c r="B40" s="165"/>
    </row>
    <row r="41" ht="14.1" customHeight="1" spans="1:36">
      <c r="A41" s="161">
        <f t="shared" ref="A41:A51" si="2">ROW()-10</f>
        <v>31</v>
      </c>
      <c r="B41" s="1590" t="s">
        <v>17351</v>
      </c>
      <c r="C41" s="161"/>
      <c r="D41" s="166" t="s">
        <v>17352</v>
      </c>
      <c r="E41" s="171" t="s">
        <v>17353</v>
      </c>
      <c r="F41" s="171" t="s">
        <v>17354</v>
      </c>
      <c r="G41" s="172" t="s">
        <v>125</v>
      </c>
      <c r="H41" s="173" t="s">
        <v>60</v>
      </c>
      <c r="I41" s="173" t="s">
        <v>3528</v>
      </c>
      <c r="J41" s="178" t="s">
        <v>17355</v>
      </c>
      <c r="K41" s="179" t="s">
        <v>17356</v>
      </c>
      <c r="L41" s="175">
        <v>42742</v>
      </c>
      <c r="M41" s="175">
        <v>43100</v>
      </c>
      <c r="N41" s="187"/>
      <c r="O41" s="187"/>
      <c r="P41" s="53">
        <f ca="1">SUM(M41-NOW())</f>
        <v>-172.38453703704</v>
      </c>
      <c r="Q41" s="42" t="str">
        <f ca="1">IF(P41&lt;=40,"WARNING","ACTIVE")</f>
        <v>WARNING</v>
      </c>
      <c r="R41" s="192">
        <v>18457500</v>
      </c>
      <c r="S41" s="192">
        <v>500000</v>
      </c>
      <c r="T41" s="179">
        <v>225000</v>
      </c>
      <c r="U41" s="192">
        <v>2000000</v>
      </c>
      <c r="V41" s="179">
        <v>250000</v>
      </c>
      <c r="W41" s="179"/>
      <c r="X41" s="181"/>
      <c r="Y41" s="181" t="s">
        <v>112</v>
      </c>
      <c r="Z41" s="181" t="s">
        <v>17357</v>
      </c>
      <c r="AA41" s="179"/>
      <c r="AB41" s="211" t="s">
        <v>17358</v>
      </c>
      <c r="AC41" s="1594" t="s">
        <v>17359</v>
      </c>
      <c r="AD41" s="224" t="s">
        <v>17360</v>
      </c>
      <c r="AE41" s="224" t="s">
        <v>17361</v>
      </c>
      <c r="AF41" s="1581" t="s">
        <v>17362</v>
      </c>
      <c r="AG41" s="1581" t="s">
        <v>17363</v>
      </c>
      <c r="AH41" s="224"/>
      <c r="AI41" s="229" t="s">
        <v>17364</v>
      </c>
      <c r="AJ41" s="231" t="s">
        <v>17365</v>
      </c>
    </row>
    <row r="42" ht="14.1" customHeight="1" spans="1:36">
      <c r="A42" s="161">
        <f t="shared" si="2"/>
        <v>32</v>
      </c>
      <c r="B42" s="1590" t="s">
        <v>17366</v>
      </c>
      <c r="C42" s="1615" t="s">
        <v>17080</v>
      </c>
      <c r="D42" s="167" t="s">
        <v>17367</v>
      </c>
      <c r="E42" s="171" t="s">
        <v>17368</v>
      </c>
      <c r="F42" s="171" t="s">
        <v>17369</v>
      </c>
      <c r="G42" s="172" t="s">
        <v>43</v>
      </c>
      <c r="H42" s="173" t="s">
        <v>254</v>
      </c>
      <c r="I42" s="173" t="s">
        <v>3528</v>
      </c>
      <c r="J42" s="180" t="s">
        <v>17370</v>
      </c>
      <c r="K42" s="181" t="s">
        <v>17371</v>
      </c>
      <c r="L42" s="182">
        <v>42736</v>
      </c>
      <c r="M42" s="182">
        <v>43100</v>
      </c>
      <c r="N42" s="182"/>
      <c r="O42" s="182"/>
      <c r="P42" s="53">
        <f ca="1">SUM(M42-NOW())</f>
        <v>-172.38453703704</v>
      </c>
      <c r="Q42" s="42" t="str">
        <f ca="1">IF(P42&lt;=40,"WARNING","ACTIVE")</f>
        <v>WARNING</v>
      </c>
      <c r="R42" s="181">
        <v>27540000</v>
      </c>
      <c r="S42" s="181">
        <v>500000</v>
      </c>
      <c r="T42" s="181">
        <v>225000</v>
      </c>
      <c r="U42" s="181">
        <v>2000000</v>
      </c>
      <c r="V42" s="181">
        <v>250000</v>
      </c>
      <c r="W42" s="181"/>
      <c r="X42" s="181"/>
      <c r="Y42" s="181" t="s">
        <v>112</v>
      </c>
      <c r="Z42" s="181" t="s">
        <v>17372</v>
      </c>
      <c r="AA42" s="181"/>
      <c r="AB42" s="212" t="s">
        <v>17373</v>
      </c>
      <c r="AC42" s="1594" t="s">
        <v>17374</v>
      </c>
      <c r="AD42" s="224" t="s">
        <v>17375</v>
      </c>
      <c r="AE42" s="224" t="s">
        <v>17376</v>
      </c>
      <c r="AF42" s="1581" t="s">
        <v>17377</v>
      </c>
      <c r="AG42" s="1581" t="s">
        <v>17378</v>
      </c>
      <c r="AH42" s="224"/>
      <c r="AI42" s="229" t="s">
        <v>17379</v>
      </c>
      <c r="AJ42" s="230" t="s">
        <v>17365</v>
      </c>
    </row>
    <row r="43" ht="14.1" customHeight="1" spans="1:36">
      <c r="A43" s="161">
        <f t="shared" si="2"/>
        <v>33</v>
      </c>
      <c r="B43" s="1590" t="s">
        <v>17380</v>
      </c>
      <c r="C43" s="1615" t="s">
        <v>17080</v>
      </c>
      <c r="D43" s="167" t="s">
        <v>17381</v>
      </c>
      <c r="E43" s="171" t="s">
        <v>17382</v>
      </c>
      <c r="F43" s="171"/>
      <c r="G43" s="172" t="s">
        <v>43</v>
      </c>
      <c r="H43" s="173" t="s">
        <v>60</v>
      </c>
      <c r="I43" s="173" t="s">
        <v>3528</v>
      </c>
      <c r="J43" s="180" t="s">
        <v>17383</v>
      </c>
      <c r="K43" s="181" t="s">
        <v>17384</v>
      </c>
      <c r="L43" s="182">
        <v>42738</v>
      </c>
      <c r="M43" s="182">
        <v>43100</v>
      </c>
      <c r="N43" s="182"/>
      <c r="O43" s="175"/>
      <c r="P43" s="53">
        <f ca="1" t="shared" ref="P43:P51" si="3">SUM(M43-NOW())</f>
        <v>-172.38453703704</v>
      </c>
      <c r="Q43" s="42" t="str">
        <f ca="1" t="shared" ref="Q43:Q51" si="4">IF(P43&lt;=40,"WARNING","ACTIVE")</f>
        <v>WARNING</v>
      </c>
      <c r="R43" s="181">
        <v>8682960</v>
      </c>
      <c r="S43" s="181">
        <v>500000</v>
      </c>
      <c r="T43" s="181">
        <v>225000</v>
      </c>
      <c r="U43" s="181">
        <v>2000000</v>
      </c>
      <c r="V43" s="181">
        <v>250000</v>
      </c>
      <c r="W43" s="181"/>
      <c r="X43" s="181"/>
      <c r="Y43" s="181" t="s">
        <v>112</v>
      </c>
      <c r="Z43" s="181" t="s">
        <v>17372</v>
      </c>
      <c r="AA43" s="181"/>
      <c r="AB43" s="212" t="s">
        <v>17385</v>
      </c>
      <c r="AC43" s="180"/>
      <c r="AD43" s="224" t="s">
        <v>17386</v>
      </c>
      <c r="AE43" s="224" t="s">
        <v>17387</v>
      </c>
      <c r="AF43" s="1581" t="s">
        <v>17388</v>
      </c>
      <c r="AG43" s="224"/>
      <c r="AH43" s="1581" t="s">
        <v>17389</v>
      </c>
      <c r="AI43" s="229" t="s">
        <v>17390</v>
      </c>
      <c r="AJ43" s="230" t="s">
        <v>17365</v>
      </c>
    </row>
    <row r="44" ht="14.1" customHeight="1" spans="1:36">
      <c r="A44" s="161">
        <f t="shared" si="2"/>
        <v>34</v>
      </c>
      <c r="B44" s="1590" t="s">
        <v>17391</v>
      </c>
      <c r="C44" s="1615" t="s">
        <v>17080</v>
      </c>
      <c r="D44" s="167" t="s">
        <v>17392</v>
      </c>
      <c r="E44" s="171" t="s">
        <v>17393</v>
      </c>
      <c r="F44" s="171" t="s">
        <v>17394</v>
      </c>
      <c r="G44" s="172" t="s">
        <v>125</v>
      </c>
      <c r="H44" s="173" t="s">
        <v>404</v>
      </c>
      <c r="I44" s="173" t="s">
        <v>3528</v>
      </c>
      <c r="J44" s="180" t="s">
        <v>17395</v>
      </c>
      <c r="K44" s="181" t="s">
        <v>17396</v>
      </c>
      <c r="L44" s="182">
        <v>42736</v>
      </c>
      <c r="M44" s="182">
        <v>43100</v>
      </c>
      <c r="N44" s="182"/>
      <c r="O44" s="182"/>
      <c r="P44" s="53">
        <f ca="1" t="shared" si="3"/>
        <v>-172.38453703704</v>
      </c>
      <c r="Q44" s="42" t="str">
        <f ca="1" t="shared" si="4"/>
        <v>WARNING</v>
      </c>
      <c r="R44" s="181">
        <v>9168250</v>
      </c>
      <c r="S44" s="181">
        <v>300000</v>
      </c>
      <c r="T44" s="181">
        <v>225000</v>
      </c>
      <c r="U44" s="181"/>
      <c r="V44" s="181">
        <v>250000</v>
      </c>
      <c r="W44" s="181"/>
      <c r="X44" s="181"/>
      <c r="Y44" s="181" t="s">
        <v>112</v>
      </c>
      <c r="Z44" s="181" t="s">
        <v>17357</v>
      </c>
      <c r="AA44" s="181"/>
      <c r="AB44" s="212" t="s">
        <v>17397</v>
      </c>
      <c r="AC44" s="1594" t="s">
        <v>17398</v>
      </c>
      <c r="AD44" s="224" t="s">
        <v>17399</v>
      </c>
      <c r="AE44" s="224" t="s">
        <v>17400</v>
      </c>
      <c r="AF44" s="1581" t="s">
        <v>17401</v>
      </c>
      <c r="AG44" s="1581" t="s">
        <v>17402</v>
      </c>
      <c r="AH44" s="1581" t="s">
        <v>17403</v>
      </c>
      <c r="AI44" s="229" t="s">
        <v>17404</v>
      </c>
      <c r="AJ44" s="230" t="s">
        <v>17365</v>
      </c>
    </row>
    <row r="45" ht="14.1" customHeight="1" spans="1:36">
      <c r="A45" s="161">
        <f t="shared" si="2"/>
        <v>35</v>
      </c>
      <c r="B45" s="1590" t="s">
        <v>17405</v>
      </c>
      <c r="C45" s="1615" t="s">
        <v>17080</v>
      </c>
      <c r="D45" s="167" t="s">
        <v>17406</v>
      </c>
      <c r="E45" s="171" t="s">
        <v>17407</v>
      </c>
      <c r="F45" s="171" t="s">
        <v>17408</v>
      </c>
      <c r="G45" s="172" t="s">
        <v>125</v>
      </c>
      <c r="H45" s="173" t="s">
        <v>44</v>
      </c>
      <c r="I45" s="173" t="s">
        <v>3528</v>
      </c>
      <c r="J45" s="180" t="s">
        <v>7940</v>
      </c>
      <c r="K45" s="181" t="s">
        <v>17409</v>
      </c>
      <c r="L45" s="182">
        <v>42736</v>
      </c>
      <c r="M45" s="182">
        <v>43100</v>
      </c>
      <c r="N45" s="182"/>
      <c r="O45" s="182"/>
      <c r="P45" s="53">
        <f ca="1" t="shared" si="3"/>
        <v>-172.38453703704</v>
      </c>
      <c r="Q45" s="42" t="str">
        <f ca="1" t="shared" si="4"/>
        <v>WARNING</v>
      </c>
      <c r="R45" s="181">
        <v>5616000</v>
      </c>
      <c r="S45" s="181"/>
      <c r="T45" s="181"/>
      <c r="U45" s="181"/>
      <c r="V45" s="181">
        <v>250000</v>
      </c>
      <c r="W45" s="181">
        <v>300000</v>
      </c>
      <c r="X45" s="181"/>
      <c r="Y45" s="181" t="s">
        <v>112</v>
      </c>
      <c r="Z45" s="181" t="s">
        <v>17357</v>
      </c>
      <c r="AA45" s="181"/>
      <c r="AB45" s="212" t="s">
        <v>17410</v>
      </c>
      <c r="AC45" s="1594" t="s">
        <v>17411</v>
      </c>
      <c r="AD45" s="224" t="s">
        <v>17412</v>
      </c>
      <c r="AE45" s="224" t="s">
        <v>17413</v>
      </c>
      <c r="AF45" s="1581" t="s">
        <v>17414</v>
      </c>
      <c r="AG45" s="1581" t="s">
        <v>17415</v>
      </c>
      <c r="AH45" s="225"/>
      <c r="AI45" s="232" t="s">
        <v>17416</v>
      </c>
      <c r="AJ45" s="230" t="s">
        <v>17365</v>
      </c>
    </row>
    <row r="46" ht="14.1" customHeight="1" spans="1:36">
      <c r="A46" s="161">
        <f t="shared" si="2"/>
        <v>36</v>
      </c>
      <c r="B46" s="1590" t="s">
        <v>17417</v>
      </c>
      <c r="C46" s="1615" t="s">
        <v>17080</v>
      </c>
      <c r="D46" s="167" t="s">
        <v>17418</v>
      </c>
      <c r="E46" s="171" t="s">
        <v>17419</v>
      </c>
      <c r="F46" s="171" t="s">
        <v>14455</v>
      </c>
      <c r="G46" s="172" t="s">
        <v>125</v>
      </c>
      <c r="H46" s="173" t="s">
        <v>17420</v>
      </c>
      <c r="I46" s="173" t="s">
        <v>3528</v>
      </c>
      <c r="J46" s="180" t="s">
        <v>17421</v>
      </c>
      <c r="K46" s="181"/>
      <c r="L46" s="182">
        <v>42736</v>
      </c>
      <c r="M46" s="182">
        <v>43100</v>
      </c>
      <c r="N46" s="182"/>
      <c r="O46" s="182"/>
      <c r="P46" s="53">
        <f ca="1" t="shared" si="3"/>
        <v>-172.38453703704</v>
      </c>
      <c r="Q46" s="42" t="str">
        <f ca="1" t="shared" si="4"/>
        <v>WARNING</v>
      </c>
      <c r="R46" s="181">
        <v>5000000</v>
      </c>
      <c r="S46" s="181">
        <v>300000</v>
      </c>
      <c r="T46" s="181">
        <v>225000</v>
      </c>
      <c r="U46" s="181"/>
      <c r="V46" s="181">
        <v>250000</v>
      </c>
      <c r="W46" s="181"/>
      <c r="X46" s="181"/>
      <c r="Y46" s="181" t="s">
        <v>112</v>
      </c>
      <c r="Z46" s="181" t="s">
        <v>17357</v>
      </c>
      <c r="AA46" s="181"/>
      <c r="AB46" s="212" t="s">
        <v>17422</v>
      </c>
      <c r="AC46" s="1594" t="s">
        <v>17423</v>
      </c>
      <c r="AD46" s="224" t="s">
        <v>17424</v>
      </c>
      <c r="AE46" s="224" t="s">
        <v>17425</v>
      </c>
      <c r="AF46" s="1581" t="s">
        <v>17426</v>
      </c>
      <c r="AG46" s="224"/>
      <c r="AH46" s="224"/>
      <c r="AI46" s="229" t="s">
        <v>17427</v>
      </c>
      <c r="AJ46" s="230" t="s">
        <v>17365</v>
      </c>
    </row>
    <row r="47" ht="14.1" customHeight="1" spans="1:36">
      <c r="A47" s="161">
        <f t="shared" si="2"/>
        <v>37</v>
      </c>
      <c r="B47" s="1590" t="s">
        <v>17428</v>
      </c>
      <c r="C47" s="1615" t="s">
        <v>17080</v>
      </c>
      <c r="D47" s="163" t="s">
        <v>17429</v>
      </c>
      <c r="E47" s="171" t="s">
        <v>17430</v>
      </c>
      <c r="F47" s="171"/>
      <c r="G47" s="172" t="s">
        <v>43</v>
      </c>
      <c r="H47" s="173" t="s">
        <v>254</v>
      </c>
      <c r="I47" s="173" t="s">
        <v>3528</v>
      </c>
      <c r="J47" s="178" t="s">
        <v>17431</v>
      </c>
      <c r="K47" s="161" t="s">
        <v>17432</v>
      </c>
      <c r="L47" s="175">
        <v>42740</v>
      </c>
      <c r="M47" s="175">
        <v>43100</v>
      </c>
      <c r="N47" s="163"/>
      <c r="O47" s="163"/>
      <c r="P47" s="53">
        <f ca="1" t="shared" si="3"/>
        <v>-172.38453703704</v>
      </c>
      <c r="Q47" s="42" t="str">
        <f ca="1" t="shared" si="4"/>
        <v>WARNING</v>
      </c>
      <c r="R47" s="192">
        <v>6500000</v>
      </c>
      <c r="S47" s="192">
        <v>500000</v>
      </c>
      <c r="T47" s="179">
        <v>225000</v>
      </c>
      <c r="U47" s="192">
        <v>2000000</v>
      </c>
      <c r="V47" s="179">
        <v>250000</v>
      </c>
      <c r="W47" s="161"/>
      <c r="X47" s="162"/>
      <c r="Y47" s="181" t="s">
        <v>112</v>
      </c>
      <c r="Z47" s="181" t="s">
        <v>17372</v>
      </c>
      <c r="AA47" s="163"/>
      <c r="AB47" s="209" t="s">
        <v>17433</v>
      </c>
      <c r="AC47" s="209"/>
      <c r="AD47" s="225" t="s">
        <v>17434</v>
      </c>
      <c r="AE47" s="222"/>
      <c r="AF47" s="1591" t="s">
        <v>17435</v>
      </c>
      <c r="AG47" s="222" t="s">
        <v>17436</v>
      </c>
      <c r="AH47" s="222"/>
      <c r="AI47" s="127" t="s">
        <v>17437</v>
      </c>
      <c r="AJ47" s="230" t="s">
        <v>17365</v>
      </c>
    </row>
    <row r="48" ht="14.1" customHeight="1" spans="1:36">
      <c r="A48" s="161">
        <f t="shared" si="2"/>
        <v>38</v>
      </c>
      <c r="B48" s="1590" t="s">
        <v>17317</v>
      </c>
      <c r="C48" s="1615" t="s">
        <v>17080</v>
      </c>
      <c r="D48" s="163" t="s">
        <v>17318</v>
      </c>
      <c r="E48" s="171" t="s">
        <v>17438</v>
      </c>
      <c r="F48" s="171"/>
      <c r="G48" s="172" t="s">
        <v>43</v>
      </c>
      <c r="H48" s="173" t="s">
        <v>254</v>
      </c>
      <c r="I48" s="173" t="s">
        <v>3528</v>
      </c>
      <c r="J48" s="161" t="s">
        <v>17439</v>
      </c>
      <c r="K48" s="161" t="s">
        <v>17440</v>
      </c>
      <c r="L48" s="175">
        <v>42770</v>
      </c>
      <c r="M48" s="175">
        <v>43100</v>
      </c>
      <c r="N48" s="163"/>
      <c r="O48" s="163"/>
      <c r="P48" s="53">
        <f ca="1" t="shared" si="3"/>
        <v>-172.38453703704</v>
      </c>
      <c r="Q48" s="42" t="str">
        <f ca="1" t="shared" si="4"/>
        <v>WARNING</v>
      </c>
      <c r="R48" s="192">
        <v>6600000</v>
      </c>
      <c r="S48" s="192">
        <v>500000</v>
      </c>
      <c r="T48" s="179">
        <v>225000</v>
      </c>
      <c r="U48" s="192">
        <v>2000000</v>
      </c>
      <c r="V48" s="179">
        <v>250000</v>
      </c>
      <c r="W48" s="161"/>
      <c r="X48" s="162"/>
      <c r="Y48" s="181" t="s">
        <v>112</v>
      </c>
      <c r="Z48" s="181" t="s">
        <v>17372</v>
      </c>
      <c r="AA48" s="163"/>
      <c r="AB48" s="209" t="s">
        <v>17441</v>
      </c>
      <c r="AC48" s="209" t="s">
        <v>17442</v>
      </c>
      <c r="AD48" s="222" t="s">
        <v>17443</v>
      </c>
      <c r="AE48" s="222" t="s">
        <v>17444</v>
      </c>
      <c r="AF48" s="1591" t="s">
        <v>17327</v>
      </c>
      <c r="AG48" s="1591" t="s">
        <v>17445</v>
      </c>
      <c r="AH48" s="222"/>
      <c r="AI48" s="229" t="s">
        <v>17446</v>
      </c>
      <c r="AJ48" s="230" t="s">
        <v>17365</v>
      </c>
    </row>
    <row r="49" ht="14.1" customHeight="1" spans="1:36">
      <c r="A49" s="161"/>
      <c r="B49" s="161"/>
      <c r="C49" s="1615" t="s">
        <v>17080</v>
      </c>
      <c r="D49" s="163" t="s">
        <v>17447</v>
      </c>
      <c r="E49" s="171" t="s">
        <v>9468</v>
      </c>
      <c r="F49" s="171"/>
      <c r="G49" s="172" t="s">
        <v>125</v>
      </c>
      <c r="H49" s="173" t="s">
        <v>60</v>
      </c>
      <c r="I49" s="173" t="s">
        <v>3528</v>
      </c>
      <c r="J49" s="161" t="s">
        <v>17448</v>
      </c>
      <c r="K49" s="161"/>
      <c r="L49" s="175">
        <v>42789</v>
      </c>
      <c r="M49" s="175">
        <v>43100</v>
      </c>
      <c r="N49" s="163"/>
      <c r="O49" s="163"/>
      <c r="P49" s="53">
        <f ca="1" t="shared" si="3"/>
        <v>-172.38453703704</v>
      </c>
      <c r="Q49" s="42" t="str">
        <f ca="1" t="shared" si="4"/>
        <v>WARNING</v>
      </c>
      <c r="R49" s="192">
        <v>6555000</v>
      </c>
      <c r="S49" s="192">
        <v>300000</v>
      </c>
      <c r="T49" s="179">
        <v>225000</v>
      </c>
      <c r="U49" s="192" t="s">
        <v>583</v>
      </c>
      <c r="V49" s="179">
        <v>250000</v>
      </c>
      <c r="W49" s="161" t="s">
        <v>583</v>
      </c>
      <c r="X49" s="162"/>
      <c r="Y49" s="181" t="s">
        <v>112</v>
      </c>
      <c r="Z49" s="181" t="s">
        <v>17357</v>
      </c>
      <c r="AA49" s="163"/>
      <c r="AB49" s="209" t="s">
        <v>17449</v>
      </c>
      <c r="AC49" s="209" t="s">
        <v>17450</v>
      </c>
      <c r="AD49" s="222" t="s">
        <v>17451</v>
      </c>
      <c r="AE49" s="222" t="s">
        <v>17452</v>
      </c>
      <c r="AF49" s="1591" t="s">
        <v>17453</v>
      </c>
      <c r="AG49" s="222"/>
      <c r="AH49" s="222"/>
      <c r="AI49" s="229" t="s">
        <v>17454</v>
      </c>
      <c r="AJ49" s="230" t="s">
        <v>17365</v>
      </c>
    </row>
    <row r="50" ht="14.1" customHeight="1" spans="1:36">
      <c r="A50" s="161">
        <f t="shared" si="2"/>
        <v>40</v>
      </c>
      <c r="B50" s="1590" t="s">
        <v>17455</v>
      </c>
      <c r="C50" s="1618" t="s">
        <v>17080</v>
      </c>
      <c r="D50" s="167" t="s">
        <v>17456</v>
      </c>
      <c r="E50" s="171" t="s">
        <v>17457</v>
      </c>
      <c r="F50" s="171" t="s">
        <v>3484</v>
      </c>
      <c r="G50" s="172" t="s">
        <v>43</v>
      </c>
      <c r="H50" s="173" t="s">
        <v>404</v>
      </c>
      <c r="I50" s="173" t="s">
        <v>3528</v>
      </c>
      <c r="J50" s="180" t="s">
        <v>17458</v>
      </c>
      <c r="K50" s="181"/>
      <c r="L50" s="182">
        <v>42736</v>
      </c>
      <c r="M50" s="182">
        <v>43100</v>
      </c>
      <c r="N50" s="182"/>
      <c r="O50" s="182"/>
      <c r="P50" s="53">
        <f ca="1" t="shared" si="3"/>
        <v>-172.38453703704</v>
      </c>
      <c r="Q50" s="42" t="str">
        <f ca="1" t="shared" si="4"/>
        <v>WARNING</v>
      </c>
      <c r="R50" s="181">
        <v>7590000</v>
      </c>
      <c r="S50" s="181">
        <v>300000</v>
      </c>
      <c r="T50" s="181">
        <v>225000</v>
      </c>
      <c r="U50" s="181"/>
      <c r="V50" s="181">
        <v>250000</v>
      </c>
      <c r="W50" s="181"/>
      <c r="X50" s="181"/>
      <c r="Y50" s="181" t="s">
        <v>112</v>
      </c>
      <c r="Z50" s="181" t="s">
        <v>17372</v>
      </c>
      <c r="AA50" s="181"/>
      <c r="AB50" s="212" t="s">
        <v>17459</v>
      </c>
      <c r="AC50" s="1594" t="s">
        <v>17460</v>
      </c>
      <c r="AD50" s="224"/>
      <c r="AE50" s="224" t="s">
        <v>17461</v>
      </c>
      <c r="AF50" s="1581" t="s">
        <v>17462</v>
      </c>
      <c r="AG50" s="1581" t="s">
        <v>17463</v>
      </c>
      <c r="AH50" s="1581" t="s">
        <v>17464</v>
      </c>
      <c r="AI50" s="229" t="s">
        <v>17465</v>
      </c>
      <c r="AJ50" s="230" t="s">
        <v>17466</v>
      </c>
    </row>
    <row r="51" ht="14.1" customHeight="1" spans="1:36">
      <c r="A51" s="161">
        <f t="shared" si="2"/>
        <v>41</v>
      </c>
      <c r="B51" s="1590" t="s">
        <v>17467</v>
      </c>
      <c r="C51" s="1618" t="s">
        <v>17080</v>
      </c>
      <c r="D51" s="167" t="s">
        <v>17468</v>
      </c>
      <c r="E51" s="171" t="s">
        <v>17469</v>
      </c>
      <c r="F51" s="171" t="s">
        <v>17470</v>
      </c>
      <c r="G51" s="172" t="s">
        <v>43</v>
      </c>
      <c r="H51" s="173" t="s">
        <v>96</v>
      </c>
      <c r="I51" s="173" t="s">
        <v>3528</v>
      </c>
      <c r="J51" s="180" t="s">
        <v>9409</v>
      </c>
      <c r="K51" s="181" t="s">
        <v>17409</v>
      </c>
      <c r="L51" s="182">
        <v>42736</v>
      </c>
      <c r="M51" s="182">
        <v>43100</v>
      </c>
      <c r="N51" s="182"/>
      <c r="O51" s="182"/>
      <c r="P51" s="53">
        <f ca="1" t="shared" si="3"/>
        <v>-172.38453703704</v>
      </c>
      <c r="Q51" s="42" t="str">
        <f ca="1" t="shared" si="4"/>
        <v>WARNING</v>
      </c>
      <c r="R51" s="181">
        <v>5865000</v>
      </c>
      <c r="S51" s="181">
        <v>200000</v>
      </c>
      <c r="T51" s="181"/>
      <c r="U51" s="181">
        <v>1320000</v>
      </c>
      <c r="V51" s="181">
        <v>250000</v>
      </c>
      <c r="W51" s="181"/>
      <c r="X51" s="181"/>
      <c r="Y51" s="181" t="s">
        <v>17471</v>
      </c>
      <c r="Z51" s="181" t="s">
        <v>17372</v>
      </c>
      <c r="AA51" s="181"/>
      <c r="AB51" s="212" t="s">
        <v>17472</v>
      </c>
      <c r="AC51" s="1594" t="s">
        <v>17473</v>
      </c>
      <c r="AD51" s="224" t="s">
        <v>17474</v>
      </c>
      <c r="AE51" s="224" t="s">
        <v>17475</v>
      </c>
      <c r="AF51" s="1581" t="s">
        <v>17476</v>
      </c>
      <c r="AG51" s="1581" t="s">
        <v>17477</v>
      </c>
      <c r="AH51" s="224"/>
      <c r="AI51" s="232"/>
      <c r="AJ51" s="230" t="s">
        <v>17466</v>
      </c>
    </row>
    <row r="52" ht="14.1" customHeight="1" spans="1:36">
      <c r="A52" s="1590" t="s">
        <v>135</v>
      </c>
      <c r="B52" s="1590" t="s">
        <v>17478</v>
      </c>
      <c r="C52" s="1618" t="s">
        <v>17080</v>
      </c>
      <c r="D52" s="163" t="s">
        <v>17479</v>
      </c>
      <c r="E52" s="171" t="s">
        <v>17480</v>
      </c>
      <c r="F52" s="171"/>
      <c r="G52" s="172" t="s">
        <v>43</v>
      </c>
      <c r="H52" s="173" t="s">
        <v>60</v>
      </c>
      <c r="I52" s="173" t="s">
        <v>17481</v>
      </c>
      <c r="J52" s="161" t="s">
        <v>17482</v>
      </c>
      <c r="K52" s="161" t="s">
        <v>17129</v>
      </c>
      <c r="L52" s="175">
        <v>43009</v>
      </c>
      <c r="M52" s="175">
        <v>43100</v>
      </c>
      <c r="N52" s="163" t="s">
        <v>583</v>
      </c>
      <c r="O52" s="163" t="s">
        <v>583</v>
      </c>
      <c r="P52" s="53">
        <v>-17.5454585648113</v>
      </c>
      <c r="Q52" s="42" t="s">
        <v>2569</v>
      </c>
      <c r="R52" s="192">
        <v>8000000</v>
      </c>
      <c r="S52" s="192"/>
      <c r="T52" s="179"/>
      <c r="U52" s="192"/>
      <c r="V52" s="179"/>
      <c r="W52" s="198">
        <v>1000000</v>
      </c>
      <c r="X52" s="199">
        <v>1100000</v>
      </c>
      <c r="Y52" s="181" t="s">
        <v>112</v>
      </c>
      <c r="Z52" s="181" t="s">
        <v>14576</v>
      </c>
      <c r="AA52" s="209" t="s">
        <v>17483</v>
      </c>
      <c r="AB52" s="209" t="s">
        <v>17484</v>
      </c>
      <c r="AC52" s="209" t="s">
        <v>17485</v>
      </c>
      <c r="AD52" s="222" t="s">
        <v>17486</v>
      </c>
      <c r="AE52" s="222" t="s">
        <v>17487</v>
      </c>
      <c r="AF52" s="1591" t="s">
        <v>17488</v>
      </c>
      <c r="AG52" s="1591" t="s">
        <v>17489</v>
      </c>
      <c r="AH52" s="222" t="s">
        <v>17490</v>
      </c>
      <c r="AI52" s="229" t="s">
        <v>17491</v>
      </c>
      <c r="AJ52" s="230" t="s">
        <v>2986</v>
      </c>
    </row>
    <row r="53" ht="14.1" customHeight="1" spans="1:36">
      <c r="A53" s="1590" t="s">
        <v>381</v>
      </c>
      <c r="B53" s="1590" t="s">
        <v>17492</v>
      </c>
      <c r="C53" s="1618" t="s">
        <v>17080</v>
      </c>
      <c r="D53" s="163" t="s">
        <v>17493</v>
      </c>
      <c r="E53" s="171" t="s">
        <v>17494</v>
      </c>
      <c r="F53" s="171"/>
      <c r="G53" s="172" t="s">
        <v>43</v>
      </c>
      <c r="H53" s="173" t="s">
        <v>254</v>
      </c>
      <c r="I53" s="173" t="s">
        <v>3719</v>
      </c>
      <c r="J53" s="161" t="s">
        <v>17495</v>
      </c>
      <c r="K53" s="161" t="s">
        <v>17129</v>
      </c>
      <c r="L53" s="175">
        <v>43009</v>
      </c>
      <c r="M53" s="175">
        <v>43100</v>
      </c>
      <c r="N53" s="163" t="s">
        <v>583</v>
      </c>
      <c r="O53" s="163" t="s">
        <v>583</v>
      </c>
      <c r="P53" s="53">
        <v>-17.5454585648113</v>
      </c>
      <c r="Q53" s="42" t="s">
        <v>2569</v>
      </c>
      <c r="R53" s="192">
        <v>8838016</v>
      </c>
      <c r="S53" s="192"/>
      <c r="T53" s="179"/>
      <c r="U53" s="192"/>
      <c r="V53" s="179"/>
      <c r="W53" s="198">
        <v>1000000</v>
      </c>
      <c r="X53" s="199"/>
      <c r="Y53" s="181" t="s">
        <v>112</v>
      </c>
      <c r="Z53" s="181" t="s">
        <v>14576</v>
      </c>
      <c r="AA53" s="163"/>
      <c r="AB53" s="209" t="s">
        <v>17496</v>
      </c>
      <c r="AC53" s="209" t="s">
        <v>17497</v>
      </c>
      <c r="AD53" s="222" t="s">
        <v>17498</v>
      </c>
      <c r="AE53" s="1591" t="s">
        <v>17499</v>
      </c>
      <c r="AF53" s="1591" t="s">
        <v>17500</v>
      </c>
      <c r="AG53" s="222"/>
      <c r="AH53" s="1591" t="s">
        <v>17501</v>
      </c>
      <c r="AI53" s="229" t="s">
        <v>17502</v>
      </c>
      <c r="AJ53" s="230" t="s">
        <v>17503</v>
      </c>
    </row>
    <row r="54" ht="14.1" customHeight="1" spans="1:36">
      <c r="A54" s="1590" t="s">
        <v>39</v>
      </c>
      <c r="B54" s="1590" t="s">
        <v>17504</v>
      </c>
      <c r="C54" s="1618" t="s">
        <v>17080</v>
      </c>
      <c r="D54" s="167" t="s">
        <v>17505</v>
      </c>
      <c r="E54" s="171" t="s">
        <v>17506</v>
      </c>
      <c r="F54" s="171" t="s">
        <v>17470</v>
      </c>
      <c r="G54" s="172" t="s">
        <v>125</v>
      </c>
      <c r="H54" s="173" t="s">
        <v>60</v>
      </c>
      <c r="I54" s="173" t="s">
        <v>3528</v>
      </c>
      <c r="J54" s="180" t="s">
        <v>17507</v>
      </c>
      <c r="K54" s="181" t="s">
        <v>17508</v>
      </c>
      <c r="L54" s="182">
        <v>42736</v>
      </c>
      <c r="M54" s="182">
        <v>43100</v>
      </c>
      <c r="N54" s="175">
        <v>43131</v>
      </c>
      <c r="O54" s="182"/>
      <c r="P54" s="53">
        <v>-8.66085763888987</v>
      </c>
      <c r="Q54" s="42" t="s">
        <v>2569</v>
      </c>
      <c r="R54" s="181">
        <v>8856000</v>
      </c>
      <c r="S54" s="181">
        <v>250000</v>
      </c>
      <c r="T54" s="181">
        <v>200000</v>
      </c>
      <c r="U54" s="181"/>
      <c r="V54" s="181">
        <v>250000</v>
      </c>
      <c r="W54" s="201"/>
      <c r="X54" s="202"/>
      <c r="Y54" s="181" t="s">
        <v>112</v>
      </c>
      <c r="Z54" s="181" t="s">
        <v>17357</v>
      </c>
      <c r="AA54" s="181"/>
      <c r="AB54" s="212" t="s">
        <v>17509</v>
      </c>
      <c r="AC54" s="1594" t="s">
        <v>17510</v>
      </c>
      <c r="AD54" s="224" t="s">
        <v>17511</v>
      </c>
      <c r="AE54" s="224" t="s">
        <v>17512</v>
      </c>
      <c r="AF54" s="1581" t="s">
        <v>17513</v>
      </c>
      <c r="AG54" s="1581" t="s">
        <v>17514</v>
      </c>
      <c r="AH54" s="224"/>
      <c r="AI54" s="229" t="s">
        <v>17515</v>
      </c>
      <c r="AJ54" s="230" t="s">
        <v>17516</v>
      </c>
    </row>
    <row r="55" ht="14.1" customHeight="1" spans="1:36">
      <c r="A55" s="1590" t="s">
        <v>390</v>
      </c>
      <c r="B55" s="168" t="s">
        <v>17517</v>
      </c>
      <c r="C55" s="1618" t="s">
        <v>6517</v>
      </c>
      <c r="D55" s="163" t="s">
        <v>17518</v>
      </c>
      <c r="E55" s="171" t="s">
        <v>17519</v>
      </c>
      <c r="F55" s="171"/>
      <c r="G55" s="172" t="s">
        <v>43</v>
      </c>
      <c r="H55" s="173" t="s">
        <v>60</v>
      </c>
      <c r="I55" s="161" t="s">
        <v>3528</v>
      </c>
      <c r="J55" s="173" t="s">
        <v>17520</v>
      </c>
      <c r="K55" s="161"/>
      <c r="L55" s="175">
        <v>43045</v>
      </c>
      <c r="M55" s="175">
        <v>43100</v>
      </c>
      <c r="N55" s="175">
        <v>43131</v>
      </c>
      <c r="O55" s="163"/>
      <c r="P55" s="53">
        <v>-8.66085763888987</v>
      </c>
      <c r="Q55" s="42" t="s">
        <v>2569</v>
      </c>
      <c r="R55" s="192">
        <v>6050000</v>
      </c>
      <c r="S55" s="192"/>
      <c r="T55" s="179"/>
      <c r="U55" s="192"/>
      <c r="V55" s="179"/>
      <c r="W55" s="198">
        <v>800000</v>
      </c>
      <c r="X55" s="199"/>
      <c r="Y55" s="181" t="s">
        <v>112</v>
      </c>
      <c r="Z55" s="181" t="s">
        <v>14576</v>
      </c>
      <c r="AA55" s="163"/>
      <c r="AB55" s="209" t="s">
        <v>17521</v>
      </c>
      <c r="AC55" s="209">
        <v>85880791511</v>
      </c>
      <c r="AD55" s="222" t="s">
        <v>17522</v>
      </c>
      <c r="AE55" s="222" t="s">
        <v>17523</v>
      </c>
      <c r="AF55" s="1591" t="s">
        <v>17524</v>
      </c>
      <c r="AG55" s="222"/>
      <c r="AH55" s="1591" t="s">
        <v>17525</v>
      </c>
      <c r="AI55" s="127" t="s">
        <v>17526</v>
      </c>
      <c r="AJ55" s="230" t="s">
        <v>17516</v>
      </c>
    </row>
    <row r="56" ht="14.1" customHeight="1" spans="1:36">
      <c r="A56" s="1585" t="s">
        <v>56</v>
      </c>
      <c r="B56" s="1590" t="s">
        <v>17527</v>
      </c>
      <c r="C56" s="1590" t="s">
        <v>17528</v>
      </c>
      <c r="D56" s="163" t="s">
        <v>17529</v>
      </c>
      <c r="E56" s="171" t="s">
        <v>17530</v>
      </c>
      <c r="F56" s="171" t="s">
        <v>17531</v>
      </c>
      <c r="G56" s="172" t="s">
        <v>43</v>
      </c>
      <c r="H56" s="173" t="s">
        <v>60</v>
      </c>
      <c r="I56" s="173" t="s">
        <v>3528</v>
      </c>
      <c r="J56" s="161" t="s">
        <v>17532</v>
      </c>
      <c r="K56" s="161"/>
      <c r="L56" s="175">
        <v>42786</v>
      </c>
      <c r="M56" s="175">
        <v>43150</v>
      </c>
      <c r="N56" s="163"/>
      <c r="O56" s="163"/>
      <c r="P56" s="53">
        <v>-15.7231076388853</v>
      </c>
      <c r="Q56" s="42" t="s">
        <v>2569</v>
      </c>
      <c r="R56" s="192">
        <v>14000000</v>
      </c>
      <c r="S56" s="192">
        <v>500000</v>
      </c>
      <c r="T56" s="179">
        <v>250000</v>
      </c>
      <c r="U56" s="192">
        <v>500000</v>
      </c>
      <c r="V56" s="179">
        <v>250000</v>
      </c>
      <c r="W56" s="201" t="s">
        <v>583</v>
      </c>
      <c r="X56" s="202"/>
      <c r="Y56" s="181" t="s">
        <v>112</v>
      </c>
      <c r="Z56" s="181" t="s">
        <v>17357</v>
      </c>
      <c r="AA56" s="163"/>
      <c r="AB56" s="209" t="s">
        <v>17533</v>
      </c>
      <c r="AC56" s="209" t="s">
        <v>17534</v>
      </c>
      <c r="AD56" s="222" t="s">
        <v>17535</v>
      </c>
      <c r="AE56" s="222" t="s">
        <v>17536</v>
      </c>
      <c r="AF56" s="1591" t="s">
        <v>17537</v>
      </c>
      <c r="AG56" s="222"/>
      <c r="AH56" s="222"/>
      <c r="AI56" s="229" t="s">
        <v>17538</v>
      </c>
      <c r="AJ56" s="230" t="s">
        <v>17539</v>
      </c>
    </row>
    <row r="57" ht="14.1" customHeight="1" spans="1:36">
      <c r="A57" s="1585" t="s">
        <v>157</v>
      </c>
      <c r="B57" s="1590" t="s">
        <v>17540</v>
      </c>
      <c r="C57" s="1618" t="s">
        <v>17080</v>
      </c>
      <c r="D57" s="163" t="s">
        <v>17541</v>
      </c>
      <c r="E57" s="171" t="s">
        <v>17542</v>
      </c>
      <c r="F57" s="171" t="s">
        <v>17543</v>
      </c>
      <c r="G57" s="172" t="s">
        <v>43</v>
      </c>
      <c r="H57" s="173" t="s">
        <v>44</v>
      </c>
      <c r="I57" s="173" t="s">
        <v>3089</v>
      </c>
      <c r="J57" s="161" t="s">
        <v>17544</v>
      </c>
      <c r="K57" s="161" t="s">
        <v>17101</v>
      </c>
      <c r="L57" s="175">
        <v>43009</v>
      </c>
      <c r="M57" s="175">
        <v>43100</v>
      </c>
      <c r="N57" s="175">
        <v>43159</v>
      </c>
      <c r="O57" s="163" t="s">
        <v>583</v>
      </c>
      <c r="P57" s="53">
        <v>-6.72310763888527</v>
      </c>
      <c r="Q57" s="42" t="s">
        <v>2569</v>
      </c>
      <c r="R57" s="192">
        <v>12100000</v>
      </c>
      <c r="S57" s="192"/>
      <c r="T57" s="179"/>
      <c r="U57" s="192"/>
      <c r="V57" s="179"/>
      <c r="W57" s="198">
        <v>1000000</v>
      </c>
      <c r="X57" s="199"/>
      <c r="Y57" s="181" t="s">
        <v>112</v>
      </c>
      <c r="Z57" s="181" t="s">
        <v>14576</v>
      </c>
      <c r="AA57" s="163"/>
      <c r="AB57" s="209" t="s">
        <v>17545</v>
      </c>
      <c r="AC57" s="209" t="s">
        <v>17546</v>
      </c>
      <c r="AD57" s="222" t="s">
        <v>17547</v>
      </c>
      <c r="AE57" s="222" t="s">
        <v>17548</v>
      </c>
      <c r="AF57" s="1591" t="s">
        <v>17549</v>
      </c>
      <c r="AG57" s="222"/>
      <c r="AH57" s="222" t="s">
        <v>17550</v>
      </c>
      <c r="AI57" s="229" t="s">
        <v>17551</v>
      </c>
      <c r="AJ57" s="230" t="s">
        <v>8193</v>
      </c>
    </row>
    <row r="58" ht="14.1" customHeight="1" spans="1:36">
      <c r="A58" s="1590" t="s">
        <v>296</v>
      </c>
      <c r="B58" s="1590" t="s">
        <v>17552</v>
      </c>
      <c r="C58" s="1618" t="s">
        <v>17080</v>
      </c>
      <c r="D58" s="163" t="s">
        <v>17553</v>
      </c>
      <c r="E58" s="171" t="s">
        <v>17554</v>
      </c>
      <c r="F58" s="171"/>
      <c r="G58" s="172" t="s">
        <v>43</v>
      </c>
      <c r="H58" s="173" t="s">
        <v>60</v>
      </c>
      <c r="I58" s="173" t="s">
        <v>6633</v>
      </c>
      <c r="J58" s="161" t="s">
        <v>17555</v>
      </c>
      <c r="K58" s="161" t="s">
        <v>17101</v>
      </c>
      <c r="L58" s="175">
        <v>43009</v>
      </c>
      <c r="M58" s="175">
        <v>43100</v>
      </c>
      <c r="N58" s="175">
        <v>43159</v>
      </c>
      <c r="O58" s="163" t="s">
        <v>583</v>
      </c>
      <c r="P58" s="53">
        <v>-6.72310763888527</v>
      </c>
      <c r="Q58" s="42" t="s">
        <v>2569</v>
      </c>
      <c r="R58" s="192">
        <v>8644309</v>
      </c>
      <c r="S58" s="192"/>
      <c r="T58" s="179"/>
      <c r="U58" s="192"/>
      <c r="V58" s="179"/>
      <c r="W58" s="198">
        <v>1000000</v>
      </c>
      <c r="X58" s="199"/>
      <c r="Y58" s="181" t="s">
        <v>112</v>
      </c>
      <c r="Z58" s="181" t="s">
        <v>14576</v>
      </c>
      <c r="AA58" s="163"/>
      <c r="AB58" s="209" t="s">
        <v>17556</v>
      </c>
      <c r="AC58" s="209" t="s">
        <v>17557</v>
      </c>
      <c r="AD58" s="222" t="s">
        <v>17558</v>
      </c>
      <c r="AE58" s="222" t="s">
        <v>17559</v>
      </c>
      <c r="AF58" s="1591" t="s">
        <v>17560</v>
      </c>
      <c r="AG58" s="1591" t="s">
        <v>17561</v>
      </c>
      <c r="AH58" s="222"/>
      <c r="AI58" s="229" t="s">
        <v>17562</v>
      </c>
      <c r="AJ58" s="230" t="s">
        <v>7317</v>
      </c>
    </row>
    <row r="59" ht="14.1" customHeight="1" spans="1:36">
      <c r="A59" s="1590" t="s">
        <v>333</v>
      </c>
      <c r="B59" s="1590" t="s">
        <v>17563</v>
      </c>
      <c r="C59" s="1618" t="s">
        <v>17080</v>
      </c>
      <c r="D59" s="163" t="s">
        <v>17564</v>
      </c>
      <c r="E59" s="171" t="s">
        <v>17565</v>
      </c>
      <c r="F59" s="171" t="s">
        <v>17566</v>
      </c>
      <c r="G59" s="172" t="s">
        <v>43</v>
      </c>
      <c r="H59" s="173" t="s">
        <v>880</v>
      </c>
      <c r="I59" s="173" t="s">
        <v>15269</v>
      </c>
      <c r="J59" s="161" t="s">
        <v>17567</v>
      </c>
      <c r="K59" s="161" t="s">
        <v>17308</v>
      </c>
      <c r="L59" s="175">
        <v>43009</v>
      </c>
      <c r="M59" s="175">
        <v>43100</v>
      </c>
      <c r="N59" s="175">
        <v>43159</v>
      </c>
      <c r="O59" s="163" t="s">
        <v>583</v>
      </c>
      <c r="P59" s="53">
        <v>-6.72310763888527</v>
      </c>
      <c r="Q59" s="42" t="s">
        <v>2569</v>
      </c>
      <c r="R59" s="192">
        <v>7451087</v>
      </c>
      <c r="S59" s="192"/>
      <c r="T59" s="179"/>
      <c r="U59" s="192"/>
      <c r="V59" s="179"/>
      <c r="W59" s="198">
        <v>1000000</v>
      </c>
      <c r="X59" s="199"/>
      <c r="Y59" s="181" t="s">
        <v>112</v>
      </c>
      <c r="Z59" s="181" t="s">
        <v>14576</v>
      </c>
      <c r="AA59" s="163"/>
      <c r="AB59" s="209" t="s">
        <v>17568</v>
      </c>
      <c r="AC59" s="209" t="s">
        <v>17569</v>
      </c>
      <c r="AD59" s="222" t="s">
        <v>17570</v>
      </c>
      <c r="AE59" s="222" t="s">
        <v>17571</v>
      </c>
      <c r="AF59" s="1591" t="s">
        <v>17572</v>
      </c>
      <c r="AG59" s="1591" t="s">
        <v>17573</v>
      </c>
      <c r="AH59" s="222" t="s">
        <v>17574</v>
      </c>
      <c r="AI59" s="229" t="s">
        <v>17575</v>
      </c>
      <c r="AJ59" s="230" t="s">
        <v>7317</v>
      </c>
    </row>
    <row r="60" ht="14.1" customHeight="1" spans="1:36">
      <c r="A60" s="1590" t="s">
        <v>346</v>
      </c>
      <c r="B60" s="1590" t="s">
        <v>17576</v>
      </c>
      <c r="C60" s="1618" t="s">
        <v>17080</v>
      </c>
      <c r="D60" s="163" t="s">
        <v>17577</v>
      </c>
      <c r="E60" s="171" t="s">
        <v>17578</v>
      </c>
      <c r="F60" s="171"/>
      <c r="G60" s="172" t="s">
        <v>43</v>
      </c>
      <c r="H60" s="173" t="s">
        <v>60</v>
      </c>
      <c r="I60" s="173" t="s">
        <v>1068</v>
      </c>
      <c r="J60" s="161" t="s">
        <v>17579</v>
      </c>
      <c r="K60" s="161" t="s">
        <v>17129</v>
      </c>
      <c r="L60" s="175">
        <v>43009</v>
      </c>
      <c r="M60" s="175">
        <v>43100</v>
      </c>
      <c r="N60" s="175">
        <v>43159</v>
      </c>
      <c r="O60" s="163" t="s">
        <v>583</v>
      </c>
      <c r="P60" s="53">
        <v>-6.72310763888527</v>
      </c>
      <c r="Q60" s="42" t="s">
        <v>2569</v>
      </c>
      <c r="R60" s="192">
        <v>8034553</v>
      </c>
      <c r="S60" s="192"/>
      <c r="T60" s="179"/>
      <c r="U60" s="192"/>
      <c r="V60" s="179"/>
      <c r="W60" s="198">
        <v>1000000</v>
      </c>
      <c r="X60" s="199"/>
      <c r="Y60" s="181" t="s">
        <v>112</v>
      </c>
      <c r="Z60" s="181" t="s">
        <v>14576</v>
      </c>
      <c r="AA60" s="163"/>
      <c r="AB60" s="209" t="s">
        <v>17580</v>
      </c>
      <c r="AC60" s="209" t="s">
        <v>17581</v>
      </c>
      <c r="AD60" s="222" t="s">
        <v>17582</v>
      </c>
      <c r="AE60" s="222" t="s">
        <v>17583</v>
      </c>
      <c r="AF60" s="1591" t="s">
        <v>17584</v>
      </c>
      <c r="AG60" s="1591" t="s">
        <v>17585</v>
      </c>
      <c r="AH60" s="222" t="s">
        <v>17586</v>
      </c>
      <c r="AI60" s="127" t="s">
        <v>17587</v>
      </c>
      <c r="AJ60" s="230" t="s">
        <v>7317</v>
      </c>
    </row>
    <row r="61" ht="14.1" customHeight="1" spans="1:36">
      <c r="A61" s="1590" t="s">
        <v>369</v>
      </c>
      <c r="B61" s="1590" t="s">
        <v>17588</v>
      </c>
      <c r="C61" s="1618" t="s">
        <v>17080</v>
      </c>
      <c r="D61" s="163" t="s">
        <v>17589</v>
      </c>
      <c r="E61" s="171" t="s">
        <v>17590</v>
      </c>
      <c r="F61" s="171"/>
      <c r="G61" s="172" t="s">
        <v>43</v>
      </c>
      <c r="H61" s="173" t="s">
        <v>60</v>
      </c>
      <c r="I61" s="173" t="s">
        <v>3528</v>
      </c>
      <c r="J61" s="161" t="s">
        <v>17591</v>
      </c>
      <c r="K61" s="161"/>
      <c r="L61" s="175">
        <v>43009</v>
      </c>
      <c r="M61" s="175">
        <v>43100</v>
      </c>
      <c r="N61" s="175">
        <v>43159</v>
      </c>
      <c r="O61" s="101"/>
      <c r="P61" s="53">
        <v>-6.72310763888527</v>
      </c>
      <c r="Q61" s="42" t="s">
        <v>2569</v>
      </c>
      <c r="R61" s="195">
        <v>9072000</v>
      </c>
      <c r="S61" s="192"/>
      <c r="T61" s="179"/>
      <c r="U61" s="192"/>
      <c r="V61" s="179"/>
      <c r="W61" s="198">
        <v>550000</v>
      </c>
      <c r="X61" s="199"/>
      <c r="Y61" s="181" t="s">
        <v>112</v>
      </c>
      <c r="Z61" s="181" t="s">
        <v>14576</v>
      </c>
      <c r="AA61" s="163" t="s">
        <v>17592</v>
      </c>
      <c r="AB61" s="209" t="s">
        <v>17593</v>
      </c>
      <c r="AC61" s="209" t="s">
        <v>17594</v>
      </c>
      <c r="AD61" s="222" t="s">
        <v>17595</v>
      </c>
      <c r="AE61" s="222" t="s">
        <v>17596</v>
      </c>
      <c r="AF61" s="1591" t="s">
        <v>17597</v>
      </c>
      <c r="AG61" s="1591" t="s">
        <v>17598</v>
      </c>
      <c r="AH61" s="1591" t="s">
        <v>17599</v>
      </c>
      <c r="AI61" s="229" t="s">
        <v>17600</v>
      </c>
      <c r="AJ61" s="230" t="s">
        <v>17601</v>
      </c>
    </row>
    <row r="62" s="155" customFormat="1" ht="14.1" customHeight="1" spans="1:39">
      <c r="A62" s="1590" t="s">
        <v>68</v>
      </c>
      <c r="B62" s="1590" t="s">
        <v>17079</v>
      </c>
      <c r="C62" s="1618" t="s">
        <v>17080</v>
      </c>
      <c r="D62" s="163" t="s">
        <v>17081</v>
      </c>
      <c r="E62" s="171" t="s">
        <v>17082</v>
      </c>
      <c r="F62" s="171" t="s">
        <v>1110</v>
      </c>
      <c r="G62" s="172" t="s">
        <v>43</v>
      </c>
      <c r="H62" s="173" t="s">
        <v>254</v>
      </c>
      <c r="I62" s="183" t="s">
        <v>17083</v>
      </c>
      <c r="J62" s="184" t="s">
        <v>17084</v>
      </c>
      <c r="K62" s="161" t="s">
        <v>17085</v>
      </c>
      <c r="L62" s="175">
        <v>43009</v>
      </c>
      <c r="M62" s="175">
        <v>43100</v>
      </c>
      <c r="N62" s="175">
        <v>43159</v>
      </c>
      <c r="O62" s="188">
        <v>43373</v>
      </c>
      <c r="P62" s="53">
        <f ca="1">SUM(O62-NOW())</f>
        <v>100.61546296296</v>
      </c>
      <c r="Q62" s="42" t="str">
        <f ca="1" t="shared" ref="Q62:Q82" si="5">IF(P62&lt;=40,"WARNING","ACTIVE")</f>
        <v>ACTIVE</v>
      </c>
      <c r="R62" s="195">
        <v>12640320</v>
      </c>
      <c r="S62" s="192"/>
      <c r="T62" s="179"/>
      <c r="U62" s="192"/>
      <c r="V62" s="179"/>
      <c r="W62" s="203">
        <v>3500000</v>
      </c>
      <c r="X62" s="199"/>
      <c r="Y62" s="181" t="s">
        <v>112</v>
      </c>
      <c r="Z62" s="181" t="s">
        <v>14576</v>
      </c>
      <c r="AA62" s="163" t="s">
        <v>17086</v>
      </c>
      <c r="AB62" s="209" t="s">
        <v>17087</v>
      </c>
      <c r="AC62" s="209" t="s">
        <v>17088</v>
      </c>
      <c r="AD62" s="222" t="s">
        <v>17089</v>
      </c>
      <c r="AE62" s="222" t="s">
        <v>17090</v>
      </c>
      <c r="AF62" s="1591" t="s">
        <v>17091</v>
      </c>
      <c r="AG62" s="1591" t="s">
        <v>17092</v>
      </c>
      <c r="AH62" s="222" t="s">
        <v>17093</v>
      </c>
      <c r="AI62" s="229" t="s">
        <v>17094</v>
      </c>
      <c r="AJ62" s="230" t="s">
        <v>17602</v>
      </c>
      <c r="AK62" s="155" t="s">
        <v>920</v>
      </c>
      <c r="AL62" s="155">
        <v>12640320</v>
      </c>
      <c r="AM62" s="155" t="s">
        <v>17083</v>
      </c>
    </row>
    <row r="63" s="155" customFormat="1" ht="14.1" customHeight="1" spans="1:38">
      <c r="A63" s="1590" t="s">
        <v>78</v>
      </c>
      <c r="B63" s="1590" t="s">
        <v>17095</v>
      </c>
      <c r="C63" s="1618" t="s">
        <v>17080</v>
      </c>
      <c r="D63" s="163" t="s">
        <v>17096</v>
      </c>
      <c r="E63" s="171" t="s">
        <v>17097</v>
      </c>
      <c r="F63" s="171" t="s">
        <v>17098</v>
      </c>
      <c r="G63" s="172" t="s">
        <v>43</v>
      </c>
      <c r="H63" s="173" t="s">
        <v>96</v>
      </c>
      <c r="I63" s="173" t="s">
        <v>17099</v>
      </c>
      <c r="J63" s="184" t="s">
        <v>17100</v>
      </c>
      <c r="K63" s="161" t="s">
        <v>17101</v>
      </c>
      <c r="L63" s="175">
        <v>43009</v>
      </c>
      <c r="M63" s="175">
        <v>43100</v>
      </c>
      <c r="N63" s="175">
        <v>43159</v>
      </c>
      <c r="O63" s="188">
        <v>43373</v>
      </c>
      <c r="P63" s="53">
        <f ca="1" t="shared" ref="P63:P68" si="6">SUM(O63-NOW())</f>
        <v>100.61546296296</v>
      </c>
      <c r="Q63" s="42" t="str">
        <f ca="1" t="shared" si="5"/>
        <v>ACTIVE</v>
      </c>
      <c r="R63" s="195">
        <v>8910000</v>
      </c>
      <c r="S63" s="192"/>
      <c r="T63" s="179"/>
      <c r="U63" s="192"/>
      <c r="V63" s="179"/>
      <c r="W63" s="198">
        <v>1000000</v>
      </c>
      <c r="X63" s="199"/>
      <c r="Y63" s="181" t="s">
        <v>112</v>
      </c>
      <c r="Z63" s="181" t="s">
        <v>14576</v>
      </c>
      <c r="AA63" s="163" t="s">
        <v>17102</v>
      </c>
      <c r="AB63" s="209" t="s">
        <v>17103</v>
      </c>
      <c r="AC63" s="209" t="s">
        <v>17104</v>
      </c>
      <c r="AD63" s="222" t="s">
        <v>17105</v>
      </c>
      <c r="AE63" s="222" t="s">
        <v>17106</v>
      </c>
      <c r="AF63" s="1591" t="s">
        <v>17107</v>
      </c>
      <c r="AG63" s="1591" t="s">
        <v>17108</v>
      </c>
      <c r="AH63" s="222" t="s">
        <v>17109</v>
      </c>
      <c r="AI63" s="229" t="s">
        <v>17110</v>
      </c>
      <c r="AJ63" s="230" t="s">
        <v>17602</v>
      </c>
      <c r="AK63" s="155" t="s">
        <v>17099</v>
      </c>
      <c r="AL63" s="155">
        <v>8910000</v>
      </c>
    </row>
    <row r="64" s="155" customFormat="1" ht="14.1" customHeight="1" spans="1:38">
      <c r="A64" s="1590" t="s">
        <v>92</v>
      </c>
      <c r="B64" s="1590" t="s">
        <v>17111</v>
      </c>
      <c r="C64" s="1618" t="s">
        <v>17080</v>
      </c>
      <c r="D64" s="163" t="s">
        <v>17112</v>
      </c>
      <c r="E64" s="171" t="s">
        <v>17113</v>
      </c>
      <c r="F64" s="171"/>
      <c r="G64" s="172" t="s">
        <v>43</v>
      </c>
      <c r="H64" s="173" t="s">
        <v>96</v>
      </c>
      <c r="I64" s="173" t="s">
        <v>7558</v>
      </c>
      <c r="J64" s="184" t="s">
        <v>17114</v>
      </c>
      <c r="K64" s="161" t="s">
        <v>17101</v>
      </c>
      <c r="L64" s="175">
        <v>43009</v>
      </c>
      <c r="M64" s="175">
        <v>43100</v>
      </c>
      <c r="N64" s="175">
        <v>43159</v>
      </c>
      <c r="O64" s="188">
        <v>43373</v>
      </c>
      <c r="P64" s="53">
        <f ca="1" t="shared" si="6"/>
        <v>100.61546296296</v>
      </c>
      <c r="Q64" s="42" t="str">
        <f ca="1" t="shared" si="5"/>
        <v>ACTIVE</v>
      </c>
      <c r="R64" s="195">
        <v>10993871</v>
      </c>
      <c r="S64" s="192"/>
      <c r="T64" s="179"/>
      <c r="U64" s="192"/>
      <c r="V64" s="179"/>
      <c r="W64" s="198">
        <v>1000000</v>
      </c>
      <c r="X64" s="199"/>
      <c r="Y64" s="181" t="s">
        <v>112</v>
      </c>
      <c r="Z64" s="181" t="s">
        <v>14576</v>
      </c>
      <c r="AA64" s="163" t="s">
        <v>17115</v>
      </c>
      <c r="AB64" s="209" t="s">
        <v>17116</v>
      </c>
      <c r="AC64" s="209" t="s">
        <v>17117</v>
      </c>
      <c r="AD64" s="222" t="s">
        <v>17118</v>
      </c>
      <c r="AE64" s="222" t="s">
        <v>17119</v>
      </c>
      <c r="AF64" s="1591" t="s">
        <v>17120</v>
      </c>
      <c r="AG64" s="1591" t="s">
        <v>17121</v>
      </c>
      <c r="AH64" s="222" t="s">
        <v>17122</v>
      </c>
      <c r="AI64" s="229" t="s">
        <v>17123</v>
      </c>
      <c r="AJ64" s="230" t="s">
        <v>17602</v>
      </c>
      <c r="AK64" s="155" t="s">
        <v>7558</v>
      </c>
      <c r="AL64" s="155">
        <v>10993871</v>
      </c>
    </row>
    <row r="65" s="155" customFormat="1" ht="14.1" customHeight="1" spans="1:38">
      <c r="A65" s="1590" t="s">
        <v>107</v>
      </c>
      <c r="B65" s="1590" t="s">
        <v>17124</v>
      </c>
      <c r="C65" s="1618" t="s">
        <v>17080</v>
      </c>
      <c r="D65" s="163" t="s">
        <v>17125</v>
      </c>
      <c r="E65" s="171" t="s">
        <v>17126</v>
      </c>
      <c r="F65" s="171" t="s">
        <v>17127</v>
      </c>
      <c r="G65" s="172" t="s">
        <v>43</v>
      </c>
      <c r="H65" s="173" t="s">
        <v>254</v>
      </c>
      <c r="I65" s="173" t="s">
        <v>10370</v>
      </c>
      <c r="J65" s="184" t="s">
        <v>17128</v>
      </c>
      <c r="K65" s="161" t="s">
        <v>17129</v>
      </c>
      <c r="L65" s="175">
        <v>43009</v>
      </c>
      <c r="M65" s="175">
        <v>43100</v>
      </c>
      <c r="N65" s="175">
        <v>43159</v>
      </c>
      <c r="O65" s="188">
        <v>43373</v>
      </c>
      <c r="P65" s="53">
        <f ca="1" t="shared" si="6"/>
        <v>100.61546296296</v>
      </c>
      <c r="Q65" s="42" t="str">
        <f ca="1" t="shared" si="5"/>
        <v>ACTIVE</v>
      </c>
      <c r="R65" s="195">
        <v>10179472</v>
      </c>
      <c r="S65" s="192"/>
      <c r="T65" s="179"/>
      <c r="U65" s="192"/>
      <c r="V65" s="179"/>
      <c r="W65" s="198">
        <v>1000000</v>
      </c>
      <c r="X65" s="199"/>
      <c r="Y65" s="181" t="s">
        <v>112</v>
      </c>
      <c r="Z65" s="181" t="s">
        <v>14576</v>
      </c>
      <c r="AA65" s="163" t="s">
        <v>17130</v>
      </c>
      <c r="AB65" s="209" t="s">
        <v>17131</v>
      </c>
      <c r="AC65" s="209" t="s">
        <v>17132</v>
      </c>
      <c r="AD65" s="222" t="s">
        <v>17133</v>
      </c>
      <c r="AE65" s="222" t="s">
        <v>17134</v>
      </c>
      <c r="AF65" s="1591" t="s">
        <v>17135</v>
      </c>
      <c r="AG65" s="1591" t="s">
        <v>2574</v>
      </c>
      <c r="AH65" s="222" t="s">
        <v>17136</v>
      </c>
      <c r="AI65" s="229" t="s">
        <v>17137</v>
      </c>
      <c r="AJ65" s="230" t="s">
        <v>17602</v>
      </c>
      <c r="AK65" s="155" t="s">
        <v>10370</v>
      </c>
      <c r="AL65" s="155">
        <v>10179472</v>
      </c>
    </row>
    <row r="66" s="155" customFormat="1" ht="14.1" customHeight="1" spans="1:38">
      <c r="A66" s="1590" t="s">
        <v>121</v>
      </c>
      <c r="B66" s="1590" t="s">
        <v>17603</v>
      </c>
      <c r="C66" s="1618" t="s">
        <v>17080</v>
      </c>
      <c r="D66" s="163" t="s">
        <v>17604</v>
      </c>
      <c r="E66" s="171" t="s">
        <v>17605</v>
      </c>
      <c r="F66" s="171" t="s">
        <v>16515</v>
      </c>
      <c r="G66" s="172" t="s">
        <v>43</v>
      </c>
      <c r="H66" s="173" t="s">
        <v>404</v>
      </c>
      <c r="I66" s="173" t="s">
        <v>920</v>
      </c>
      <c r="J66" s="184" t="s">
        <v>17157</v>
      </c>
      <c r="K66" s="161" t="s">
        <v>17158</v>
      </c>
      <c r="L66" s="175">
        <v>43009</v>
      </c>
      <c r="M66" s="175">
        <v>43100</v>
      </c>
      <c r="N66" s="175">
        <v>43159</v>
      </c>
      <c r="O66" s="188">
        <v>43373</v>
      </c>
      <c r="P66" s="53">
        <f ca="1" t="shared" si="6"/>
        <v>100.61546296296</v>
      </c>
      <c r="Q66" s="42" t="str">
        <f ca="1" t="shared" si="5"/>
        <v>ACTIVE</v>
      </c>
      <c r="R66" s="195">
        <v>10455650</v>
      </c>
      <c r="S66" s="192"/>
      <c r="T66" s="179"/>
      <c r="U66" s="192"/>
      <c r="V66" s="179"/>
      <c r="W66" s="198">
        <v>1000000</v>
      </c>
      <c r="X66" s="199"/>
      <c r="Y66" s="181" t="s">
        <v>112</v>
      </c>
      <c r="Z66" s="181" t="s">
        <v>14576</v>
      </c>
      <c r="AA66" s="163" t="s">
        <v>17606</v>
      </c>
      <c r="AB66" s="209" t="s">
        <v>17607</v>
      </c>
      <c r="AC66" s="209" t="s">
        <v>17608</v>
      </c>
      <c r="AD66" s="222" t="s">
        <v>17609</v>
      </c>
      <c r="AE66" s="222" t="s">
        <v>17610</v>
      </c>
      <c r="AF66" s="1591" t="s">
        <v>17611</v>
      </c>
      <c r="AG66" s="1591" t="s">
        <v>17612</v>
      </c>
      <c r="AH66" s="222"/>
      <c r="AI66" s="229" t="s">
        <v>17613</v>
      </c>
      <c r="AJ66" s="230" t="s">
        <v>17602</v>
      </c>
      <c r="AK66" s="155" t="s">
        <v>920</v>
      </c>
      <c r="AL66" s="155">
        <v>10455650</v>
      </c>
    </row>
    <row r="67" s="155" customFormat="1" ht="14.1" customHeight="1" spans="1:39">
      <c r="A67" s="1590" t="s">
        <v>135</v>
      </c>
      <c r="B67" s="1590" t="s">
        <v>17138</v>
      </c>
      <c r="C67" s="1618" t="s">
        <v>17080</v>
      </c>
      <c r="D67" s="163" t="s">
        <v>17139</v>
      </c>
      <c r="E67" s="171" t="s">
        <v>17140</v>
      </c>
      <c r="F67" s="171" t="s">
        <v>17141</v>
      </c>
      <c r="G67" s="172" t="s">
        <v>43</v>
      </c>
      <c r="H67" s="173" t="s">
        <v>44</v>
      </c>
      <c r="I67" s="183" t="s">
        <v>17142</v>
      </c>
      <c r="J67" s="184" t="s">
        <v>17143</v>
      </c>
      <c r="K67" s="161" t="s">
        <v>17085</v>
      </c>
      <c r="L67" s="175">
        <v>43009</v>
      </c>
      <c r="M67" s="175">
        <v>43100</v>
      </c>
      <c r="N67" s="175">
        <v>43159</v>
      </c>
      <c r="O67" s="188">
        <v>43373</v>
      </c>
      <c r="P67" s="53">
        <f ca="1" t="shared" si="6"/>
        <v>100.61546296296</v>
      </c>
      <c r="Q67" s="42" t="str">
        <f ca="1" t="shared" si="5"/>
        <v>ACTIVE</v>
      </c>
      <c r="R67" s="195">
        <v>8838008</v>
      </c>
      <c r="S67" s="192"/>
      <c r="T67" s="179"/>
      <c r="U67" s="192"/>
      <c r="V67" s="179"/>
      <c r="W67" s="203">
        <v>2500000</v>
      </c>
      <c r="X67" s="199"/>
      <c r="Y67" s="181" t="s">
        <v>112</v>
      </c>
      <c r="Z67" s="181" t="s">
        <v>14576</v>
      </c>
      <c r="AA67" s="163" t="s">
        <v>17144</v>
      </c>
      <c r="AB67" s="209" t="s">
        <v>17145</v>
      </c>
      <c r="AC67" s="209" t="s">
        <v>17146</v>
      </c>
      <c r="AD67" s="222" t="s">
        <v>17147</v>
      </c>
      <c r="AE67" s="222" t="s">
        <v>17148</v>
      </c>
      <c r="AF67" s="1591" t="s">
        <v>17149</v>
      </c>
      <c r="AG67" s="1591" t="s">
        <v>17150</v>
      </c>
      <c r="AH67" s="1591" t="s">
        <v>17151</v>
      </c>
      <c r="AI67" s="229" t="s">
        <v>17152</v>
      </c>
      <c r="AJ67" s="230" t="s">
        <v>17602</v>
      </c>
      <c r="AK67" s="155" t="s">
        <v>1793</v>
      </c>
      <c r="AL67" s="155">
        <v>8838008</v>
      </c>
      <c r="AM67" s="155" t="s">
        <v>17142</v>
      </c>
    </row>
    <row r="68" s="155" customFormat="1" ht="14.1" customHeight="1" spans="1:38">
      <c r="A68" s="1590" t="s">
        <v>146</v>
      </c>
      <c r="B68" s="1590" t="s">
        <v>17154</v>
      </c>
      <c r="C68" s="1618" t="s">
        <v>17080</v>
      </c>
      <c r="D68" s="163" t="s">
        <v>17155</v>
      </c>
      <c r="E68" s="171" t="s">
        <v>17156</v>
      </c>
      <c r="F68" s="171"/>
      <c r="G68" s="172" t="s">
        <v>43</v>
      </c>
      <c r="H68" s="173" t="s">
        <v>60</v>
      </c>
      <c r="I68" s="173" t="s">
        <v>920</v>
      </c>
      <c r="J68" s="184" t="s">
        <v>17157</v>
      </c>
      <c r="K68" s="161" t="s">
        <v>17158</v>
      </c>
      <c r="L68" s="175">
        <v>43009</v>
      </c>
      <c r="M68" s="175">
        <v>43100</v>
      </c>
      <c r="N68" s="175">
        <v>43159</v>
      </c>
      <c r="O68" s="188">
        <v>43373</v>
      </c>
      <c r="P68" s="53">
        <f ca="1" t="shared" si="6"/>
        <v>100.61546296296</v>
      </c>
      <c r="Q68" s="42" t="str">
        <f ca="1" t="shared" si="5"/>
        <v>ACTIVE</v>
      </c>
      <c r="R68" s="195">
        <v>13493066</v>
      </c>
      <c r="S68" s="192"/>
      <c r="T68" s="179"/>
      <c r="U68" s="192"/>
      <c r="V68" s="179"/>
      <c r="W68" s="198">
        <v>1000000</v>
      </c>
      <c r="X68" s="199"/>
      <c r="Y68" s="181" t="s">
        <v>112</v>
      </c>
      <c r="Z68" s="181" t="s">
        <v>14576</v>
      </c>
      <c r="AA68" s="163" t="s">
        <v>17159</v>
      </c>
      <c r="AB68" s="209" t="s">
        <v>17160</v>
      </c>
      <c r="AC68" s="209" t="s">
        <v>17161</v>
      </c>
      <c r="AD68" s="222" t="s">
        <v>17162</v>
      </c>
      <c r="AE68" s="222" t="s">
        <v>17163</v>
      </c>
      <c r="AF68" s="1591" t="s">
        <v>17164</v>
      </c>
      <c r="AG68" s="222"/>
      <c r="AH68" s="222" t="s">
        <v>17165</v>
      </c>
      <c r="AI68" s="229" t="s">
        <v>17166</v>
      </c>
      <c r="AJ68" s="230" t="s">
        <v>17602</v>
      </c>
      <c r="AK68" s="155" t="s">
        <v>920</v>
      </c>
      <c r="AL68" s="155">
        <v>13493066</v>
      </c>
    </row>
    <row r="69" s="155" customFormat="1" ht="14.1" customHeight="1" spans="1:38">
      <c r="A69" s="1590" t="s">
        <v>168</v>
      </c>
      <c r="B69" s="1590" t="s">
        <v>17614</v>
      </c>
      <c r="C69" s="1618" t="s">
        <v>17080</v>
      </c>
      <c r="D69" s="163" t="s">
        <v>17615</v>
      </c>
      <c r="E69" s="171" t="s">
        <v>17616</v>
      </c>
      <c r="F69" s="171"/>
      <c r="G69" s="172" t="s">
        <v>43</v>
      </c>
      <c r="H69" s="173" t="s">
        <v>44</v>
      </c>
      <c r="I69" s="173" t="s">
        <v>2832</v>
      </c>
      <c r="J69" s="184" t="s">
        <v>17617</v>
      </c>
      <c r="K69" s="161" t="s">
        <v>17308</v>
      </c>
      <c r="L69" s="175">
        <v>43009</v>
      </c>
      <c r="M69" s="175">
        <v>43100</v>
      </c>
      <c r="N69" s="175">
        <v>43159</v>
      </c>
      <c r="O69" s="188">
        <v>43373</v>
      </c>
      <c r="P69" s="53">
        <f ca="1" t="shared" ref="P69:P82" si="7">SUM(O69-NOW())</f>
        <v>100.61546296296</v>
      </c>
      <c r="Q69" s="42" t="str">
        <f ca="1" t="shared" si="5"/>
        <v>ACTIVE</v>
      </c>
      <c r="R69" s="195">
        <v>14197260</v>
      </c>
      <c r="S69" s="192"/>
      <c r="T69" s="179"/>
      <c r="U69" s="192"/>
      <c r="V69" s="179"/>
      <c r="W69" s="198">
        <v>1000000</v>
      </c>
      <c r="X69" s="199"/>
      <c r="Y69" s="181" t="s">
        <v>112</v>
      </c>
      <c r="Z69" s="181" t="s">
        <v>14576</v>
      </c>
      <c r="AA69" s="163" t="s">
        <v>17618</v>
      </c>
      <c r="AB69" s="209" t="s">
        <v>17619</v>
      </c>
      <c r="AC69" s="209" t="s">
        <v>17620</v>
      </c>
      <c r="AD69" s="222" t="s">
        <v>17621</v>
      </c>
      <c r="AE69" s="222" t="s">
        <v>17622</v>
      </c>
      <c r="AF69" s="1591" t="s">
        <v>17623</v>
      </c>
      <c r="AG69" s="222"/>
      <c r="AH69" s="222"/>
      <c r="AI69" s="229" t="s">
        <v>17624</v>
      </c>
      <c r="AJ69" s="230" t="s">
        <v>17602</v>
      </c>
      <c r="AK69" s="155" t="s">
        <v>2832</v>
      </c>
      <c r="AL69" s="155">
        <v>14197260</v>
      </c>
    </row>
    <row r="70" s="155" customFormat="1" ht="14.1" customHeight="1" spans="1:38">
      <c r="A70" s="1590" t="s">
        <v>181</v>
      </c>
      <c r="B70" s="1590" t="s">
        <v>17167</v>
      </c>
      <c r="C70" s="1618" t="s">
        <v>17080</v>
      </c>
      <c r="D70" s="163" t="s">
        <v>17168</v>
      </c>
      <c r="E70" s="171" t="s">
        <v>17169</v>
      </c>
      <c r="F70" s="171" t="s">
        <v>17170</v>
      </c>
      <c r="G70" s="172" t="s">
        <v>43</v>
      </c>
      <c r="H70" s="173" t="s">
        <v>44</v>
      </c>
      <c r="I70" s="173" t="s">
        <v>1300</v>
      </c>
      <c r="J70" s="184" t="s">
        <v>17171</v>
      </c>
      <c r="K70" s="161" t="s">
        <v>17085</v>
      </c>
      <c r="L70" s="175">
        <v>43009</v>
      </c>
      <c r="M70" s="175">
        <v>43100</v>
      </c>
      <c r="N70" s="175">
        <v>43159</v>
      </c>
      <c r="O70" s="188">
        <v>43373</v>
      </c>
      <c r="P70" s="53">
        <f ca="1" t="shared" si="7"/>
        <v>100.61546296296</v>
      </c>
      <c r="Q70" s="42" t="str">
        <f ca="1" t="shared" si="5"/>
        <v>ACTIVE</v>
      </c>
      <c r="R70" s="195">
        <v>12451844</v>
      </c>
      <c r="S70" s="192"/>
      <c r="T70" s="179"/>
      <c r="U70" s="192"/>
      <c r="V70" s="179"/>
      <c r="W70" s="198">
        <v>1000000</v>
      </c>
      <c r="X70" s="199"/>
      <c r="Y70" s="181" t="s">
        <v>112</v>
      </c>
      <c r="Z70" s="181" t="s">
        <v>14576</v>
      </c>
      <c r="AA70" s="163" t="s">
        <v>17172</v>
      </c>
      <c r="AB70" s="209" t="s">
        <v>17173</v>
      </c>
      <c r="AC70" s="209" t="s">
        <v>17174</v>
      </c>
      <c r="AD70" s="222" t="s">
        <v>17175</v>
      </c>
      <c r="AE70" s="222" t="s">
        <v>17176</v>
      </c>
      <c r="AF70" s="1591" t="s">
        <v>17177</v>
      </c>
      <c r="AG70" s="222"/>
      <c r="AH70" s="222"/>
      <c r="AI70" s="229" t="s">
        <v>17178</v>
      </c>
      <c r="AJ70" s="230" t="s">
        <v>17602</v>
      </c>
      <c r="AK70" s="155" t="s">
        <v>1300</v>
      </c>
      <c r="AL70" s="155">
        <v>12451844</v>
      </c>
    </row>
    <row r="71" s="155" customFormat="1" ht="14.1" customHeight="1" spans="1:38">
      <c r="A71" s="1590" t="s">
        <v>194</v>
      </c>
      <c r="B71" s="1590" t="s">
        <v>17179</v>
      </c>
      <c r="C71" s="1618" t="s">
        <v>6517</v>
      </c>
      <c r="D71" s="163" t="s">
        <v>17180</v>
      </c>
      <c r="E71" s="171" t="s">
        <v>17181</v>
      </c>
      <c r="F71" s="171"/>
      <c r="G71" s="172" t="s">
        <v>43</v>
      </c>
      <c r="H71" s="173" t="s">
        <v>880</v>
      </c>
      <c r="I71" s="173" t="s">
        <v>920</v>
      </c>
      <c r="J71" s="184" t="s">
        <v>17157</v>
      </c>
      <c r="K71" s="161"/>
      <c r="L71" s="175">
        <v>43010</v>
      </c>
      <c r="M71" s="175">
        <v>43100</v>
      </c>
      <c r="N71" s="175">
        <v>43159</v>
      </c>
      <c r="O71" s="188">
        <v>43373</v>
      </c>
      <c r="P71" s="53">
        <f ca="1" t="shared" si="7"/>
        <v>100.61546296296</v>
      </c>
      <c r="Q71" s="42" t="str">
        <f ca="1" t="shared" si="5"/>
        <v>ACTIVE</v>
      </c>
      <c r="R71" s="195">
        <v>11880000</v>
      </c>
      <c r="S71" s="192"/>
      <c r="T71" s="179"/>
      <c r="U71" s="192"/>
      <c r="V71" s="179"/>
      <c r="W71" s="198">
        <v>1000000</v>
      </c>
      <c r="X71" s="199"/>
      <c r="Y71" s="181" t="s">
        <v>112</v>
      </c>
      <c r="Z71" s="181" t="s">
        <v>14576</v>
      </c>
      <c r="AA71" s="163" t="s">
        <v>17182</v>
      </c>
      <c r="AB71" s="209" t="s">
        <v>17183</v>
      </c>
      <c r="AC71" s="209" t="s">
        <v>17184</v>
      </c>
      <c r="AD71" s="222" t="s">
        <v>17185</v>
      </c>
      <c r="AE71" s="222" t="s">
        <v>17186</v>
      </c>
      <c r="AF71" s="1591" t="s">
        <v>17187</v>
      </c>
      <c r="AG71" s="1591" t="s">
        <v>5647</v>
      </c>
      <c r="AH71" s="222" t="s">
        <v>17188</v>
      </c>
      <c r="AI71" s="229" t="s">
        <v>17189</v>
      </c>
      <c r="AJ71" s="230" t="s">
        <v>17602</v>
      </c>
      <c r="AK71" s="155" t="s">
        <v>920</v>
      </c>
      <c r="AL71" s="155">
        <v>11880000</v>
      </c>
    </row>
    <row r="72" s="155" customFormat="1" ht="14.1" customHeight="1" spans="1:36">
      <c r="A72" s="1590" t="s">
        <v>204</v>
      </c>
      <c r="B72" s="1590" t="s">
        <v>17190</v>
      </c>
      <c r="C72" s="1618" t="s">
        <v>17080</v>
      </c>
      <c r="D72" s="163" t="s">
        <v>17191</v>
      </c>
      <c r="E72" s="171" t="s">
        <v>17192</v>
      </c>
      <c r="F72" s="171" t="s">
        <v>17193</v>
      </c>
      <c r="G72" s="172" t="s">
        <v>125</v>
      </c>
      <c r="H72" s="173" t="s">
        <v>44</v>
      </c>
      <c r="I72" s="173" t="s">
        <v>3528</v>
      </c>
      <c r="J72" s="161" t="s">
        <v>17194</v>
      </c>
      <c r="K72" s="161"/>
      <c r="L72" s="175">
        <v>43009</v>
      </c>
      <c r="M72" s="175">
        <v>43100</v>
      </c>
      <c r="N72" s="175">
        <v>43159</v>
      </c>
      <c r="O72" s="188">
        <v>43373</v>
      </c>
      <c r="P72" s="53">
        <f ca="1" t="shared" si="7"/>
        <v>100.61546296296</v>
      </c>
      <c r="Q72" s="42" t="str">
        <f ca="1" t="shared" si="5"/>
        <v>ACTIVE</v>
      </c>
      <c r="R72" s="195">
        <v>7524479</v>
      </c>
      <c r="S72" s="192"/>
      <c r="T72" s="179"/>
      <c r="U72" s="192"/>
      <c r="V72" s="179"/>
      <c r="W72" s="198">
        <v>500000</v>
      </c>
      <c r="X72" s="199"/>
      <c r="Y72" s="181" t="s">
        <v>112</v>
      </c>
      <c r="Z72" s="181" t="s">
        <v>14576</v>
      </c>
      <c r="AA72" s="163" t="s">
        <v>17195</v>
      </c>
      <c r="AB72" s="209" t="s">
        <v>17196</v>
      </c>
      <c r="AC72" s="209">
        <v>0</v>
      </c>
      <c r="AD72" s="222" t="s">
        <v>17197</v>
      </c>
      <c r="AE72" s="222" t="s">
        <v>17198</v>
      </c>
      <c r="AF72" s="1591" t="s">
        <v>17199</v>
      </c>
      <c r="AG72" s="222"/>
      <c r="AH72" s="222"/>
      <c r="AI72" s="229" t="s">
        <v>17200</v>
      </c>
      <c r="AJ72" s="230" t="s">
        <v>17602</v>
      </c>
    </row>
    <row r="73" s="155" customFormat="1" ht="14.1" customHeight="1" spans="1:36">
      <c r="A73" s="1590" t="s">
        <v>215</v>
      </c>
      <c r="B73" s="1590" t="s">
        <v>17201</v>
      </c>
      <c r="C73" s="1618" t="s">
        <v>17080</v>
      </c>
      <c r="D73" s="163" t="s">
        <v>17202</v>
      </c>
      <c r="E73" s="171" t="s">
        <v>17203</v>
      </c>
      <c r="F73" s="171"/>
      <c r="G73" s="172" t="s">
        <v>125</v>
      </c>
      <c r="H73" s="173" t="s">
        <v>60</v>
      </c>
      <c r="I73" s="173" t="s">
        <v>3528</v>
      </c>
      <c r="J73" s="161" t="s">
        <v>17194</v>
      </c>
      <c r="K73" s="161"/>
      <c r="L73" s="175">
        <v>43009</v>
      </c>
      <c r="M73" s="175">
        <v>43100</v>
      </c>
      <c r="N73" s="175">
        <v>43159</v>
      </c>
      <c r="O73" s="188">
        <v>43373</v>
      </c>
      <c r="P73" s="53">
        <f ca="1" t="shared" si="7"/>
        <v>100.61546296296</v>
      </c>
      <c r="Q73" s="42" t="str">
        <f ca="1" t="shared" si="5"/>
        <v>ACTIVE</v>
      </c>
      <c r="R73" s="195">
        <v>5557892</v>
      </c>
      <c r="S73" s="192"/>
      <c r="T73" s="179"/>
      <c r="U73" s="192"/>
      <c r="V73" s="179"/>
      <c r="W73" s="198" t="s">
        <v>583</v>
      </c>
      <c r="X73" s="199"/>
      <c r="Y73" s="181" t="s">
        <v>112</v>
      </c>
      <c r="Z73" s="181" t="s">
        <v>14576</v>
      </c>
      <c r="AA73" s="163" t="s">
        <v>17204</v>
      </c>
      <c r="AB73" s="209" t="s">
        <v>17205</v>
      </c>
      <c r="AC73" s="209">
        <v>0</v>
      </c>
      <c r="AD73" s="222" t="s">
        <v>17206</v>
      </c>
      <c r="AE73" s="222" t="s">
        <v>17207</v>
      </c>
      <c r="AF73" s="1591" t="s">
        <v>17208</v>
      </c>
      <c r="AG73" s="1591" t="s">
        <v>17209</v>
      </c>
      <c r="AH73" s="222"/>
      <c r="AI73" s="229" t="s">
        <v>17210</v>
      </c>
      <c r="AJ73" s="230" t="s">
        <v>17602</v>
      </c>
    </row>
    <row r="74" s="155" customFormat="1" ht="14.1" customHeight="1" spans="1:36">
      <c r="A74" s="1590" t="s">
        <v>229</v>
      </c>
      <c r="B74" s="1590" t="s">
        <v>17211</v>
      </c>
      <c r="C74" s="1618" t="s">
        <v>17080</v>
      </c>
      <c r="D74" s="163" t="s">
        <v>17212</v>
      </c>
      <c r="E74" s="171" t="s">
        <v>17213</v>
      </c>
      <c r="F74" s="171"/>
      <c r="G74" s="172" t="s">
        <v>43</v>
      </c>
      <c r="H74" s="173" t="s">
        <v>44</v>
      </c>
      <c r="I74" s="173" t="s">
        <v>3528</v>
      </c>
      <c r="J74" s="161" t="s">
        <v>17194</v>
      </c>
      <c r="K74" s="161"/>
      <c r="L74" s="175">
        <v>43009</v>
      </c>
      <c r="M74" s="175">
        <v>43100</v>
      </c>
      <c r="N74" s="175">
        <v>43159</v>
      </c>
      <c r="O74" s="188">
        <v>43373</v>
      </c>
      <c r="P74" s="53">
        <f ca="1" t="shared" si="7"/>
        <v>100.61546296296</v>
      </c>
      <c r="Q74" s="42" t="str">
        <f ca="1" t="shared" si="5"/>
        <v>ACTIVE</v>
      </c>
      <c r="R74" s="195">
        <v>3749072</v>
      </c>
      <c r="S74" s="192"/>
      <c r="T74" s="179"/>
      <c r="U74" s="192"/>
      <c r="V74" s="179"/>
      <c r="W74" s="198">
        <v>200000</v>
      </c>
      <c r="X74" s="199"/>
      <c r="Y74" s="181" t="s">
        <v>112</v>
      </c>
      <c r="Z74" s="181" t="s">
        <v>14576</v>
      </c>
      <c r="AA74" s="163" t="s">
        <v>17214</v>
      </c>
      <c r="AB74" s="209" t="s">
        <v>17215</v>
      </c>
      <c r="AC74" s="209">
        <v>0</v>
      </c>
      <c r="AD74" s="222" t="s">
        <v>17216</v>
      </c>
      <c r="AE74" s="222" t="s">
        <v>17217</v>
      </c>
      <c r="AF74" s="1591" t="s">
        <v>17218</v>
      </c>
      <c r="AG74" s="222"/>
      <c r="AH74" s="222" t="s">
        <v>17219</v>
      </c>
      <c r="AI74" s="229" t="s">
        <v>17220</v>
      </c>
      <c r="AJ74" s="230" t="s">
        <v>17602</v>
      </c>
    </row>
    <row r="75" s="155" customFormat="1" ht="14.1" customHeight="1" spans="1:36">
      <c r="A75" s="1590" t="s">
        <v>239</v>
      </c>
      <c r="B75" s="1590" t="s">
        <v>17221</v>
      </c>
      <c r="C75" s="1618" t="s">
        <v>17080</v>
      </c>
      <c r="D75" s="163" t="s">
        <v>17222</v>
      </c>
      <c r="E75" s="171" t="s">
        <v>17223</v>
      </c>
      <c r="F75" s="171"/>
      <c r="G75" s="172" t="s">
        <v>43</v>
      </c>
      <c r="H75" s="173" t="s">
        <v>44</v>
      </c>
      <c r="I75" s="173" t="s">
        <v>3528</v>
      </c>
      <c r="J75" s="161" t="s">
        <v>17194</v>
      </c>
      <c r="K75" s="161"/>
      <c r="L75" s="175">
        <v>43009</v>
      </c>
      <c r="M75" s="175">
        <v>43100</v>
      </c>
      <c r="N75" s="175">
        <v>43159</v>
      </c>
      <c r="O75" s="188">
        <v>43373</v>
      </c>
      <c r="P75" s="53">
        <f ca="1" t="shared" si="7"/>
        <v>100.61546296296</v>
      </c>
      <c r="Q75" s="42" t="str">
        <f ca="1" t="shared" si="5"/>
        <v>ACTIVE</v>
      </c>
      <c r="R75" s="195">
        <v>5082000</v>
      </c>
      <c r="S75" s="192"/>
      <c r="T75" s="179"/>
      <c r="U75" s="192"/>
      <c r="V75" s="179"/>
      <c r="W75" s="198">
        <v>500000</v>
      </c>
      <c r="X75" s="199"/>
      <c r="Y75" s="181" t="s">
        <v>112</v>
      </c>
      <c r="Z75" s="181" t="s">
        <v>14576</v>
      </c>
      <c r="AA75" s="163" t="s">
        <v>17224</v>
      </c>
      <c r="AB75" s="209" t="s">
        <v>17225</v>
      </c>
      <c r="AC75" s="209" t="s">
        <v>17226</v>
      </c>
      <c r="AD75" s="222" t="s">
        <v>17227</v>
      </c>
      <c r="AE75" s="222" t="s">
        <v>17228</v>
      </c>
      <c r="AF75" s="1591" t="s">
        <v>17229</v>
      </c>
      <c r="AG75" s="1591" t="s">
        <v>17230</v>
      </c>
      <c r="AH75" s="222" t="s">
        <v>17231</v>
      </c>
      <c r="AI75" s="229" t="s">
        <v>17232</v>
      </c>
      <c r="AJ75" s="230" t="s">
        <v>17602</v>
      </c>
    </row>
    <row r="76" s="155" customFormat="1" ht="14.1" customHeight="1" spans="1:36">
      <c r="A76" s="1590" t="s">
        <v>250</v>
      </c>
      <c r="B76" s="1590" t="s">
        <v>17233</v>
      </c>
      <c r="C76" s="1618" t="s">
        <v>17080</v>
      </c>
      <c r="D76" s="163" t="s">
        <v>17234</v>
      </c>
      <c r="E76" s="171" t="s">
        <v>17235</v>
      </c>
      <c r="F76" s="171" t="s">
        <v>17236</v>
      </c>
      <c r="G76" s="172" t="s">
        <v>43</v>
      </c>
      <c r="H76" s="173" t="s">
        <v>60</v>
      </c>
      <c r="I76" s="173" t="s">
        <v>3528</v>
      </c>
      <c r="J76" s="161" t="s">
        <v>17237</v>
      </c>
      <c r="K76" s="161"/>
      <c r="L76" s="175">
        <v>43009</v>
      </c>
      <c r="M76" s="175">
        <v>43100</v>
      </c>
      <c r="N76" s="175">
        <v>43159</v>
      </c>
      <c r="O76" s="188">
        <v>43373</v>
      </c>
      <c r="P76" s="53">
        <f ca="1" t="shared" si="7"/>
        <v>100.61546296296</v>
      </c>
      <c r="Q76" s="42" t="str">
        <f ca="1" t="shared" si="5"/>
        <v>ACTIVE</v>
      </c>
      <c r="R76" s="195">
        <v>19602000</v>
      </c>
      <c r="S76" s="192"/>
      <c r="T76" s="179"/>
      <c r="U76" s="192"/>
      <c r="V76" s="179"/>
      <c r="W76" s="198">
        <v>1000000</v>
      </c>
      <c r="X76" s="199"/>
      <c r="Y76" s="181" t="s">
        <v>112</v>
      </c>
      <c r="Z76" s="181" t="s">
        <v>14576</v>
      </c>
      <c r="AA76" s="163" t="s">
        <v>17238</v>
      </c>
      <c r="AB76" s="209" t="s">
        <v>17239</v>
      </c>
      <c r="AC76" s="209" t="s">
        <v>17240</v>
      </c>
      <c r="AD76" s="222" t="s">
        <v>17241</v>
      </c>
      <c r="AE76" s="222" t="s">
        <v>17242</v>
      </c>
      <c r="AF76" s="1591" t="s">
        <v>17243</v>
      </c>
      <c r="AG76" s="1591" t="s">
        <v>17244</v>
      </c>
      <c r="AH76" s="222"/>
      <c r="AI76" s="229" t="s">
        <v>17245</v>
      </c>
      <c r="AJ76" s="230" t="s">
        <v>17602</v>
      </c>
    </row>
    <row r="77" s="155" customFormat="1" ht="14.1" customHeight="1" spans="1:36">
      <c r="A77" s="1590" t="s">
        <v>261</v>
      </c>
      <c r="B77" s="1590" t="s">
        <v>17246</v>
      </c>
      <c r="C77" s="1618" t="s">
        <v>17080</v>
      </c>
      <c r="D77" s="163" t="s">
        <v>17247</v>
      </c>
      <c r="E77" s="171" t="s">
        <v>17248</v>
      </c>
      <c r="F77" s="171"/>
      <c r="G77" s="172" t="s">
        <v>125</v>
      </c>
      <c r="H77" s="173" t="s">
        <v>44</v>
      </c>
      <c r="I77" s="173" t="s">
        <v>3528</v>
      </c>
      <c r="J77" s="233" t="s">
        <v>17249</v>
      </c>
      <c r="K77" s="161"/>
      <c r="L77" s="175">
        <v>43009</v>
      </c>
      <c r="M77" s="175">
        <v>43100</v>
      </c>
      <c r="N77" s="175">
        <v>43159</v>
      </c>
      <c r="O77" s="175">
        <v>43373</v>
      </c>
      <c r="P77" s="53">
        <f ca="1" t="shared" si="7"/>
        <v>100.61546296296</v>
      </c>
      <c r="Q77" s="42" t="str">
        <f ca="1" t="shared" si="5"/>
        <v>ACTIVE</v>
      </c>
      <c r="R77" s="234">
        <v>10953623</v>
      </c>
      <c r="S77" s="192"/>
      <c r="T77" s="179"/>
      <c r="U77" s="192"/>
      <c r="V77" s="179"/>
      <c r="W77" s="198">
        <v>1500000</v>
      </c>
      <c r="X77" s="199"/>
      <c r="Y77" s="181" t="s">
        <v>112</v>
      </c>
      <c r="Z77" s="181" t="s">
        <v>14576</v>
      </c>
      <c r="AA77" s="163" t="s">
        <v>17250</v>
      </c>
      <c r="AB77" s="209" t="s">
        <v>17251</v>
      </c>
      <c r="AC77" s="209">
        <v>81350313355</v>
      </c>
      <c r="AD77" s="222" t="s">
        <v>17252</v>
      </c>
      <c r="AE77" s="222" t="s">
        <v>17253</v>
      </c>
      <c r="AF77" s="1591" t="s">
        <v>17254</v>
      </c>
      <c r="AG77" s="1591" t="s">
        <v>17255</v>
      </c>
      <c r="AH77" s="222"/>
      <c r="AI77" s="229" t="s">
        <v>17256</v>
      </c>
      <c r="AJ77" s="230" t="s">
        <v>17602</v>
      </c>
    </row>
    <row r="78" s="155" customFormat="1" ht="14.1" customHeight="1" spans="1:39">
      <c r="A78" s="1590" t="s">
        <v>272</v>
      </c>
      <c r="B78" s="1590" t="s">
        <v>17257</v>
      </c>
      <c r="C78" s="1618" t="s">
        <v>17080</v>
      </c>
      <c r="D78" s="163" t="s">
        <v>17258</v>
      </c>
      <c r="E78" s="171" t="s">
        <v>17259</v>
      </c>
      <c r="F78" s="171"/>
      <c r="G78" s="172" t="s">
        <v>43</v>
      </c>
      <c r="H78" s="173" t="s">
        <v>60</v>
      </c>
      <c r="I78" s="183" t="s">
        <v>17260</v>
      </c>
      <c r="J78" s="184" t="s">
        <v>17261</v>
      </c>
      <c r="K78" s="161" t="s">
        <v>17129</v>
      </c>
      <c r="L78" s="175">
        <v>43009</v>
      </c>
      <c r="M78" s="175">
        <v>43100</v>
      </c>
      <c r="N78" s="175">
        <v>43159</v>
      </c>
      <c r="O78" s="188">
        <v>43373</v>
      </c>
      <c r="P78" s="53">
        <f ca="1" t="shared" si="7"/>
        <v>100.61546296296</v>
      </c>
      <c r="Q78" s="42" t="str">
        <f ca="1" t="shared" si="5"/>
        <v>ACTIVE</v>
      </c>
      <c r="R78" s="195">
        <v>9316032</v>
      </c>
      <c r="S78" s="192"/>
      <c r="T78" s="179"/>
      <c r="U78" s="192"/>
      <c r="V78" s="179"/>
      <c r="W78" s="203">
        <v>3000000</v>
      </c>
      <c r="X78" s="199"/>
      <c r="Y78" s="181" t="s">
        <v>112</v>
      </c>
      <c r="Z78" s="181" t="s">
        <v>14576</v>
      </c>
      <c r="AA78" s="163" t="s">
        <v>17262</v>
      </c>
      <c r="AB78" s="209" t="s">
        <v>17263</v>
      </c>
      <c r="AC78" s="209" t="s">
        <v>17264</v>
      </c>
      <c r="AD78" s="222" t="s">
        <v>17265</v>
      </c>
      <c r="AE78" s="222" t="s">
        <v>17266</v>
      </c>
      <c r="AF78" s="1591" t="s">
        <v>17267</v>
      </c>
      <c r="AG78" s="1591" t="s">
        <v>17268</v>
      </c>
      <c r="AH78" s="222" t="s">
        <v>17269</v>
      </c>
      <c r="AI78" s="229" t="s">
        <v>17270</v>
      </c>
      <c r="AJ78" s="230" t="s">
        <v>17602</v>
      </c>
      <c r="AK78" s="155" t="s">
        <v>3089</v>
      </c>
      <c r="AL78" s="155">
        <v>9316032</v>
      </c>
      <c r="AM78" s="155" t="s">
        <v>17260</v>
      </c>
    </row>
    <row r="79" s="155" customFormat="1" ht="14.1" customHeight="1" spans="1:36">
      <c r="A79" s="1590" t="s">
        <v>286</v>
      </c>
      <c r="B79" s="1590" t="s">
        <v>17271</v>
      </c>
      <c r="C79" s="1618" t="s">
        <v>17080</v>
      </c>
      <c r="D79" s="163" t="s">
        <v>17272</v>
      </c>
      <c r="E79" s="171" t="s">
        <v>17273</v>
      </c>
      <c r="F79" s="171" t="s">
        <v>16189</v>
      </c>
      <c r="G79" s="172" t="s">
        <v>43</v>
      </c>
      <c r="H79" s="173" t="s">
        <v>44</v>
      </c>
      <c r="I79" s="173" t="s">
        <v>3528</v>
      </c>
      <c r="J79" s="161" t="s">
        <v>17274</v>
      </c>
      <c r="K79" s="161"/>
      <c r="L79" s="175">
        <v>43009</v>
      </c>
      <c r="M79" s="175">
        <v>43100</v>
      </c>
      <c r="N79" s="175">
        <v>43159</v>
      </c>
      <c r="O79" s="188">
        <v>43373</v>
      </c>
      <c r="P79" s="53">
        <f ca="1" t="shared" si="7"/>
        <v>100.61546296296</v>
      </c>
      <c r="Q79" s="42" t="str">
        <f ca="1" t="shared" si="5"/>
        <v>ACTIVE</v>
      </c>
      <c r="R79" s="195">
        <v>17545000</v>
      </c>
      <c r="S79" s="192"/>
      <c r="T79" s="179"/>
      <c r="U79" s="192"/>
      <c r="V79" s="179"/>
      <c r="W79" s="198">
        <v>950000</v>
      </c>
      <c r="X79" s="199"/>
      <c r="Y79" s="181" t="s">
        <v>112</v>
      </c>
      <c r="Z79" s="181" t="s">
        <v>14576</v>
      </c>
      <c r="AA79" s="163" t="s">
        <v>17275</v>
      </c>
      <c r="AB79" s="209" t="s">
        <v>17276</v>
      </c>
      <c r="AC79" s="209">
        <v>0</v>
      </c>
      <c r="AD79" s="222" t="s">
        <v>17277</v>
      </c>
      <c r="AE79" s="222" t="s">
        <v>17278</v>
      </c>
      <c r="AF79" s="1591" t="s">
        <v>17279</v>
      </c>
      <c r="AG79" s="1591" t="s">
        <v>17280</v>
      </c>
      <c r="AH79" s="1591" t="s">
        <v>17281</v>
      </c>
      <c r="AI79" s="229" t="s">
        <v>17282</v>
      </c>
      <c r="AJ79" s="230" t="s">
        <v>17602</v>
      </c>
    </row>
    <row r="80" s="155" customFormat="1" ht="14.1" customHeight="1" spans="1:36">
      <c r="A80" s="1590" t="s">
        <v>308</v>
      </c>
      <c r="B80" s="1590" t="s">
        <v>17283</v>
      </c>
      <c r="C80" s="1618" t="s">
        <v>17080</v>
      </c>
      <c r="D80" s="163" t="s">
        <v>17284</v>
      </c>
      <c r="E80" s="171" t="s">
        <v>17285</v>
      </c>
      <c r="F80" s="171"/>
      <c r="G80" s="172" t="s">
        <v>125</v>
      </c>
      <c r="H80" s="173" t="s">
        <v>44</v>
      </c>
      <c r="I80" s="173" t="s">
        <v>3528</v>
      </c>
      <c r="J80" s="161" t="s">
        <v>17286</v>
      </c>
      <c r="K80" s="161"/>
      <c r="L80" s="175">
        <v>43009</v>
      </c>
      <c r="M80" s="175">
        <v>43100</v>
      </c>
      <c r="N80" s="175">
        <v>43159</v>
      </c>
      <c r="O80" s="188">
        <v>43373</v>
      </c>
      <c r="P80" s="53">
        <f ca="1" t="shared" si="7"/>
        <v>100.61546296296</v>
      </c>
      <c r="Q80" s="42" t="str">
        <f ca="1" t="shared" si="5"/>
        <v>ACTIVE</v>
      </c>
      <c r="R80" s="195">
        <v>6011280</v>
      </c>
      <c r="S80" s="192"/>
      <c r="T80" s="179"/>
      <c r="U80" s="192"/>
      <c r="V80" s="179"/>
      <c r="W80" s="198">
        <v>500000</v>
      </c>
      <c r="X80" s="199"/>
      <c r="Y80" s="181" t="s">
        <v>112</v>
      </c>
      <c r="Z80" s="181" t="s">
        <v>14576</v>
      </c>
      <c r="AA80" s="163" t="s">
        <v>17287</v>
      </c>
      <c r="AB80" s="209" t="s">
        <v>17288</v>
      </c>
      <c r="AC80" s="209" t="s">
        <v>17289</v>
      </c>
      <c r="AD80" s="222" t="s">
        <v>17290</v>
      </c>
      <c r="AE80" s="222" t="s">
        <v>17291</v>
      </c>
      <c r="AF80" s="1591" t="s">
        <v>17292</v>
      </c>
      <c r="AG80" s="1591" t="s">
        <v>17293</v>
      </c>
      <c r="AH80" s="222" t="s">
        <v>17294</v>
      </c>
      <c r="AI80" s="229" t="s">
        <v>17295</v>
      </c>
      <c r="AJ80" s="230" t="s">
        <v>17602</v>
      </c>
    </row>
    <row r="81" s="155" customFormat="1" ht="14.1" customHeight="1" spans="1:36">
      <c r="A81" s="1590" t="s">
        <v>320</v>
      </c>
      <c r="B81" s="1590" t="s">
        <v>17296</v>
      </c>
      <c r="C81" s="1618" t="s">
        <v>17080</v>
      </c>
      <c r="D81" s="163" t="s">
        <v>11971</v>
      </c>
      <c r="E81" s="171" t="s">
        <v>11972</v>
      </c>
      <c r="F81" s="171"/>
      <c r="G81" s="172" t="s">
        <v>125</v>
      </c>
      <c r="H81" s="173" t="s">
        <v>44</v>
      </c>
      <c r="I81" s="173" t="s">
        <v>3528</v>
      </c>
      <c r="J81" s="161" t="s">
        <v>17297</v>
      </c>
      <c r="K81" s="161"/>
      <c r="L81" s="175">
        <v>43009</v>
      </c>
      <c r="M81" s="175">
        <v>43100</v>
      </c>
      <c r="N81" s="175">
        <v>43159</v>
      </c>
      <c r="O81" s="188">
        <v>43373</v>
      </c>
      <c r="P81" s="53">
        <f ca="1" t="shared" si="7"/>
        <v>100.61546296296</v>
      </c>
      <c r="Q81" s="42" t="str">
        <f ca="1" t="shared" si="5"/>
        <v>ACTIVE</v>
      </c>
      <c r="R81" s="195">
        <v>25148446.4</v>
      </c>
      <c r="S81" s="192"/>
      <c r="T81" s="179"/>
      <c r="U81" s="192"/>
      <c r="V81" s="179"/>
      <c r="W81" s="198">
        <v>2000000</v>
      </c>
      <c r="X81" s="199"/>
      <c r="Y81" s="181" t="s">
        <v>112</v>
      </c>
      <c r="Z81" s="181" t="s">
        <v>14576</v>
      </c>
      <c r="AA81" s="163" t="s">
        <v>17298</v>
      </c>
      <c r="AB81" s="209" t="s">
        <v>11974</v>
      </c>
      <c r="AC81" s="1603" t="s">
        <v>11975</v>
      </c>
      <c r="AD81" s="222" t="s">
        <v>17299</v>
      </c>
      <c r="AE81" s="222" t="s">
        <v>11978</v>
      </c>
      <c r="AF81" s="1591" t="s">
        <v>17300</v>
      </c>
      <c r="AG81" s="1591" t="s">
        <v>17301</v>
      </c>
      <c r="AH81" s="222"/>
      <c r="AI81" s="229" t="s">
        <v>17302</v>
      </c>
      <c r="AJ81" s="230" t="s">
        <v>17602</v>
      </c>
    </row>
    <row r="82" s="155" customFormat="1" ht="14.1" customHeight="1" spans="1:39">
      <c r="A82" s="1590" t="s">
        <v>357</v>
      </c>
      <c r="B82" s="1590" t="s">
        <v>17303</v>
      </c>
      <c r="C82" s="1618" t="s">
        <v>17080</v>
      </c>
      <c r="D82" s="163" t="s">
        <v>17304</v>
      </c>
      <c r="E82" s="171" t="s">
        <v>17305</v>
      </c>
      <c r="F82" s="171"/>
      <c r="G82" s="172" t="s">
        <v>43</v>
      </c>
      <c r="H82" s="173" t="s">
        <v>60</v>
      </c>
      <c r="I82" s="183" t="s">
        <v>17306</v>
      </c>
      <c r="J82" s="184" t="s">
        <v>17307</v>
      </c>
      <c r="K82" s="161" t="s">
        <v>17308</v>
      </c>
      <c r="L82" s="175">
        <v>43009</v>
      </c>
      <c r="M82" s="175">
        <v>43100</v>
      </c>
      <c r="N82" s="175">
        <v>43159</v>
      </c>
      <c r="O82" s="188">
        <v>43373</v>
      </c>
      <c r="P82" s="53">
        <f ca="1" t="shared" si="7"/>
        <v>100.61546296296</v>
      </c>
      <c r="Q82" s="42" t="str">
        <f ca="1" t="shared" si="5"/>
        <v>ACTIVE</v>
      </c>
      <c r="R82" s="195">
        <v>12206428</v>
      </c>
      <c r="S82" s="192"/>
      <c r="T82" s="179"/>
      <c r="U82" s="192"/>
      <c r="V82" s="179"/>
      <c r="W82" s="203">
        <v>3000000</v>
      </c>
      <c r="X82" s="199"/>
      <c r="Y82" s="181" t="s">
        <v>112</v>
      </c>
      <c r="Z82" s="181" t="s">
        <v>14576</v>
      </c>
      <c r="AA82" s="163" t="s">
        <v>17309</v>
      </c>
      <c r="AB82" s="209" t="s">
        <v>17310</v>
      </c>
      <c r="AC82" s="209">
        <v>87878261555</v>
      </c>
      <c r="AD82" s="222" t="s">
        <v>17311</v>
      </c>
      <c r="AE82" s="222" t="s">
        <v>17312</v>
      </c>
      <c r="AF82" s="1591" t="s">
        <v>17313</v>
      </c>
      <c r="AG82" s="1591" t="s">
        <v>17314</v>
      </c>
      <c r="AH82" s="222" t="s">
        <v>17315</v>
      </c>
      <c r="AI82" s="229" t="s">
        <v>17316</v>
      </c>
      <c r="AJ82" s="230" t="s">
        <v>17602</v>
      </c>
      <c r="AK82" s="155" t="s">
        <v>3089</v>
      </c>
      <c r="AL82" s="155">
        <v>12206428</v>
      </c>
      <c r="AM82" s="155" t="s">
        <v>17306</v>
      </c>
    </row>
    <row r="83" ht="14.1" customHeight="1" spans="1:38">
      <c r="A83" s="1590" t="s">
        <v>39</v>
      </c>
      <c r="B83" s="1590" t="s">
        <v>17625</v>
      </c>
      <c r="C83" s="1618" t="s">
        <v>17080</v>
      </c>
      <c r="D83" s="167" t="s">
        <v>17626</v>
      </c>
      <c r="E83" s="171" t="s">
        <v>17627</v>
      </c>
      <c r="F83" s="171" t="s">
        <v>17628</v>
      </c>
      <c r="G83" s="172" t="s">
        <v>43</v>
      </c>
      <c r="H83" s="173" t="s">
        <v>60</v>
      </c>
      <c r="I83" s="173" t="s">
        <v>3528</v>
      </c>
      <c r="J83" s="180" t="s">
        <v>2823</v>
      </c>
      <c r="K83" s="181" t="s">
        <v>17409</v>
      </c>
      <c r="L83" s="182">
        <v>42736</v>
      </c>
      <c r="M83" s="182">
        <v>43100</v>
      </c>
      <c r="N83" s="175">
        <v>43190</v>
      </c>
      <c r="O83" s="175">
        <v>43220</v>
      </c>
      <c r="P83" s="53">
        <v>-14.4670503472225</v>
      </c>
      <c r="Q83" s="42" t="s">
        <v>2569</v>
      </c>
      <c r="R83" s="181">
        <v>4025000</v>
      </c>
      <c r="S83" s="181">
        <v>200000</v>
      </c>
      <c r="T83" s="181"/>
      <c r="U83" s="181">
        <v>500000</v>
      </c>
      <c r="V83" s="181">
        <v>250000</v>
      </c>
      <c r="W83" s="201"/>
      <c r="X83" s="202"/>
      <c r="Y83" s="181" t="s">
        <v>17629</v>
      </c>
      <c r="Z83" s="181" t="s">
        <v>17357</v>
      </c>
      <c r="AA83" s="181"/>
      <c r="AB83" s="212" t="s">
        <v>17472</v>
      </c>
      <c r="AC83" s="1594" t="s">
        <v>17630</v>
      </c>
      <c r="AD83" s="224" t="s">
        <v>17631</v>
      </c>
      <c r="AE83" s="224" t="s">
        <v>17632</v>
      </c>
      <c r="AF83" s="1581" t="s">
        <v>17633</v>
      </c>
      <c r="AG83" s="1581" t="s">
        <v>17634</v>
      </c>
      <c r="AH83" s="224"/>
      <c r="AI83" s="229" t="s">
        <v>17635</v>
      </c>
      <c r="AJ83" s="230" t="s">
        <v>17636</v>
      </c>
      <c r="AK83" s="155"/>
      <c r="AL83" s="155"/>
    </row>
    <row r="84" ht="14.1" customHeight="1" spans="1:38">
      <c r="A84" s="1590" t="s">
        <v>121</v>
      </c>
      <c r="B84" s="1590" t="s">
        <v>17603</v>
      </c>
      <c r="C84" s="1618" t="s">
        <v>17080</v>
      </c>
      <c r="D84" s="163" t="s">
        <v>17604</v>
      </c>
      <c r="E84" s="171" t="s">
        <v>17605</v>
      </c>
      <c r="F84" s="171" t="s">
        <v>16515</v>
      </c>
      <c r="G84" s="172" t="s">
        <v>43</v>
      </c>
      <c r="H84" s="173" t="s">
        <v>404</v>
      </c>
      <c r="I84" s="173" t="s">
        <v>920</v>
      </c>
      <c r="J84" s="161" t="s">
        <v>17157</v>
      </c>
      <c r="K84" s="161" t="s">
        <v>17158</v>
      </c>
      <c r="L84" s="175">
        <v>43009</v>
      </c>
      <c r="M84" s="175">
        <v>43373</v>
      </c>
      <c r="N84" s="175" t="s">
        <v>325</v>
      </c>
      <c r="O84" s="175"/>
      <c r="P84" s="53">
        <v>138.532949652777</v>
      </c>
      <c r="Q84" s="42" t="s">
        <v>745</v>
      </c>
      <c r="R84" s="192">
        <v>10455650</v>
      </c>
      <c r="S84" s="192"/>
      <c r="T84" s="179"/>
      <c r="U84" s="192"/>
      <c r="V84" s="179"/>
      <c r="W84" s="198">
        <v>1000000</v>
      </c>
      <c r="X84" s="199"/>
      <c r="Y84" s="181" t="s">
        <v>112</v>
      </c>
      <c r="Z84" s="181" t="s">
        <v>14576</v>
      </c>
      <c r="AA84" s="163" t="s">
        <v>17606</v>
      </c>
      <c r="AB84" s="209" t="s">
        <v>17607</v>
      </c>
      <c r="AC84" s="209" t="s">
        <v>17608</v>
      </c>
      <c r="AD84" s="222" t="s">
        <v>17609</v>
      </c>
      <c r="AE84" s="222" t="s">
        <v>17610</v>
      </c>
      <c r="AF84" s="1591" t="s">
        <v>17611</v>
      </c>
      <c r="AG84" s="1591" t="s">
        <v>17612</v>
      </c>
      <c r="AH84" s="222"/>
      <c r="AI84" s="229" t="s">
        <v>17613</v>
      </c>
      <c r="AJ84" s="230" t="s">
        <v>7365</v>
      </c>
      <c r="AK84" s="155" t="s">
        <v>920</v>
      </c>
      <c r="AL84" s="155">
        <v>10455650</v>
      </c>
    </row>
    <row r="85" ht="14.1" customHeight="1" spans="1:38">
      <c r="A85" s="1590" t="s">
        <v>168</v>
      </c>
      <c r="B85" s="1590" t="s">
        <v>17614</v>
      </c>
      <c r="C85" s="1618" t="s">
        <v>17080</v>
      </c>
      <c r="D85" s="163" t="s">
        <v>17615</v>
      </c>
      <c r="E85" s="171" t="s">
        <v>17616</v>
      </c>
      <c r="F85" s="171"/>
      <c r="G85" s="172" t="s">
        <v>43</v>
      </c>
      <c r="H85" s="173" t="s">
        <v>44</v>
      </c>
      <c r="I85" s="173" t="s">
        <v>2832</v>
      </c>
      <c r="J85" s="161" t="s">
        <v>17617</v>
      </c>
      <c r="K85" s="161" t="s">
        <v>17308</v>
      </c>
      <c r="L85" s="175">
        <v>43009</v>
      </c>
      <c r="M85" s="175">
        <v>43373</v>
      </c>
      <c r="N85" s="175" t="s">
        <v>325</v>
      </c>
      <c r="O85" s="175"/>
      <c r="P85" s="53">
        <v>138.532949652777</v>
      </c>
      <c r="Q85" s="42" t="s">
        <v>745</v>
      </c>
      <c r="R85" s="192">
        <v>14197260</v>
      </c>
      <c r="S85" s="192"/>
      <c r="T85" s="179"/>
      <c r="U85" s="192"/>
      <c r="V85" s="179"/>
      <c r="W85" s="198">
        <v>1000000</v>
      </c>
      <c r="X85" s="199"/>
      <c r="Y85" s="181" t="s">
        <v>112</v>
      </c>
      <c r="Z85" s="181" t="s">
        <v>14576</v>
      </c>
      <c r="AA85" s="163" t="s">
        <v>17618</v>
      </c>
      <c r="AB85" s="209" t="s">
        <v>17619</v>
      </c>
      <c r="AC85" s="209" t="s">
        <v>17620</v>
      </c>
      <c r="AD85" s="222" t="s">
        <v>17621</v>
      </c>
      <c r="AE85" s="222" t="s">
        <v>17622</v>
      </c>
      <c r="AF85" s="1591" t="s">
        <v>17623</v>
      </c>
      <c r="AG85" s="222"/>
      <c r="AH85" s="222"/>
      <c r="AI85" s="229" t="s">
        <v>17624</v>
      </c>
      <c r="AJ85" s="230" t="s">
        <v>7365</v>
      </c>
      <c r="AK85" s="155" t="s">
        <v>2832</v>
      </c>
      <c r="AL85" s="155">
        <v>14197260</v>
      </c>
    </row>
  </sheetData>
  <mergeCells count="36">
    <mergeCell ref="A1:D1"/>
    <mergeCell ref="A2:D2"/>
    <mergeCell ref="A3:D3"/>
    <mergeCell ref="L9:M9"/>
    <mergeCell ref="N9:O9"/>
    <mergeCell ref="A9:A10"/>
    <mergeCell ref="B9:B10"/>
    <mergeCell ref="C9:C10"/>
    <mergeCell ref="D9:D10"/>
    <mergeCell ref="E9:E10"/>
    <mergeCell ref="G9:G10"/>
    <mergeCell ref="H9:H10"/>
    <mergeCell ref="I9:I10"/>
    <mergeCell ref="J9:J10"/>
    <mergeCell ref="K9:K10"/>
    <mergeCell ref="P9:P10"/>
    <mergeCell ref="Q9:Q10"/>
    <mergeCell ref="R9:R10"/>
    <mergeCell ref="S9:S10"/>
    <mergeCell ref="T9:T10"/>
    <mergeCell ref="U9:U10"/>
    <mergeCell ref="V9:V10"/>
    <mergeCell ref="W9:W10"/>
    <mergeCell ref="X9:X10"/>
    <mergeCell ref="Y9:Y10"/>
    <mergeCell ref="Z9:Z10"/>
    <mergeCell ref="AA9:AA10"/>
    <mergeCell ref="AB9:AB10"/>
    <mergeCell ref="AC9:AC10"/>
    <mergeCell ref="AD9:AD10"/>
    <mergeCell ref="AE9:AE10"/>
    <mergeCell ref="AF9:AF10"/>
    <mergeCell ref="AG9:AG10"/>
    <mergeCell ref="AH9:AH10"/>
    <mergeCell ref="AI9:AI10"/>
    <mergeCell ref="AJ9:AJ10"/>
  </mergeCells>
  <hyperlinks>
    <hyperlink ref="AI50" location="" display="ardyanto60@gmail.com; hsupardi@lenovo.com"/>
    <hyperlink ref="AI41" location="" display="nsutrisna@lenovo.com"/>
    <hyperlink ref="AI44" location="" display="dewi_rahmawati87@yahoo.co.id; drahmawati@lenovo.com"/>
    <hyperlink ref="AI46" location="" display="destantilakstiarini@gmail.com"/>
    <hyperlink ref="AI43" location="" display="rsaputra@lenovo.com"/>
    <hyperlink ref="AI47" r:id="rId4" display="asusanto@lenovo.com"/>
    <hyperlink ref="AI48" location="" display="afirmansyah@lenovo.com"/>
    <hyperlink ref="AI42" location="" display="awidjaja@live.com"/>
    <hyperlink ref="AI49" location="" display="darista@lenovo.com,dayminta.gracia@gmail.com       "/>
    <hyperlink ref="AI18" location="" display="nickyale80@gmail.com"/>
    <hyperlink ref="AI22" location="" display="ahidayat@lenovo.com"/>
    <hyperlink ref="AI25" location="" display="rbudi1@lenovo.com, rony.setia@yahoo.co.id"/>
    <hyperlink ref="AI30" location="" display="25adi05@gmail.com, retailops2@lenovo.com"/>
    <hyperlink ref="AI31" location="" display="HARYOKKYPRASETYO@GMAIL.COM, retailops1@lenovo.com"/>
    <hyperlink ref="AI52" location="" display="baria@lenovo.com"/>
    <hyperlink ref="AI54" location="" display="marina_ratnasari1989@yahoo.com, mratnasari@lenovo.com"/>
    <hyperlink ref="AI55" r:id="rId5" display="tanyaagungsalam@gmail.com"/>
    <hyperlink ref="AI32" r:id="rId6" display="AgustinusLenovo@gmail.com"/>
    <hyperlink ref="AI56" location="" display="fairuzzabadi_19@yahoo.com"/>
    <hyperlink ref="AI60" r:id="rId7" display="machmad@lenovo.com"/>
    <hyperlink ref="AI11" r:id="rId8" display="ffrandez1@lenovo.com"/>
    <hyperlink ref="AI17" r:id="rId9" display="asteven@lenovo.com"/>
    <hyperlink ref="AI71" location="" display="nickyale80@gmail.com"/>
    <hyperlink ref="AI75" location="" display="ahidayat@lenovo.com"/>
    <hyperlink ref="AI78" location="" display="rbudi1@lenovo.com, rony.setia@yahoo.co.id"/>
    <hyperlink ref="AI62" r:id="rId8" display="ffrandez1@lenovo.com"/>
    <hyperlink ref="AI70" r:id="rId9" display="asteven@lenovo.com"/>
    <hyperlink ref="AI83" location="" display="baimsurahym.bs@gmail.com"/>
  </hyperlinks>
  <printOptions horizontalCentered="1"/>
  <pageMargins left="0.25" right="0.25" top="1" bottom="1" header="0.5" footer="0.5"/>
  <pageSetup paperSize="9" scale="39" fitToWidth="4" orientation="landscape"/>
  <headerFooter alignWithMargins="0"/>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1"/>
  <sheetViews>
    <sheetView showGridLines="0" topLeftCell="A10" workbookViewId="0">
      <pane xSplit="3" ySplit="4" topLeftCell="D14" activePane="bottomRight" state="frozen"/>
      <selection/>
      <selection pane="topRight"/>
      <selection pane="bottomLeft"/>
      <selection pane="bottomRight" activeCell="P14" sqref="A1:AA21"/>
    </sheetView>
  </sheetViews>
  <sheetFormatPr defaultColWidth="9" defaultRowHeight="12.95" customHeight="1"/>
  <cols>
    <col min="1" max="1" width="5.425" style="2" customWidth="1"/>
    <col min="2" max="2" width="9.425" style="2" customWidth="1"/>
    <col min="3" max="3" width="12.1416666666667" style="2" customWidth="1"/>
    <col min="4" max="4" width="11.1416666666667" style="2" customWidth="1"/>
    <col min="5" max="5" width="4.14166666666667" style="2" customWidth="1"/>
    <col min="6" max="6" width="4.56666666666667" style="2" customWidth="1"/>
    <col min="7" max="7" width="13.7083333333333" style="2" customWidth="1"/>
    <col min="8" max="8" width="9.70833333333333" style="2" customWidth="1"/>
    <col min="9" max="9" width="10.1416666666667" style="2" customWidth="1"/>
    <col min="10" max="12" width="8.85833333333333" style="2" customWidth="1"/>
    <col min="13" max="13" width="10.5666666666667" style="2" customWidth="1"/>
    <col min="14" max="14" width="8.85833333333333" style="2" customWidth="1"/>
    <col min="15" max="15" width="9.85833333333333" style="2" customWidth="1"/>
    <col min="16" max="16" width="10.1416666666667" style="2" customWidth="1"/>
    <col min="17" max="18" width="17.7083333333333" style="2" customWidth="1"/>
    <col min="19" max="19" width="27.1416666666667" style="2" customWidth="1"/>
    <col min="20" max="20" width="11.8583333333333" style="2" customWidth="1"/>
    <col min="21" max="22" width="15" style="2" customWidth="1"/>
    <col min="23" max="23" width="21.2833333333333" style="2" customWidth="1"/>
    <col min="24" max="25" width="15" style="2" customWidth="1"/>
    <col min="26" max="26" width="24.425" style="2" customWidth="1"/>
    <col min="27" max="27" width="19.2833333333333" style="2" customWidth="1"/>
    <col min="28" max="16384" width="9.14166666666667" style="2"/>
  </cols>
  <sheetData>
    <row r="1" s="1" customFormat="1" customHeight="1" spans="1:26">
      <c r="A1" s="9"/>
      <c r="B1" s="9"/>
      <c r="C1" s="9"/>
      <c r="D1" s="9"/>
      <c r="E1" s="9"/>
      <c r="F1" s="9"/>
      <c r="Z1" s="145" t="s">
        <v>11108</v>
      </c>
    </row>
    <row r="2" s="1" customFormat="1" customHeight="1" spans="1:26">
      <c r="A2" s="9"/>
      <c r="B2" s="9"/>
      <c r="C2" s="9"/>
      <c r="D2" s="9"/>
      <c r="E2" s="9"/>
      <c r="F2" s="9"/>
      <c r="Z2" s="146" t="s">
        <v>11109</v>
      </c>
    </row>
    <row r="3" s="1" customFormat="1" customHeight="1" spans="1:26">
      <c r="A3" s="9"/>
      <c r="B3" s="9"/>
      <c r="C3" s="9"/>
      <c r="D3" s="9"/>
      <c r="E3" s="9"/>
      <c r="F3" s="9"/>
      <c r="Z3" s="146" t="s">
        <v>11110</v>
      </c>
    </row>
    <row r="4" s="1" customFormat="1" customHeight="1" spans="1:26">
      <c r="A4" s="9"/>
      <c r="B4" s="9"/>
      <c r="C4" s="9"/>
      <c r="D4" s="9"/>
      <c r="E4" s="9"/>
      <c r="F4" s="9"/>
      <c r="Z4" s="146" t="s">
        <v>11111</v>
      </c>
    </row>
    <row r="5" s="1" customFormat="1" customHeight="1" spans="1:6">
      <c r="A5" s="9"/>
      <c r="B5" s="9"/>
      <c r="C5" s="9"/>
      <c r="D5" s="9"/>
      <c r="E5" s="9"/>
      <c r="F5" s="9"/>
    </row>
    <row r="6" s="1" customFormat="1" customHeight="1" spans="1:6">
      <c r="A6" s="9"/>
      <c r="B6" s="9"/>
      <c r="C6" s="9"/>
      <c r="D6" s="9"/>
      <c r="E6" s="9"/>
      <c r="F6" s="9"/>
    </row>
    <row r="7" s="1" customFormat="1" customHeight="1" spans="3:6">
      <c r="C7" s="9"/>
      <c r="D7" s="9"/>
      <c r="E7" s="9"/>
      <c r="F7" s="9"/>
    </row>
    <row r="8" s="1" customFormat="1" customHeight="1" spans="1:20">
      <c r="A8" s="10" t="s">
        <v>7926</v>
      </c>
      <c r="B8" s="10"/>
      <c r="C8" s="10"/>
      <c r="D8" s="10"/>
      <c r="E8" s="10"/>
      <c r="F8" s="10"/>
      <c r="G8" s="10"/>
      <c r="H8" s="10"/>
      <c r="I8" s="10"/>
      <c r="J8" s="10"/>
      <c r="K8" s="10"/>
      <c r="L8" s="10"/>
      <c r="M8" s="10"/>
      <c r="N8" s="10"/>
      <c r="O8" s="10"/>
      <c r="P8" s="10"/>
      <c r="Q8" s="10"/>
      <c r="R8" s="10"/>
      <c r="S8" s="10"/>
      <c r="T8" s="10"/>
    </row>
    <row r="9" s="1" customFormat="1" customHeight="1" spans="1:20">
      <c r="A9" s="10" t="s">
        <v>17637</v>
      </c>
      <c r="B9" s="10"/>
      <c r="C9" s="10"/>
      <c r="D9" s="10"/>
      <c r="E9" s="10"/>
      <c r="F9" s="10"/>
      <c r="G9" s="10"/>
      <c r="H9" s="10"/>
      <c r="I9" s="10"/>
      <c r="J9" s="10"/>
      <c r="K9" s="10"/>
      <c r="L9" s="10"/>
      <c r="M9" s="10"/>
      <c r="N9" s="10"/>
      <c r="O9" s="10"/>
      <c r="P9" s="10"/>
      <c r="Q9" s="10"/>
      <c r="R9" s="10"/>
      <c r="S9" s="10"/>
      <c r="T9" s="10"/>
    </row>
    <row r="10" s="1" customFormat="1" customHeight="1" spans="1:18">
      <c r="A10" s="10"/>
      <c r="B10" s="10"/>
      <c r="C10" s="10"/>
      <c r="D10" s="10"/>
      <c r="E10" s="10"/>
      <c r="F10" s="10"/>
      <c r="G10" s="10"/>
      <c r="H10" s="10"/>
      <c r="I10" s="10"/>
      <c r="J10" s="10"/>
      <c r="K10" s="10"/>
      <c r="L10" s="10"/>
      <c r="M10" s="10"/>
      <c r="N10" s="10"/>
      <c r="O10" s="10"/>
      <c r="P10" s="10"/>
      <c r="Q10" s="10"/>
      <c r="R10" s="10"/>
    </row>
    <row r="11" s="1" customFormat="1" customHeight="1" spans="3:6">
      <c r="C11" s="9"/>
      <c r="D11" s="9"/>
      <c r="E11" s="9"/>
      <c r="F11" s="9"/>
    </row>
    <row r="12" s="1" customFormat="1" customHeight="1" spans="1:27">
      <c r="A12" s="131" t="s">
        <v>0</v>
      </c>
      <c r="B12" s="131" t="s">
        <v>1</v>
      </c>
      <c r="C12" s="131" t="s">
        <v>2</v>
      </c>
      <c r="D12" s="131" t="s">
        <v>3</v>
      </c>
      <c r="E12" s="131" t="s">
        <v>7928</v>
      </c>
      <c r="F12" s="131" t="s">
        <v>7929</v>
      </c>
      <c r="G12" s="131" t="s">
        <v>8</v>
      </c>
      <c r="H12" s="131" t="s">
        <v>9</v>
      </c>
      <c r="I12" s="131"/>
      <c r="J12" s="131"/>
      <c r="K12" s="131"/>
      <c r="L12" s="131" t="s">
        <v>11</v>
      </c>
      <c r="M12" s="131"/>
      <c r="N12" s="131" t="s">
        <v>14</v>
      </c>
      <c r="O12" s="131" t="s">
        <v>15</v>
      </c>
      <c r="P12" s="131" t="s">
        <v>16</v>
      </c>
      <c r="Q12" s="131" t="s">
        <v>3509</v>
      </c>
      <c r="R12" s="131" t="s">
        <v>15</v>
      </c>
      <c r="S12" s="142" t="s">
        <v>28</v>
      </c>
      <c r="T12" s="142" t="s">
        <v>29</v>
      </c>
      <c r="U12" s="142" t="s">
        <v>30</v>
      </c>
      <c r="V12" s="142" t="s">
        <v>31</v>
      </c>
      <c r="W12" s="142" t="s">
        <v>32</v>
      </c>
      <c r="X12" s="142" t="s">
        <v>7934</v>
      </c>
      <c r="Y12" s="142" t="s">
        <v>34</v>
      </c>
      <c r="Z12" s="142" t="s">
        <v>7936</v>
      </c>
      <c r="AA12" s="142" t="s">
        <v>36</v>
      </c>
    </row>
    <row r="13" s="1" customFormat="1" customHeight="1" spans="1:27">
      <c r="A13" s="131"/>
      <c r="B13" s="131"/>
      <c r="C13" s="131"/>
      <c r="D13" s="131"/>
      <c r="E13" s="131"/>
      <c r="F13" s="131"/>
      <c r="G13" s="131"/>
      <c r="H13" s="131" t="s">
        <v>37</v>
      </c>
      <c r="I13" s="131" t="s">
        <v>38</v>
      </c>
      <c r="J13" s="131">
        <v>1</v>
      </c>
      <c r="K13" s="131">
        <v>2</v>
      </c>
      <c r="L13" s="131" t="s">
        <v>37</v>
      </c>
      <c r="M13" s="131" t="s">
        <v>38</v>
      </c>
      <c r="N13" s="131"/>
      <c r="O13" s="137"/>
      <c r="P13" s="131"/>
      <c r="Q13" s="137"/>
      <c r="R13" s="137"/>
      <c r="S13" s="142"/>
      <c r="T13" s="142"/>
      <c r="U13" s="142"/>
      <c r="V13" s="142"/>
      <c r="W13" s="142"/>
      <c r="X13" s="142"/>
      <c r="Y13" s="142"/>
      <c r="Z13" s="142"/>
      <c r="AA13" s="142"/>
    </row>
    <row r="14" s="5" customFormat="1" ht="45" spans="1:27">
      <c r="A14" s="1612" t="s">
        <v>39</v>
      </c>
      <c r="B14" s="48" t="s">
        <v>17638</v>
      </c>
      <c r="C14" s="48" t="s">
        <v>17639</v>
      </c>
      <c r="D14" s="48" t="s">
        <v>17640</v>
      </c>
      <c r="E14" s="48" t="s">
        <v>125</v>
      </c>
      <c r="F14" s="48" t="s">
        <v>44</v>
      </c>
      <c r="G14" s="48" t="s">
        <v>7940</v>
      </c>
      <c r="H14" s="49">
        <v>42461</v>
      </c>
      <c r="I14" s="49">
        <v>42821</v>
      </c>
      <c r="J14" s="49">
        <v>43186</v>
      </c>
      <c r="K14" s="65"/>
      <c r="L14" s="49">
        <v>43187</v>
      </c>
      <c r="M14" s="151">
        <v>43551</v>
      </c>
      <c r="N14" s="48">
        <f ca="1">SUM(M14-NOW())</f>
        <v>278.61546296296</v>
      </c>
      <c r="O14" s="49" t="str">
        <f ca="1">IF(N14&lt;=40,"WARNING","ACTIVE")</f>
        <v>ACTIVE</v>
      </c>
      <c r="P14" s="152">
        <v>4988891</v>
      </c>
      <c r="Q14" s="65" t="s">
        <v>17641</v>
      </c>
      <c r="R14" s="65" t="s">
        <v>17642</v>
      </c>
      <c r="S14" s="133" t="s">
        <v>17643</v>
      </c>
      <c r="T14" s="1612" t="s">
        <v>17644</v>
      </c>
      <c r="U14" s="65" t="s">
        <v>17645</v>
      </c>
      <c r="V14" s="1612" t="s">
        <v>17646</v>
      </c>
      <c r="W14" s="65" t="s">
        <v>17647</v>
      </c>
      <c r="X14" s="65"/>
      <c r="Y14" s="1612" t="s">
        <v>17648</v>
      </c>
      <c r="Z14" s="154" t="s">
        <v>17649</v>
      </c>
      <c r="AA14" s="65"/>
    </row>
    <row r="15" customHeight="1" spans="1:27">
      <c r="A15" s="1612" t="s">
        <v>56</v>
      </c>
      <c r="B15" s="48" t="s">
        <v>17650</v>
      </c>
      <c r="C15" s="48" t="s">
        <v>17651</v>
      </c>
      <c r="D15" s="48" t="s">
        <v>17652</v>
      </c>
      <c r="E15" s="48" t="s">
        <v>125</v>
      </c>
      <c r="F15" s="48" t="s">
        <v>44</v>
      </c>
      <c r="G15" s="48" t="s">
        <v>12424</v>
      </c>
      <c r="H15" s="49">
        <v>43115</v>
      </c>
      <c r="I15" s="49">
        <v>43295</v>
      </c>
      <c r="J15" s="49"/>
      <c r="K15" s="65"/>
      <c r="L15" s="65"/>
      <c r="M15" s="65"/>
      <c r="N15" s="48">
        <f ca="1">SUM(I15-NOW())</f>
        <v>22.61546296296</v>
      </c>
      <c r="O15" s="49" t="str">
        <f ca="1">IF(N15&lt;=40,"WARNING","ACTIVE")</f>
        <v>WARNING</v>
      </c>
      <c r="P15" s="138">
        <v>5000000</v>
      </c>
      <c r="Q15" s="65" t="s">
        <v>17653</v>
      </c>
      <c r="R15" s="65"/>
      <c r="S15" s="133" t="s">
        <v>17654</v>
      </c>
      <c r="T15" s="65">
        <v>82114661468</v>
      </c>
      <c r="U15" s="65" t="s">
        <v>17655</v>
      </c>
      <c r="V15" s="1612" t="s">
        <v>17656</v>
      </c>
      <c r="W15" s="65"/>
      <c r="X15" s="65"/>
      <c r="Y15" s="65"/>
      <c r="Z15" s="149" t="s">
        <v>17657</v>
      </c>
      <c r="AA15" s="65"/>
    </row>
    <row r="16" customHeight="1" spans="10:10">
      <c r="J16" s="150"/>
    </row>
    <row r="17" customHeight="1" spans="10:10">
      <c r="J17" s="150"/>
    </row>
    <row r="19" customHeight="1" spans="1:2">
      <c r="A19" s="134" t="s">
        <v>2552</v>
      </c>
      <c r="B19" s="135"/>
    </row>
    <row r="21" customHeight="1" spans="20:20">
      <c r="T21" s="153"/>
    </row>
  </sheetData>
  <mergeCells count="31">
    <mergeCell ref="A1:C1"/>
    <mergeCell ref="A2:C2"/>
    <mergeCell ref="A3:C3"/>
    <mergeCell ref="A6:C6"/>
    <mergeCell ref="P6:Q6"/>
    <mergeCell ref="A8:T8"/>
    <mergeCell ref="A9:T9"/>
    <mergeCell ref="H12:I12"/>
    <mergeCell ref="J12:K12"/>
    <mergeCell ref="L12:M12"/>
    <mergeCell ref="A12:A13"/>
    <mergeCell ref="B12:B13"/>
    <mergeCell ref="C12:C13"/>
    <mergeCell ref="D12:D13"/>
    <mergeCell ref="E12:E13"/>
    <mergeCell ref="F12:F13"/>
    <mergeCell ref="G12:G13"/>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s>
  <conditionalFormatting sqref="N16:O19">
    <cfRule type="expression" dxfId="2328" priority="1" stopIfTrue="1">
      <formula>IF($O16="warning",TRUE,FALSE)</formula>
    </cfRule>
  </conditionalFormatting>
  <hyperlinks>
    <hyperlink ref="Z14" location="" display="afyamutiara@gmail.com"/>
    <hyperlink ref="Z15" r:id="rId2" display="pamelanurulkhairani@gmail.com"/>
  </hyperlinks>
  <printOptions horizontalCentered="1"/>
  <pageMargins left="0.25" right="0.25" top="1" bottom="1" header="0.5" footer="0.5"/>
  <pageSetup paperSize="9" scale="75" orientation="landscape"/>
  <headerFooter alignWithMargins="0"/>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92D050"/>
  </sheetPr>
  <dimension ref="A1:AC32"/>
  <sheetViews>
    <sheetView topLeftCell="A10" workbookViewId="0">
      <pane xSplit="3" ySplit="4" topLeftCell="D14" activePane="bottomRight" state="frozen"/>
      <selection/>
      <selection pane="topRight"/>
      <selection pane="bottomLeft"/>
      <selection pane="bottomRight" activeCell="C17" sqref="C17"/>
    </sheetView>
  </sheetViews>
  <sheetFormatPr defaultColWidth="9" defaultRowHeight="12.95" customHeight="1"/>
  <cols>
    <col min="1" max="1" width="5.28333333333333" style="2" customWidth="1"/>
    <col min="2" max="2" width="9.425" style="2" customWidth="1"/>
    <col min="3" max="3" width="21.5666666666667" style="2" customWidth="1"/>
    <col min="4" max="4" width="23.5666666666667" style="2" customWidth="1"/>
    <col min="5" max="5" width="4.14166666666667" style="2" customWidth="1"/>
    <col min="6" max="6" width="8.14166666666667" style="2" customWidth="1"/>
    <col min="7" max="7" width="27.5666666666667" style="2" customWidth="1"/>
    <col min="8" max="10" width="8.85833333333333" style="2" customWidth="1"/>
    <col min="11" max="11" width="8.56666666666667" style="2" customWidth="1"/>
    <col min="12" max="12" width="8.85833333333333" style="2" customWidth="1"/>
    <col min="13" max="13" width="11.7083333333333" style="2" customWidth="1"/>
    <col min="14" max="14" width="10.1416666666667" style="2" customWidth="1"/>
    <col min="15" max="15" width="9.56666666666667" style="2" customWidth="1"/>
    <col min="16" max="16" width="8.85833333333333" style="2" customWidth="1"/>
    <col min="17" max="17" width="12.2833333333333" style="2" customWidth="1"/>
    <col min="18" max="19" width="14" style="2" customWidth="1"/>
    <col min="20" max="20" width="11.5666666666667" style="2" customWidth="1"/>
    <col min="21" max="21" width="37.425" style="2" customWidth="1"/>
    <col min="22" max="22" width="17.7083333333333" style="2" customWidth="1"/>
    <col min="23" max="23" width="14" style="2" customWidth="1"/>
    <col min="24" max="24" width="14.8583333333333" style="2" customWidth="1"/>
    <col min="25" max="25" width="18.425" style="2" customWidth="1"/>
    <col min="26" max="26" width="11.7083333333333" style="2" customWidth="1"/>
    <col min="27" max="27" width="14" style="2" customWidth="1"/>
    <col min="28" max="28" width="25.5666666666667" style="2" customWidth="1"/>
    <col min="29" max="29" width="19.2833333333333" style="2" customWidth="1"/>
    <col min="30" max="16384" width="9.14166666666667" style="2"/>
  </cols>
  <sheetData>
    <row r="1" s="1" customFormat="1" customHeight="1" spans="1:25">
      <c r="A1" s="9"/>
      <c r="B1" s="9"/>
      <c r="C1" s="9"/>
      <c r="D1" s="9"/>
      <c r="E1" s="9"/>
      <c r="F1" s="9"/>
      <c r="Y1" s="145" t="s">
        <v>11108</v>
      </c>
    </row>
    <row r="2" s="1" customFormat="1" customHeight="1" spans="1:25">
      <c r="A2" s="9"/>
      <c r="B2" s="9"/>
      <c r="C2" s="9"/>
      <c r="D2" s="9"/>
      <c r="E2" s="9"/>
      <c r="F2" s="9"/>
      <c r="Y2" s="146" t="s">
        <v>11109</v>
      </c>
    </row>
    <row r="3" s="1" customFormat="1" customHeight="1" spans="1:25">
      <c r="A3" s="9"/>
      <c r="B3" s="9"/>
      <c r="C3" s="9"/>
      <c r="D3" s="9"/>
      <c r="E3" s="9"/>
      <c r="F3" s="9"/>
      <c r="Y3" s="146" t="s">
        <v>11110</v>
      </c>
    </row>
    <row r="4" s="1" customFormat="1" customHeight="1" spans="1:25">
      <c r="A4" s="9"/>
      <c r="B4" s="9"/>
      <c r="C4" s="9"/>
      <c r="D4" s="9"/>
      <c r="E4" s="9"/>
      <c r="F4" s="9"/>
      <c r="Y4" s="146" t="s">
        <v>11111</v>
      </c>
    </row>
    <row r="5" s="1" customFormat="1" customHeight="1" spans="1:6">
      <c r="A5" s="9"/>
      <c r="B5" s="9"/>
      <c r="C5" s="9"/>
      <c r="D5" s="9"/>
      <c r="E5" s="9"/>
      <c r="F5" s="9"/>
    </row>
    <row r="6" s="1" customFormat="1" customHeight="1" spans="1:6">
      <c r="A6" s="9"/>
      <c r="B6" s="9"/>
      <c r="C6" s="9"/>
      <c r="D6" s="9"/>
      <c r="E6" s="9"/>
      <c r="F6" s="9"/>
    </row>
    <row r="7" s="1" customFormat="1" customHeight="1" spans="3:6">
      <c r="C7" s="9"/>
      <c r="D7" s="9"/>
      <c r="E7" s="9"/>
      <c r="F7" s="9"/>
    </row>
    <row r="8" s="1" customFormat="1" customHeight="1" spans="1:19">
      <c r="A8" s="10" t="s">
        <v>7926</v>
      </c>
      <c r="B8" s="10"/>
      <c r="C8" s="10"/>
      <c r="D8" s="10"/>
      <c r="E8" s="10"/>
      <c r="F8" s="10"/>
      <c r="G8" s="10"/>
      <c r="H8" s="10"/>
      <c r="I8" s="10"/>
      <c r="J8" s="10"/>
      <c r="K8" s="10"/>
      <c r="L8" s="10"/>
      <c r="M8" s="10"/>
      <c r="N8" s="10"/>
      <c r="O8" s="10"/>
      <c r="P8" s="10"/>
      <c r="Q8" s="10"/>
      <c r="R8" s="10"/>
      <c r="S8" s="10"/>
    </row>
    <row r="9" s="1" customFormat="1" customHeight="1" spans="1:19">
      <c r="A9" s="10" t="s">
        <v>17658</v>
      </c>
      <c r="B9" s="10"/>
      <c r="C9" s="10"/>
      <c r="D9" s="10"/>
      <c r="E9" s="10"/>
      <c r="F9" s="10"/>
      <c r="G9" s="10"/>
      <c r="H9" s="10"/>
      <c r="I9" s="10"/>
      <c r="J9" s="10"/>
      <c r="K9" s="10"/>
      <c r="L9" s="10"/>
      <c r="M9" s="10"/>
      <c r="N9" s="10"/>
      <c r="O9" s="10"/>
      <c r="P9" s="10"/>
      <c r="Q9" s="10"/>
      <c r="R9" s="10"/>
      <c r="S9" s="10"/>
    </row>
    <row r="10" s="1" customFormat="1" customHeight="1" spans="1:16">
      <c r="A10" s="10"/>
      <c r="B10" s="10"/>
      <c r="C10" s="10"/>
      <c r="D10" s="10"/>
      <c r="E10" s="10"/>
      <c r="F10" s="10"/>
      <c r="G10" s="10"/>
      <c r="H10" s="10"/>
      <c r="I10" s="10"/>
      <c r="J10" s="10"/>
      <c r="K10" s="10"/>
      <c r="L10" s="10"/>
      <c r="M10" s="10"/>
      <c r="N10" s="10"/>
      <c r="O10" s="10"/>
      <c r="P10" s="10"/>
    </row>
    <row r="11" s="1" customFormat="1" customHeight="1" spans="3:6">
      <c r="C11" s="9"/>
      <c r="D11" s="9"/>
      <c r="E11" s="9"/>
      <c r="F11" s="9"/>
    </row>
    <row r="12" s="1" customFormat="1" customHeight="1" spans="1:29">
      <c r="A12" s="131" t="s">
        <v>0</v>
      </c>
      <c r="B12" s="131" t="s">
        <v>1</v>
      </c>
      <c r="C12" s="131" t="s">
        <v>2</v>
      </c>
      <c r="D12" s="131" t="s">
        <v>3</v>
      </c>
      <c r="E12" s="131" t="s">
        <v>7928</v>
      </c>
      <c r="F12" s="131" t="s">
        <v>7929</v>
      </c>
      <c r="G12" s="131" t="s">
        <v>8</v>
      </c>
      <c r="H12" s="131" t="s">
        <v>9</v>
      </c>
      <c r="I12" s="131"/>
      <c r="J12" s="131"/>
      <c r="K12" s="131"/>
      <c r="L12" s="131" t="s">
        <v>14</v>
      </c>
      <c r="M12" s="131" t="s">
        <v>15</v>
      </c>
      <c r="N12" s="131" t="s">
        <v>16</v>
      </c>
      <c r="O12" s="131" t="s">
        <v>17659</v>
      </c>
      <c r="P12" s="131" t="s">
        <v>17660</v>
      </c>
      <c r="Q12" s="131" t="s">
        <v>17073</v>
      </c>
      <c r="R12" s="131" t="s">
        <v>11907</v>
      </c>
      <c r="S12" s="131" t="s">
        <v>15</v>
      </c>
      <c r="T12" s="131" t="s">
        <v>3509</v>
      </c>
      <c r="U12" s="142" t="s">
        <v>28</v>
      </c>
      <c r="V12" s="142" t="s">
        <v>29</v>
      </c>
      <c r="W12" s="142" t="s">
        <v>30</v>
      </c>
      <c r="X12" s="142" t="s">
        <v>31</v>
      </c>
      <c r="Y12" s="142" t="s">
        <v>32</v>
      </c>
      <c r="Z12" s="142" t="s">
        <v>7934</v>
      </c>
      <c r="AA12" s="147" t="s">
        <v>34</v>
      </c>
      <c r="AB12" s="147" t="s">
        <v>7936</v>
      </c>
      <c r="AC12" s="147" t="s">
        <v>36</v>
      </c>
    </row>
    <row r="13" s="1" customFormat="1" customHeight="1" spans="1:29">
      <c r="A13" s="131"/>
      <c r="B13" s="131"/>
      <c r="C13" s="131"/>
      <c r="D13" s="131"/>
      <c r="E13" s="131"/>
      <c r="F13" s="131"/>
      <c r="G13" s="131"/>
      <c r="H13" s="131" t="s">
        <v>37</v>
      </c>
      <c r="I13" s="131" t="s">
        <v>38</v>
      </c>
      <c r="J13" s="131">
        <v>1</v>
      </c>
      <c r="K13" s="131">
        <v>2</v>
      </c>
      <c r="L13" s="131"/>
      <c r="M13" s="137"/>
      <c r="N13" s="131"/>
      <c r="O13" s="131"/>
      <c r="P13" s="131"/>
      <c r="Q13" s="131"/>
      <c r="R13" s="131"/>
      <c r="S13" s="131"/>
      <c r="T13" s="137"/>
      <c r="U13" s="142"/>
      <c r="V13" s="142"/>
      <c r="W13" s="142"/>
      <c r="X13" s="142"/>
      <c r="Y13" s="142"/>
      <c r="Z13" s="142"/>
      <c r="AA13" s="148"/>
      <c r="AB13" s="148"/>
      <c r="AC13" s="148"/>
    </row>
    <row r="14" ht="38.25" spans="1:29">
      <c r="A14" s="1612" t="s">
        <v>39</v>
      </c>
      <c r="B14" s="48" t="s">
        <v>17661</v>
      </c>
      <c r="C14" s="132" t="s">
        <v>17662</v>
      </c>
      <c r="D14" s="48" t="s">
        <v>17663</v>
      </c>
      <c r="E14" s="48" t="s">
        <v>43</v>
      </c>
      <c r="F14" s="48" t="s">
        <v>44</v>
      </c>
      <c r="G14" s="48" t="s">
        <v>2823</v>
      </c>
      <c r="H14" s="49">
        <v>43027</v>
      </c>
      <c r="I14" s="49">
        <v>43391</v>
      </c>
      <c r="J14" s="49"/>
      <c r="K14" s="65"/>
      <c r="L14" s="48">
        <f ca="1" t="shared" ref="L14:L16" si="0">SUM(I14-NOW())</f>
        <v>118.61546296296</v>
      </c>
      <c r="M14" s="49" t="str">
        <f ca="1" t="shared" ref="M14:M16" si="1">IF(L14&lt;=40,"WARNING","ACTIVE")</f>
        <v>ACTIVE</v>
      </c>
      <c r="N14" s="138">
        <v>3000000</v>
      </c>
      <c r="O14" s="139">
        <v>700000</v>
      </c>
      <c r="P14" s="140"/>
      <c r="Q14" s="138"/>
      <c r="R14" s="138"/>
      <c r="S14" s="138" t="s">
        <v>17664</v>
      </c>
      <c r="T14" s="65" t="s">
        <v>17665</v>
      </c>
      <c r="U14" s="143" t="s">
        <v>17666</v>
      </c>
      <c r="V14" s="1630" t="s">
        <v>17667</v>
      </c>
      <c r="W14" s="76" t="s">
        <v>17668</v>
      </c>
      <c r="X14" s="1630" t="s">
        <v>17669</v>
      </c>
      <c r="Y14" s="1630" t="s">
        <v>17670</v>
      </c>
      <c r="Z14" s="76">
        <v>16044859425</v>
      </c>
      <c r="AA14" s="76"/>
      <c r="AB14" s="149" t="s">
        <v>17671</v>
      </c>
      <c r="AC14" s="65"/>
    </row>
    <row r="15" ht="36" spans="1:29">
      <c r="A15" s="1612" t="s">
        <v>68</v>
      </c>
      <c r="B15" s="48" t="s">
        <v>17672</v>
      </c>
      <c r="C15" s="132" t="s">
        <v>17673</v>
      </c>
      <c r="D15" s="48" t="s">
        <v>17674</v>
      </c>
      <c r="E15" s="48" t="s">
        <v>125</v>
      </c>
      <c r="F15" s="48" t="s">
        <v>44</v>
      </c>
      <c r="G15" s="48" t="s">
        <v>17675</v>
      </c>
      <c r="H15" s="49">
        <v>43048</v>
      </c>
      <c r="I15" s="49">
        <v>43412</v>
      </c>
      <c r="J15" s="49"/>
      <c r="K15" s="65"/>
      <c r="L15" s="48">
        <f ca="1" t="shared" si="0"/>
        <v>139.61546296296</v>
      </c>
      <c r="M15" s="49" t="str">
        <f ca="1" t="shared" si="1"/>
        <v>ACTIVE</v>
      </c>
      <c r="N15" s="138">
        <v>5610000</v>
      </c>
      <c r="O15" s="138">
        <v>25000</v>
      </c>
      <c r="P15" s="138">
        <v>500000</v>
      </c>
      <c r="Q15" s="138">
        <v>150000</v>
      </c>
      <c r="R15" s="138"/>
      <c r="S15" s="138"/>
      <c r="T15" s="65" t="s">
        <v>17676</v>
      </c>
      <c r="U15" s="143" t="s">
        <v>17677</v>
      </c>
      <c r="V15" s="76">
        <v>89628635117</v>
      </c>
      <c r="W15" s="76" t="s">
        <v>17678</v>
      </c>
      <c r="X15" s="1630" t="s">
        <v>17679</v>
      </c>
      <c r="Y15" s="1630" t="s">
        <v>17680</v>
      </c>
      <c r="Z15" s="76" t="s">
        <v>17681</v>
      </c>
      <c r="AA15" s="1630" t="s">
        <v>17682</v>
      </c>
      <c r="AB15" s="149" t="s">
        <v>17683</v>
      </c>
      <c r="AC15" s="65"/>
    </row>
    <row r="16" ht="25.5" spans="1:29">
      <c r="A16" s="1612" t="s">
        <v>78</v>
      </c>
      <c r="B16" s="48" t="s">
        <v>17684</v>
      </c>
      <c r="C16" s="132" t="s">
        <v>17685</v>
      </c>
      <c r="D16" s="133" t="s">
        <v>17686</v>
      </c>
      <c r="E16" s="48" t="s">
        <v>125</v>
      </c>
      <c r="F16" s="48" t="s">
        <v>44</v>
      </c>
      <c r="G16" s="48" t="s">
        <v>17687</v>
      </c>
      <c r="H16" s="49">
        <v>43073</v>
      </c>
      <c r="I16" s="49">
        <v>43437</v>
      </c>
      <c r="J16" s="49"/>
      <c r="K16" s="65"/>
      <c r="L16" s="48">
        <f ca="1" t="shared" si="0"/>
        <v>164.61546296296</v>
      </c>
      <c r="M16" s="49" t="str">
        <f ca="1" t="shared" si="1"/>
        <v>ACTIVE</v>
      </c>
      <c r="N16" s="138">
        <v>4300000</v>
      </c>
      <c r="O16" s="138">
        <v>25000</v>
      </c>
      <c r="P16" s="138">
        <v>500000</v>
      </c>
      <c r="Q16" s="138">
        <v>150000</v>
      </c>
      <c r="R16" s="138">
        <v>150000</v>
      </c>
      <c r="S16" s="138"/>
      <c r="T16" s="65" t="s">
        <v>17676</v>
      </c>
      <c r="U16" s="76" t="s">
        <v>17688</v>
      </c>
      <c r="V16" s="1630" t="s">
        <v>17689</v>
      </c>
      <c r="W16" s="76" t="s">
        <v>17690</v>
      </c>
      <c r="X16" s="1630" t="s">
        <v>17691</v>
      </c>
      <c r="Y16" s="1630" t="s">
        <v>17692</v>
      </c>
      <c r="Z16" s="76" t="s">
        <v>17693</v>
      </c>
      <c r="AA16" s="1630" t="s">
        <v>17694</v>
      </c>
      <c r="AB16" s="149" t="s">
        <v>17695</v>
      </c>
      <c r="AC16" s="65"/>
    </row>
    <row r="17" ht="14.1" customHeight="1" spans="1:29">
      <c r="A17" s="1612" t="s">
        <v>92</v>
      </c>
      <c r="B17" s="48" t="s">
        <v>17696</v>
      </c>
      <c r="C17" s="132" t="s">
        <v>17697</v>
      </c>
      <c r="D17" s="76" t="s">
        <v>17698</v>
      </c>
      <c r="E17" s="48" t="s">
        <v>125</v>
      </c>
      <c r="F17" s="48" t="s">
        <v>44</v>
      </c>
      <c r="G17" s="48" t="s">
        <v>8066</v>
      </c>
      <c r="H17" s="49">
        <v>43108</v>
      </c>
      <c r="I17" s="49">
        <v>43472</v>
      </c>
      <c r="J17" s="49"/>
      <c r="K17" s="65"/>
      <c r="L17" s="48">
        <f ca="1" t="shared" ref="L17:L23" si="2">SUM(I17-NOW())</f>
        <v>199.61546296296</v>
      </c>
      <c r="M17" s="49" t="str">
        <f ca="1" t="shared" ref="M17:M23" si="3">IF(L17&lt;=40,"WARNING","ACTIVE")</f>
        <v>ACTIVE</v>
      </c>
      <c r="N17" s="138">
        <v>4300000</v>
      </c>
      <c r="O17" s="138">
        <v>25000</v>
      </c>
      <c r="P17" s="138">
        <v>500000</v>
      </c>
      <c r="Q17" s="138">
        <v>150000</v>
      </c>
      <c r="R17" s="138"/>
      <c r="S17" s="138"/>
      <c r="T17" s="65" t="s">
        <v>17676</v>
      </c>
      <c r="U17" s="133" t="s">
        <v>17699</v>
      </c>
      <c r="V17" s="1630" t="s">
        <v>17700</v>
      </c>
      <c r="W17" s="76" t="s">
        <v>17701</v>
      </c>
      <c r="X17" s="1630" t="s">
        <v>17702</v>
      </c>
      <c r="Y17" s="1630" t="s">
        <v>17703</v>
      </c>
      <c r="Z17" s="1630" t="s">
        <v>17704</v>
      </c>
      <c r="AA17" s="76"/>
      <c r="AB17" s="149" t="s">
        <v>17705</v>
      </c>
      <c r="AC17" s="65"/>
    </row>
    <row r="18" customHeight="1" spans="1:29">
      <c r="A18" s="1612" t="s">
        <v>107</v>
      </c>
      <c r="B18" s="48" t="s">
        <v>17706</v>
      </c>
      <c r="C18" s="132" t="s">
        <v>17707</v>
      </c>
      <c r="D18" s="76" t="s">
        <v>17708</v>
      </c>
      <c r="E18" s="48" t="s">
        <v>125</v>
      </c>
      <c r="F18" s="48" t="s">
        <v>60</v>
      </c>
      <c r="G18" s="48" t="s">
        <v>17709</v>
      </c>
      <c r="H18" s="49">
        <v>43103</v>
      </c>
      <c r="I18" s="49">
        <v>43467</v>
      </c>
      <c r="J18" s="49"/>
      <c r="K18" s="65"/>
      <c r="L18" s="48">
        <f ca="1" t="shared" si="2"/>
        <v>194.61546296296</v>
      </c>
      <c r="M18" s="49" t="str">
        <f ca="1" t="shared" si="3"/>
        <v>ACTIVE</v>
      </c>
      <c r="N18" s="138">
        <v>6500000</v>
      </c>
      <c r="O18" s="138">
        <v>25000</v>
      </c>
      <c r="P18" s="138">
        <v>500000</v>
      </c>
      <c r="Q18" s="138">
        <v>150000</v>
      </c>
      <c r="R18" s="138"/>
      <c r="S18" s="138"/>
      <c r="T18" s="65" t="s">
        <v>17676</v>
      </c>
      <c r="U18" s="133" t="s">
        <v>17710</v>
      </c>
      <c r="V18" s="76">
        <v>8176485512</v>
      </c>
      <c r="W18" s="76" t="s">
        <v>17711</v>
      </c>
      <c r="X18" s="1630" t="s">
        <v>17712</v>
      </c>
      <c r="Y18" s="1630" t="s">
        <v>17713</v>
      </c>
      <c r="Z18" s="76" t="s">
        <v>17714</v>
      </c>
      <c r="AA18" s="1630" t="s">
        <v>17715</v>
      </c>
      <c r="AB18" s="149" t="s">
        <v>17716</v>
      </c>
      <c r="AC18" s="65"/>
    </row>
    <row r="19" customHeight="1" spans="1:29">
      <c r="A19" s="1612" t="s">
        <v>121</v>
      </c>
      <c r="B19" s="48" t="s">
        <v>17717</v>
      </c>
      <c r="C19" s="132" t="s">
        <v>17718</v>
      </c>
      <c r="D19" s="76" t="s">
        <v>17719</v>
      </c>
      <c r="E19" s="48" t="s">
        <v>125</v>
      </c>
      <c r="F19" s="48" t="s">
        <v>44</v>
      </c>
      <c r="G19" s="48" t="s">
        <v>17720</v>
      </c>
      <c r="H19" s="49">
        <v>43102</v>
      </c>
      <c r="I19" s="49">
        <v>43281</v>
      </c>
      <c r="J19" s="49"/>
      <c r="K19" s="65"/>
      <c r="L19" s="48">
        <f ca="1" t="shared" si="2"/>
        <v>8.61546296296001</v>
      </c>
      <c r="M19" s="49" t="str">
        <f ca="1" t="shared" si="3"/>
        <v>WARNING</v>
      </c>
      <c r="N19" s="138">
        <v>4600000</v>
      </c>
      <c r="O19" s="138">
        <v>25000</v>
      </c>
      <c r="P19" s="138">
        <v>500000</v>
      </c>
      <c r="Q19" s="138">
        <v>150000</v>
      </c>
      <c r="R19" s="138"/>
      <c r="S19" s="138"/>
      <c r="T19" s="65" t="s">
        <v>17676</v>
      </c>
      <c r="U19" s="133" t="s">
        <v>17721</v>
      </c>
      <c r="V19" s="1630" t="s">
        <v>17722</v>
      </c>
      <c r="W19" s="76"/>
      <c r="X19" s="1630" t="s">
        <v>17723</v>
      </c>
      <c r="Y19" s="76"/>
      <c r="Z19" s="76"/>
      <c r="AA19" s="76"/>
      <c r="AB19" s="149" t="s">
        <v>17724</v>
      </c>
      <c r="AC19" s="65"/>
    </row>
    <row r="20" customHeight="1" spans="1:29">
      <c r="A20" s="1612" t="s">
        <v>135</v>
      </c>
      <c r="B20" s="48" t="s">
        <v>17725</v>
      </c>
      <c r="C20" s="132" t="s">
        <v>17726</v>
      </c>
      <c r="D20" s="76" t="s">
        <v>17727</v>
      </c>
      <c r="E20" s="48" t="s">
        <v>125</v>
      </c>
      <c r="F20" s="48" t="s">
        <v>60</v>
      </c>
      <c r="G20" s="48" t="s">
        <v>7940</v>
      </c>
      <c r="H20" s="49">
        <v>43111</v>
      </c>
      <c r="I20" s="49">
        <v>43475</v>
      </c>
      <c r="J20" s="49"/>
      <c r="K20" s="65"/>
      <c r="L20" s="48">
        <f ca="1" t="shared" si="2"/>
        <v>202.61546296296</v>
      </c>
      <c r="M20" s="49" t="str">
        <f ca="1" t="shared" si="3"/>
        <v>ACTIVE</v>
      </c>
      <c r="N20" s="138">
        <v>4200000</v>
      </c>
      <c r="O20" s="138">
        <v>25000</v>
      </c>
      <c r="P20" s="138">
        <v>500000</v>
      </c>
      <c r="Q20" s="138">
        <v>150000</v>
      </c>
      <c r="R20" s="138"/>
      <c r="S20" s="138"/>
      <c r="T20" s="65" t="s">
        <v>17676</v>
      </c>
      <c r="U20" s="133" t="s">
        <v>17728</v>
      </c>
      <c r="V20" s="1630" t="s">
        <v>17729</v>
      </c>
      <c r="W20" s="76" t="s">
        <v>17730</v>
      </c>
      <c r="X20" s="1630" t="s">
        <v>17731</v>
      </c>
      <c r="Y20" s="1630" t="s">
        <v>17732</v>
      </c>
      <c r="Z20" s="76"/>
      <c r="AA20" s="1630" t="s">
        <v>17733</v>
      </c>
      <c r="AB20" s="149" t="s">
        <v>17734</v>
      </c>
      <c r="AC20" s="65"/>
    </row>
    <row r="21" customHeight="1" spans="1:29">
      <c r="A21" s="1612" t="s">
        <v>146</v>
      </c>
      <c r="B21" s="48" t="s">
        <v>17735</v>
      </c>
      <c r="C21" s="132" t="s">
        <v>17736</v>
      </c>
      <c r="D21" s="76" t="s">
        <v>17737</v>
      </c>
      <c r="E21" s="48" t="s">
        <v>125</v>
      </c>
      <c r="F21" s="48" t="s">
        <v>44</v>
      </c>
      <c r="G21" s="48" t="s">
        <v>13186</v>
      </c>
      <c r="H21" s="49">
        <v>43160</v>
      </c>
      <c r="I21" s="49">
        <v>43524</v>
      </c>
      <c r="J21" s="49"/>
      <c r="K21" s="65"/>
      <c r="L21" s="48">
        <f ca="1" t="shared" si="2"/>
        <v>251.61546296296</v>
      </c>
      <c r="M21" s="49" t="str">
        <f ca="1" t="shared" si="3"/>
        <v>ACTIVE</v>
      </c>
      <c r="N21" s="138">
        <v>9000000</v>
      </c>
      <c r="O21" s="138">
        <v>25000</v>
      </c>
      <c r="P21" s="138">
        <v>500000</v>
      </c>
      <c r="Q21" s="138">
        <v>150000</v>
      </c>
      <c r="R21" s="138"/>
      <c r="S21" s="138"/>
      <c r="T21" s="65" t="s">
        <v>17676</v>
      </c>
      <c r="U21" s="133" t="s">
        <v>17738</v>
      </c>
      <c r="V21" s="1630" t="s">
        <v>17739</v>
      </c>
      <c r="W21" s="76" t="s">
        <v>17740</v>
      </c>
      <c r="X21" s="1630" t="s">
        <v>17741</v>
      </c>
      <c r="Y21" s="1630" t="s">
        <v>17742</v>
      </c>
      <c r="Z21" s="76" t="s">
        <v>17743</v>
      </c>
      <c r="AA21" s="1630" t="s">
        <v>17744</v>
      </c>
      <c r="AB21" s="149" t="s">
        <v>17745</v>
      </c>
      <c r="AC21" s="65"/>
    </row>
    <row r="22" customHeight="1" spans="1:29">
      <c r="A22" s="1612" t="s">
        <v>157</v>
      </c>
      <c r="B22" s="48" t="s">
        <v>17746</v>
      </c>
      <c r="C22" s="132" t="s">
        <v>17747</v>
      </c>
      <c r="D22" s="76" t="s">
        <v>17748</v>
      </c>
      <c r="E22" s="48" t="s">
        <v>125</v>
      </c>
      <c r="F22" s="48" t="s">
        <v>44</v>
      </c>
      <c r="G22" s="48" t="s">
        <v>17749</v>
      </c>
      <c r="H22" s="49">
        <v>43151</v>
      </c>
      <c r="I22" s="49">
        <v>43515</v>
      </c>
      <c r="J22" s="49"/>
      <c r="K22" s="65"/>
      <c r="L22" s="48">
        <f ca="1" t="shared" si="2"/>
        <v>242.61546296296</v>
      </c>
      <c r="M22" s="49" t="str">
        <f ca="1" t="shared" si="3"/>
        <v>ACTIVE</v>
      </c>
      <c r="N22" s="138">
        <v>7600000</v>
      </c>
      <c r="O22" s="138">
        <v>25000</v>
      </c>
      <c r="P22" s="138">
        <v>500000</v>
      </c>
      <c r="Q22" s="138">
        <v>150000</v>
      </c>
      <c r="R22" s="138"/>
      <c r="S22" s="138"/>
      <c r="T22" s="65" t="s">
        <v>17676</v>
      </c>
      <c r="U22" s="133" t="s">
        <v>17750</v>
      </c>
      <c r="V22" s="1630" t="s">
        <v>17751</v>
      </c>
      <c r="W22" s="76" t="s">
        <v>17752</v>
      </c>
      <c r="X22" s="1630" t="s">
        <v>17753</v>
      </c>
      <c r="Y22" s="1630" t="s">
        <v>17754</v>
      </c>
      <c r="Z22" s="76" t="s">
        <v>17755</v>
      </c>
      <c r="AA22" s="76"/>
      <c r="AB22" s="149" t="s">
        <v>17756</v>
      </c>
      <c r="AC22" s="65"/>
    </row>
    <row r="23" customHeight="1" spans="1:29">
      <c r="A23" s="1612" t="s">
        <v>168</v>
      </c>
      <c r="B23" s="48" t="s">
        <v>17757</v>
      </c>
      <c r="C23" s="132" t="s">
        <v>17758</v>
      </c>
      <c r="D23" s="76" t="s">
        <v>17759</v>
      </c>
      <c r="E23" s="48" t="s">
        <v>43</v>
      </c>
      <c r="F23" s="48" t="s">
        <v>60</v>
      </c>
      <c r="G23" s="48" t="s">
        <v>17760</v>
      </c>
      <c r="H23" s="49">
        <v>43210</v>
      </c>
      <c r="I23" s="49">
        <v>43574</v>
      </c>
      <c r="J23" s="49"/>
      <c r="K23" s="65"/>
      <c r="L23" s="48">
        <f ca="1" t="shared" si="2"/>
        <v>301.61546296296</v>
      </c>
      <c r="M23" s="49" t="str">
        <f ca="1" t="shared" si="3"/>
        <v>ACTIVE</v>
      </c>
      <c r="N23" s="138">
        <v>15750000</v>
      </c>
      <c r="O23" s="138">
        <v>25000</v>
      </c>
      <c r="P23" s="138">
        <v>500000</v>
      </c>
      <c r="Q23" s="138">
        <v>150000</v>
      </c>
      <c r="R23" s="138"/>
      <c r="S23" s="138"/>
      <c r="T23" s="65" t="s">
        <v>17676</v>
      </c>
      <c r="U23" s="133" t="s">
        <v>17761</v>
      </c>
      <c r="V23" s="1630" t="s">
        <v>17762</v>
      </c>
      <c r="W23" s="76" t="s">
        <v>17763</v>
      </c>
      <c r="X23" s="1630" t="s">
        <v>17764</v>
      </c>
      <c r="Y23" s="1630" t="s">
        <v>17765</v>
      </c>
      <c r="Z23" s="76" t="s">
        <v>17766</v>
      </c>
      <c r="AA23" s="76"/>
      <c r="AB23" s="149" t="s">
        <v>17767</v>
      </c>
      <c r="AC23" s="65"/>
    </row>
    <row r="31" customHeight="1" spans="1:2">
      <c r="A31" s="134" t="s">
        <v>2552</v>
      </c>
      <c r="B31" s="135"/>
    </row>
    <row r="32" customHeight="1" spans="1:29">
      <c r="A32" s="1610" t="s">
        <v>56</v>
      </c>
      <c r="B32" s="53" t="s">
        <v>17768</v>
      </c>
      <c r="C32" s="136" t="s">
        <v>17769</v>
      </c>
      <c r="D32" s="53" t="s">
        <v>17770</v>
      </c>
      <c r="E32" s="53" t="s">
        <v>125</v>
      </c>
      <c r="F32" s="53" t="s">
        <v>44</v>
      </c>
      <c r="G32" s="53" t="s">
        <v>9114</v>
      </c>
      <c r="H32" s="42">
        <v>43048</v>
      </c>
      <c r="I32" s="42">
        <v>43077</v>
      </c>
      <c r="J32" s="42">
        <v>43167</v>
      </c>
      <c r="K32" s="42">
        <v>43196</v>
      </c>
      <c r="L32" s="53">
        <f ca="1">SUM(K32-NOW())</f>
        <v>-76.38453703704</v>
      </c>
      <c r="M32" s="42" t="str">
        <f ca="1">IF(L32&lt;=40,"WARNING","ACTIVE")</f>
        <v>WARNING</v>
      </c>
      <c r="N32" s="141">
        <v>5000000</v>
      </c>
      <c r="O32" s="141"/>
      <c r="P32" s="141"/>
      <c r="Q32" s="141"/>
      <c r="R32" s="141"/>
      <c r="S32" s="141"/>
      <c r="T32" s="27" t="s">
        <v>17771</v>
      </c>
      <c r="U32" s="144" t="s">
        <v>17772</v>
      </c>
      <c r="V32" s="83"/>
      <c r="W32" s="83" t="s">
        <v>17773</v>
      </c>
      <c r="X32" s="1599" t="s">
        <v>17774</v>
      </c>
      <c r="Y32" s="83"/>
      <c r="Z32" s="83"/>
      <c r="AA32" s="83"/>
      <c r="AB32" s="86" t="s">
        <v>17775</v>
      </c>
      <c r="AC32" s="27" t="s">
        <v>17776</v>
      </c>
    </row>
  </sheetData>
  <mergeCells count="35">
    <mergeCell ref="A1:C1"/>
    <mergeCell ref="A2:C2"/>
    <mergeCell ref="A3:C3"/>
    <mergeCell ref="A6:C6"/>
    <mergeCell ref="N6:P6"/>
    <mergeCell ref="A8:R8"/>
    <mergeCell ref="A9:R9"/>
    <mergeCell ref="H12:I12"/>
    <mergeCell ref="J12:K12"/>
    <mergeCell ref="O14:P14"/>
    <mergeCell ref="A12:A13"/>
    <mergeCell ref="B12:B13"/>
    <mergeCell ref="C12:C13"/>
    <mergeCell ref="D12:D13"/>
    <mergeCell ref="E12:E13"/>
    <mergeCell ref="F12:F13"/>
    <mergeCell ref="G12:G13"/>
    <mergeCell ref="L12:L13"/>
    <mergeCell ref="M12:M13"/>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 ref="AB12:AB13"/>
    <mergeCell ref="AC12:AC13"/>
  </mergeCells>
  <hyperlinks>
    <hyperlink ref="AB14" location="" display="suryadinata2410@gmail.com"/>
    <hyperlink ref="AB32" location="" display="megapanorama10@gmail.com"/>
    <hyperlink ref="AB15" location="" display="Oktaviani.Rina@mundipharma.co.id, rina.oktaviani20@yahoo.com"/>
    <hyperlink ref="AB16" location="" display="deta_flower@yahoo.com"/>
    <hyperlink ref="AB17" r:id="rId2" display="nadianinettes@gmail.com"/>
    <hyperlink ref="AB18" r:id="rId3" display="nofi84@yahoo.com"/>
    <hyperlink ref="AB19" r:id="rId4" display="suciati.wulansari@gmail.com"/>
    <hyperlink ref="AB20" r:id="rId5" display="anggysyafari@gmail.com"/>
    <hyperlink ref="AB21" r:id="rId6" display="intan_1609@yahoo.com"/>
    <hyperlink ref="AB22" r:id="rId7" display="juliafitriwala@gmail.com"/>
    <hyperlink ref="AB23" r:id="rId8" display="byusputra@gmail.com"/>
  </hyperlinks>
  <printOptions horizontalCentered="1"/>
  <pageMargins left="0.25" right="0.25" top="1" bottom="1" header="0.5" footer="0.5"/>
  <pageSetup paperSize="9" scale="75" orientation="landscape"/>
  <headerFooter alignWithMargins="0"/>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C57"/>
  <sheetViews>
    <sheetView topLeftCell="A8" workbookViewId="0">
      <pane xSplit="3" ySplit="6" topLeftCell="AA42" activePane="bottomRight" state="frozen"/>
      <selection/>
      <selection pane="topRight"/>
      <selection pane="bottomLeft"/>
      <selection pane="bottomRight" activeCell="AE44" sqref="AE44"/>
    </sheetView>
  </sheetViews>
  <sheetFormatPr defaultColWidth="9" defaultRowHeight="12.95" customHeight="1"/>
  <cols>
    <col min="1" max="1" width="5.425" style="94" customWidth="1"/>
    <col min="2" max="2" width="9.425" style="94" customWidth="1"/>
    <col min="3" max="3" width="22" style="94" customWidth="1"/>
    <col min="4" max="4" width="25.2833333333333" style="94" customWidth="1"/>
    <col min="5" max="5" width="3.56666666666667" style="94" customWidth="1"/>
    <col min="6" max="6" width="6.70833333333333" style="94" customWidth="1"/>
    <col min="7" max="7" width="8.85833333333333" style="94" customWidth="1"/>
    <col min="8" max="8" width="27.5666666666667" style="94" customWidth="1"/>
    <col min="9" max="10" width="10.1416666666667" style="94" customWidth="1"/>
    <col min="11" max="12" width="9.85833333333333" style="94" customWidth="1"/>
    <col min="13" max="13" width="8.85833333333333" style="94" customWidth="1"/>
    <col min="14" max="14" width="9.85833333333333" style="94" customWidth="1"/>
    <col min="15" max="15" width="9.56666666666667" style="95" customWidth="1"/>
    <col min="16" max="16" width="8.70833333333333" style="95" customWidth="1"/>
    <col min="17" max="17" width="5.85833333333333" style="95" customWidth="1"/>
    <col min="18" max="18" width="6.14166666666667" style="95" customWidth="1"/>
    <col min="19" max="20" width="9.28333333333333" style="94" customWidth="1"/>
    <col min="21" max="21" width="38.7083333333333" style="94" customWidth="1"/>
    <col min="22" max="22" width="19" style="94" customWidth="1"/>
    <col min="23" max="23" width="16.7083333333333" style="94" customWidth="1"/>
    <col min="24" max="24" width="19" style="94" customWidth="1"/>
    <col min="25" max="25" width="16" style="94" customWidth="1"/>
    <col min="26" max="26" width="15.425" style="94" customWidth="1"/>
    <col min="27" max="27" width="21.8583333333333" style="94" customWidth="1"/>
    <col min="28" max="28" width="27.425" style="94" customWidth="1"/>
    <col min="29" max="29" width="24.7083333333333" style="94" customWidth="1"/>
    <col min="30" max="30" width="10.5666666666667" style="94" customWidth="1"/>
    <col min="31" max="49" width="9.14166666666667" style="94"/>
    <col min="50" max="50" width="11.2833333333333" style="94" customWidth="1"/>
    <col min="51" max="52" width="9.14166666666667" style="94" customWidth="1"/>
    <col min="53" max="16384" width="9.14166666666667" style="94"/>
  </cols>
  <sheetData>
    <row r="1" s="91" customFormat="1" customHeight="1" spans="1:28">
      <c r="A1" s="96"/>
      <c r="B1" s="96"/>
      <c r="C1" s="96"/>
      <c r="D1" s="96"/>
      <c r="E1" s="96"/>
      <c r="F1" s="96"/>
      <c r="G1" s="96"/>
      <c r="O1" s="108"/>
      <c r="P1" s="108"/>
      <c r="Q1" s="108"/>
      <c r="R1" s="108"/>
      <c r="AB1" s="123" t="s">
        <v>11108</v>
      </c>
    </row>
    <row r="2" s="91" customFormat="1" customHeight="1" spans="1:28">
      <c r="A2" s="96"/>
      <c r="B2" s="96"/>
      <c r="C2" s="96"/>
      <c r="D2" s="96"/>
      <c r="E2" s="96"/>
      <c r="F2" s="96"/>
      <c r="G2" s="96"/>
      <c r="O2" s="108"/>
      <c r="P2" s="108"/>
      <c r="Q2" s="108"/>
      <c r="R2" s="108"/>
      <c r="AB2" s="123" t="s">
        <v>11109</v>
      </c>
    </row>
    <row r="3" s="91" customFormat="1" customHeight="1" spans="1:28">
      <c r="A3" s="96"/>
      <c r="B3" s="96"/>
      <c r="C3" s="96"/>
      <c r="D3" s="96"/>
      <c r="E3" s="96"/>
      <c r="F3" s="96"/>
      <c r="G3" s="96"/>
      <c r="O3" s="108"/>
      <c r="P3" s="108"/>
      <c r="Q3" s="108"/>
      <c r="R3" s="108"/>
      <c r="AB3" s="123" t="s">
        <v>11110</v>
      </c>
    </row>
    <row r="4" s="91" customFormat="1" customHeight="1" spans="1:28">
      <c r="A4" s="96"/>
      <c r="B4" s="96"/>
      <c r="C4" s="96"/>
      <c r="D4" s="96"/>
      <c r="E4" s="96"/>
      <c r="F4" s="96"/>
      <c r="G4" s="96"/>
      <c r="O4" s="108"/>
      <c r="P4" s="108"/>
      <c r="Q4" s="108"/>
      <c r="R4" s="108"/>
      <c r="AB4" s="123" t="s">
        <v>11111</v>
      </c>
    </row>
    <row r="5" s="91" customFormat="1" customHeight="1" spans="1:18">
      <c r="A5" s="96"/>
      <c r="B5" s="96"/>
      <c r="C5" s="96"/>
      <c r="D5" s="96"/>
      <c r="E5" s="96"/>
      <c r="F5" s="96"/>
      <c r="G5" s="96"/>
      <c r="O5" s="108"/>
      <c r="P5" s="108"/>
      <c r="Q5" s="108"/>
      <c r="R5" s="108"/>
    </row>
    <row r="6" s="91" customFormat="1" customHeight="1" spans="1:7">
      <c r="A6" s="96"/>
      <c r="B6" s="96"/>
      <c r="C6" s="96"/>
      <c r="D6" s="96"/>
      <c r="E6" s="96"/>
      <c r="F6" s="96"/>
      <c r="G6" s="96"/>
    </row>
    <row r="7" s="91" customFormat="1" customHeight="1" spans="3:18">
      <c r="C7" s="96"/>
      <c r="D7" s="96"/>
      <c r="E7" s="96"/>
      <c r="F7" s="96"/>
      <c r="G7" s="96"/>
      <c r="O7" s="108"/>
      <c r="P7" s="108"/>
      <c r="Q7" s="108"/>
      <c r="R7" s="108"/>
    </row>
    <row r="8" s="91" customFormat="1" customHeight="1" spans="1:26">
      <c r="A8" s="97" t="s">
        <v>7926</v>
      </c>
      <c r="B8" s="97"/>
      <c r="C8" s="97"/>
      <c r="D8" s="97"/>
      <c r="E8" s="97"/>
      <c r="F8" s="97"/>
      <c r="G8" s="97"/>
      <c r="H8" s="97"/>
      <c r="I8" s="97"/>
      <c r="J8" s="97"/>
      <c r="K8" s="97"/>
      <c r="L8" s="97"/>
      <c r="M8" s="97"/>
      <c r="N8" s="97"/>
      <c r="O8" s="97"/>
      <c r="P8" s="97"/>
      <c r="Q8" s="97"/>
      <c r="R8" s="97"/>
      <c r="S8" s="97"/>
      <c r="T8" s="97"/>
      <c r="U8" s="97"/>
      <c r="V8" s="97"/>
      <c r="W8" s="97"/>
      <c r="X8" s="97"/>
      <c r="Y8" s="97"/>
      <c r="Z8" s="97"/>
    </row>
    <row r="9" s="91" customFormat="1" customHeight="1" spans="1:26">
      <c r="A9" s="97" t="s">
        <v>17777</v>
      </c>
      <c r="B9" s="97"/>
      <c r="C9" s="97"/>
      <c r="D9" s="97"/>
      <c r="E9" s="97"/>
      <c r="F9" s="97"/>
      <c r="G9" s="97"/>
      <c r="H9" s="97"/>
      <c r="I9" s="97"/>
      <c r="J9" s="97"/>
      <c r="K9" s="97"/>
      <c r="L9" s="97"/>
      <c r="M9" s="97"/>
      <c r="N9" s="97"/>
      <c r="O9" s="97"/>
      <c r="P9" s="97"/>
      <c r="Q9" s="97"/>
      <c r="R9" s="97"/>
      <c r="S9" s="97"/>
      <c r="T9" s="97"/>
      <c r="U9" s="97"/>
      <c r="V9" s="97"/>
      <c r="W9" s="97"/>
      <c r="X9" s="97"/>
      <c r="Y9" s="97"/>
      <c r="Z9" s="97"/>
    </row>
    <row r="10" s="91" customFormat="1" hidden="1" customHeight="1" spans="1:20">
      <c r="A10" s="97"/>
      <c r="B10" s="97"/>
      <c r="C10" s="97"/>
      <c r="D10" s="97"/>
      <c r="E10" s="97"/>
      <c r="F10" s="97"/>
      <c r="G10" s="97"/>
      <c r="H10" s="97"/>
      <c r="I10" s="97"/>
      <c r="J10" s="97"/>
      <c r="K10" s="97"/>
      <c r="L10" s="97"/>
      <c r="M10" s="97"/>
      <c r="N10" s="97"/>
      <c r="O10" s="109"/>
      <c r="P10" s="109"/>
      <c r="Q10" s="109"/>
      <c r="R10" s="109"/>
      <c r="S10" s="97"/>
      <c r="T10" s="97"/>
    </row>
    <row r="11" s="91" customFormat="1" hidden="1" customHeight="1" spans="3:18">
      <c r="C11" s="96"/>
      <c r="D11" s="96"/>
      <c r="E11" s="96"/>
      <c r="F11" s="96"/>
      <c r="G11" s="96"/>
      <c r="O11" s="108"/>
      <c r="P11" s="108"/>
      <c r="Q11" s="108"/>
      <c r="R11" s="108"/>
    </row>
    <row r="12" s="91" customFormat="1" customHeight="1" spans="1:29">
      <c r="A12" s="98" t="s">
        <v>0</v>
      </c>
      <c r="B12" s="98" t="s">
        <v>1</v>
      </c>
      <c r="C12" s="98" t="s">
        <v>2</v>
      </c>
      <c r="D12" s="98" t="s">
        <v>3</v>
      </c>
      <c r="E12" s="98" t="s">
        <v>4</v>
      </c>
      <c r="F12" s="98" t="s">
        <v>7929</v>
      </c>
      <c r="G12" s="98" t="s">
        <v>6</v>
      </c>
      <c r="H12" s="98" t="s">
        <v>8</v>
      </c>
      <c r="I12" s="103" t="s">
        <v>9</v>
      </c>
      <c r="J12" s="103"/>
      <c r="K12" s="104" t="s">
        <v>10</v>
      </c>
      <c r="L12" s="105"/>
      <c r="M12" s="98" t="s">
        <v>14</v>
      </c>
      <c r="N12" s="103" t="s">
        <v>15</v>
      </c>
      <c r="O12" s="110" t="s">
        <v>17778</v>
      </c>
      <c r="P12" s="110" t="s">
        <v>17779</v>
      </c>
      <c r="Q12" s="98" t="s">
        <v>25</v>
      </c>
      <c r="R12" s="98" t="s">
        <v>26</v>
      </c>
      <c r="S12" s="98" t="s">
        <v>3509</v>
      </c>
      <c r="T12" s="98" t="s">
        <v>15</v>
      </c>
      <c r="U12" s="117" t="s">
        <v>28</v>
      </c>
      <c r="V12" s="118" t="s">
        <v>29</v>
      </c>
      <c r="W12" s="118" t="s">
        <v>31</v>
      </c>
      <c r="X12" s="118" t="s">
        <v>32</v>
      </c>
      <c r="Y12" s="118" t="s">
        <v>7934</v>
      </c>
      <c r="Z12" s="118" t="s">
        <v>34</v>
      </c>
      <c r="AA12" s="104" t="s">
        <v>30</v>
      </c>
      <c r="AB12" s="124" t="s">
        <v>7936</v>
      </c>
      <c r="AC12" s="117" t="s">
        <v>36</v>
      </c>
    </row>
    <row r="13" s="91" customFormat="1" customHeight="1" spans="1:29">
      <c r="A13" s="99"/>
      <c r="B13" s="99"/>
      <c r="C13" s="99"/>
      <c r="D13" s="99"/>
      <c r="E13" s="99"/>
      <c r="F13" s="99"/>
      <c r="G13" s="99"/>
      <c r="H13" s="99"/>
      <c r="I13" s="103" t="s">
        <v>37</v>
      </c>
      <c r="J13" s="103" t="s">
        <v>38</v>
      </c>
      <c r="K13" s="103">
        <v>1</v>
      </c>
      <c r="L13" s="103">
        <v>2</v>
      </c>
      <c r="M13" s="99"/>
      <c r="N13" s="111"/>
      <c r="O13" s="112"/>
      <c r="P13" s="112"/>
      <c r="Q13" s="99"/>
      <c r="R13" s="99"/>
      <c r="S13" s="115"/>
      <c r="T13" s="115"/>
      <c r="U13" s="119"/>
      <c r="V13" s="120"/>
      <c r="W13" s="120"/>
      <c r="X13" s="120"/>
      <c r="Y13" s="120"/>
      <c r="Z13" s="120"/>
      <c r="AA13" s="125"/>
      <c r="AB13" s="126"/>
      <c r="AC13" s="119"/>
    </row>
    <row r="14" s="92" customFormat="1" ht="15.95" customHeight="1" spans="1:29">
      <c r="A14" s="1585" t="s">
        <v>39</v>
      </c>
      <c r="B14" s="100"/>
      <c r="C14" s="101" t="s">
        <v>10482</v>
      </c>
      <c r="D14" s="102" t="s">
        <v>17780</v>
      </c>
      <c r="E14" s="102" t="s">
        <v>43</v>
      </c>
      <c r="F14" s="102" t="s">
        <v>96</v>
      </c>
      <c r="G14" s="102" t="s">
        <v>3528</v>
      </c>
      <c r="H14" s="100" t="s">
        <v>17781</v>
      </c>
      <c r="I14" s="106">
        <v>43221</v>
      </c>
      <c r="J14" s="106">
        <v>43404</v>
      </c>
      <c r="K14" s="106"/>
      <c r="L14" s="106"/>
      <c r="M14" s="48">
        <f ca="1">SUM(J14-NOW())</f>
        <v>131.61546296296</v>
      </c>
      <c r="N14" s="49" t="str">
        <f ca="1">IF(M14&lt;=40,"WARNING","ACTIVE")</f>
        <v>ACTIVE</v>
      </c>
      <c r="O14" s="113">
        <v>6000000</v>
      </c>
      <c r="P14" s="114">
        <v>1000000</v>
      </c>
      <c r="Q14" s="116" t="s">
        <v>0</v>
      </c>
      <c r="R14" s="116" t="s">
        <v>48</v>
      </c>
      <c r="S14" s="116"/>
      <c r="T14" s="116"/>
      <c r="U14" s="121" t="s">
        <v>17782</v>
      </c>
      <c r="V14" s="1579" t="s">
        <v>17783</v>
      </c>
      <c r="W14" s="1630" t="s">
        <v>17784</v>
      </c>
      <c r="X14" s="76" t="s">
        <v>17785</v>
      </c>
      <c r="Y14" s="122"/>
      <c r="Z14" s="1630" t="s">
        <v>17786</v>
      </c>
      <c r="AA14" s="76" t="s">
        <v>17787</v>
      </c>
      <c r="AB14" s="127" t="s">
        <v>17788</v>
      </c>
      <c r="AC14" s="101"/>
    </row>
    <row r="15" customHeight="1" spans="1:29">
      <c r="A15" s="1585" t="s">
        <v>56</v>
      </c>
      <c r="B15" s="100"/>
      <c r="C15" s="101" t="s">
        <v>17789</v>
      </c>
      <c r="D15" s="102" t="s">
        <v>17790</v>
      </c>
      <c r="E15" s="102" t="s">
        <v>43</v>
      </c>
      <c r="F15" s="102" t="s">
        <v>44</v>
      </c>
      <c r="G15" s="102" t="s">
        <v>1300</v>
      </c>
      <c r="H15" s="100" t="s">
        <v>17791</v>
      </c>
      <c r="I15" s="106">
        <v>43221</v>
      </c>
      <c r="J15" s="106">
        <v>43404</v>
      </c>
      <c r="K15" s="106"/>
      <c r="L15" s="106"/>
      <c r="M15" s="48">
        <f ca="1">SUM(J15-NOW())</f>
        <v>131.61546296296</v>
      </c>
      <c r="N15" s="49" t="str">
        <f ca="1">IF(M15&lt;=40,"WARNING","ACTIVE")</f>
        <v>ACTIVE</v>
      </c>
      <c r="O15" s="113">
        <v>5000000</v>
      </c>
      <c r="P15" s="114">
        <v>1000000</v>
      </c>
      <c r="Q15" s="116" t="s">
        <v>0</v>
      </c>
      <c r="R15" s="116" t="s">
        <v>48</v>
      </c>
      <c r="S15" s="116"/>
      <c r="T15" s="116"/>
      <c r="U15" s="121" t="s">
        <v>17792</v>
      </c>
      <c r="V15" s="1579" t="s">
        <v>17793</v>
      </c>
      <c r="W15" s="1630" t="s">
        <v>17794</v>
      </c>
      <c r="X15" s="76" t="s">
        <v>17795</v>
      </c>
      <c r="Y15" s="122"/>
      <c r="Z15" s="1630" t="s">
        <v>17796</v>
      </c>
      <c r="AA15" s="76" t="s">
        <v>17797</v>
      </c>
      <c r="AB15" s="127" t="s">
        <v>17798</v>
      </c>
      <c r="AC15" s="101"/>
    </row>
    <row r="16" customHeight="1" spans="1:29">
      <c r="A16" s="1585" t="s">
        <v>68</v>
      </c>
      <c r="B16" s="100"/>
      <c r="C16" s="101" t="s">
        <v>17799</v>
      </c>
      <c r="D16" s="102" t="s">
        <v>17800</v>
      </c>
      <c r="E16" s="102" t="s">
        <v>43</v>
      </c>
      <c r="F16" s="102" t="s">
        <v>96</v>
      </c>
      <c r="G16" s="102" t="s">
        <v>3528</v>
      </c>
      <c r="H16" s="100" t="s">
        <v>17801</v>
      </c>
      <c r="I16" s="106">
        <v>43221</v>
      </c>
      <c r="J16" s="106">
        <v>43404</v>
      </c>
      <c r="K16" s="106"/>
      <c r="L16" s="106"/>
      <c r="M16" s="48">
        <f ca="1" t="shared" ref="M16:M57" si="0">SUM(J16-NOW())</f>
        <v>131.61546296296</v>
      </c>
      <c r="N16" s="49" t="str">
        <f ca="1" t="shared" ref="N16:N57" si="1">IF(M16&lt;=40,"WARNING","ACTIVE")</f>
        <v>ACTIVE</v>
      </c>
      <c r="O16" s="113">
        <v>5000000</v>
      </c>
      <c r="P16" s="114">
        <v>1000000</v>
      </c>
      <c r="Q16" s="116" t="s">
        <v>0</v>
      </c>
      <c r="R16" s="116" t="s">
        <v>48</v>
      </c>
      <c r="S16" s="116"/>
      <c r="T16" s="116"/>
      <c r="U16" s="121" t="s">
        <v>17802</v>
      </c>
      <c r="V16" s="1579" t="s">
        <v>17803</v>
      </c>
      <c r="W16" s="1630" t="s">
        <v>17804</v>
      </c>
      <c r="X16" s="76" t="s">
        <v>17805</v>
      </c>
      <c r="Y16" s="1579" t="s">
        <v>17806</v>
      </c>
      <c r="Z16" s="1630" t="s">
        <v>17807</v>
      </c>
      <c r="AA16" s="76" t="s">
        <v>17808</v>
      </c>
      <c r="AB16" s="127" t="s">
        <v>17809</v>
      </c>
      <c r="AC16" s="101"/>
    </row>
    <row r="17" customHeight="1" spans="1:29">
      <c r="A17" s="1585" t="s">
        <v>78</v>
      </c>
      <c r="B17" s="100"/>
      <c r="C17" s="101" t="s">
        <v>17810</v>
      </c>
      <c r="D17" s="102" t="s">
        <v>17811</v>
      </c>
      <c r="E17" s="102" t="s">
        <v>125</v>
      </c>
      <c r="F17" s="102" t="s">
        <v>17420</v>
      </c>
      <c r="G17" s="102" t="s">
        <v>3528</v>
      </c>
      <c r="H17" s="100" t="s">
        <v>17812</v>
      </c>
      <c r="I17" s="106">
        <v>43221</v>
      </c>
      <c r="J17" s="106">
        <v>43404</v>
      </c>
      <c r="K17" s="106"/>
      <c r="L17" s="106"/>
      <c r="M17" s="48">
        <f ca="1" t="shared" si="0"/>
        <v>131.61546296296</v>
      </c>
      <c r="N17" s="49" t="str">
        <f ca="1" t="shared" si="1"/>
        <v>ACTIVE</v>
      </c>
      <c r="O17" s="113">
        <v>4541130</v>
      </c>
      <c r="P17" s="114">
        <v>1000000</v>
      </c>
      <c r="Q17" s="116" t="s">
        <v>0</v>
      </c>
      <c r="R17" s="116" t="s">
        <v>48</v>
      </c>
      <c r="S17" s="116"/>
      <c r="T17" s="116"/>
      <c r="U17" s="121" t="s">
        <v>17813</v>
      </c>
      <c r="V17" s="1579" t="s">
        <v>17814</v>
      </c>
      <c r="W17" s="1630" t="s">
        <v>17815</v>
      </c>
      <c r="X17" s="76" t="s">
        <v>17816</v>
      </c>
      <c r="Y17" s="1579" t="s">
        <v>17817</v>
      </c>
      <c r="Z17" s="76" t="s">
        <v>17818</v>
      </c>
      <c r="AA17" s="76" t="s">
        <v>17819</v>
      </c>
      <c r="AB17" s="128"/>
      <c r="AC17" s="101"/>
    </row>
    <row r="18" customHeight="1" spans="1:29">
      <c r="A18" s="1585" t="s">
        <v>92</v>
      </c>
      <c r="B18" s="100"/>
      <c r="C18" s="101" t="s">
        <v>17820</v>
      </c>
      <c r="D18" s="102" t="s">
        <v>17821</v>
      </c>
      <c r="E18" s="102" t="s">
        <v>43</v>
      </c>
      <c r="F18" s="102" t="s">
        <v>404</v>
      </c>
      <c r="G18" s="102" t="s">
        <v>3528</v>
      </c>
      <c r="H18" s="100" t="s">
        <v>17822</v>
      </c>
      <c r="I18" s="106">
        <v>43221</v>
      </c>
      <c r="J18" s="106">
        <v>43404</v>
      </c>
      <c r="K18" s="106"/>
      <c r="L18" s="106"/>
      <c r="M18" s="48">
        <f ca="1" t="shared" si="0"/>
        <v>131.61546296296</v>
      </c>
      <c r="N18" s="49" t="str">
        <f ca="1" t="shared" si="1"/>
        <v>ACTIVE</v>
      </c>
      <c r="O18" s="113">
        <v>5500000</v>
      </c>
      <c r="P18" s="114">
        <v>1000000</v>
      </c>
      <c r="Q18" s="116" t="s">
        <v>0</v>
      </c>
      <c r="R18" s="116" t="s">
        <v>48</v>
      </c>
      <c r="S18" s="116"/>
      <c r="T18" s="116"/>
      <c r="U18" s="121" t="s">
        <v>17823</v>
      </c>
      <c r="V18" s="1579" t="s">
        <v>17824</v>
      </c>
      <c r="W18" s="1630" t="s">
        <v>17825</v>
      </c>
      <c r="X18" s="76" t="s">
        <v>17826</v>
      </c>
      <c r="Y18" s="1579" t="s">
        <v>17827</v>
      </c>
      <c r="Z18" s="76"/>
      <c r="AA18" s="76" t="s">
        <v>17828</v>
      </c>
      <c r="AB18" s="128"/>
      <c r="AC18" s="101"/>
    </row>
    <row r="19" customHeight="1" spans="1:29">
      <c r="A19" s="1585" t="s">
        <v>107</v>
      </c>
      <c r="B19" s="100"/>
      <c r="C19" s="101" t="s">
        <v>17829</v>
      </c>
      <c r="D19" s="102" t="s">
        <v>17830</v>
      </c>
      <c r="E19" s="102" t="s">
        <v>43</v>
      </c>
      <c r="F19" s="102" t="s">
        <v>60</v>
      </c>
      <c r="G19" s="102" t="s">
        <v>3528</v>
      </c>
      <c r="H19" s="100" t="s">
        <v>17831</v>
      </c>
      <c r="I19" s="106">
        <v>43221</v>
      </c>
      <c r="J19" s="106">
        <v>43404</v>
      </c>
      <c r="K19" s="106"/>
      <c r="L19" s="106"/>
      <c r="M19" s="48">
        <f ca="1" t="shared" ref="M19" si="2">SUM(J19-NOW())</f>
        <v>131.61546296296</v>
      </c>
      <c r="N19" s="49" t="str">
        <f ca="1" t="shared" ref="N19" si="3">IF(M19&lt;=40,"WARNING","ACTIVE")</f>
        <v>ACTIVE</v>
      </c>
      <c r="O19" s="113">
        <v>6000000</v>
      </c>
      <c r="P19" s="114">
        <v>2000000</v>
      </c>
      <c r="Q19" s="116" t="s">
        <v>0</v>
      </c>
      <c r="R19" s="116" t="s">
        <v>48</v>
      </c>
      <c r="S19" s="116"/>
      <c r="T19" s="116"/>
      <c r="U19" s="121" t="s">
        <v>17832</v>
      </c>
      <c r="V19" s="1579" t="s">
        <v>17833</v>
      </c>
      <c r="W19" s="1630" t="s">
        <v>17834</v>
      </c>
      <c r="X19" s="76" t="s">
        <v>17835</v>
      </c>
      <c r="Y19" s="122"/>
      <c r="Z19" s="1630" t="s">
        <v>17836</v>
      </c>
      <c r="AA19" s="76" t="s">
        <v>17837</v>
      </c>
      <c r="AB19" s="127" t="s">
        <v>17838</v>
      </c>
      <c r="AC19" s="101"/>
    </row>
    <row r="20" customHeight="1" spans="1:29">
      <c r="A20" s="1585" t="s">
        <v>121</v>
      </c>
      <c r="B20" s="100"/>
      <c r="C20" s="101" t="s">
        <v>17839</v>
      </c>
      <c r="D20" s="102" t="s">
        <v>17840</v>
      </c>
      <c r="E20" s="102"/>
      <c r="F20" s="102"/>
      <c r="G20" s="102" t="s">
        <v>7019</v>
      </c>
      <c r="H20" s="100" t="s">
        <v>17841</v>
      </c>
      <c r="I20" s="106">
        <v>43221</v>
      </c>
      <c r="J20" s="106">
        <v>43404</v>
      </c>
      <c r="K20" s="106"/>
      <c r="L20" s="106"/>
      <c r="M20" s="48">
        <f ca="1" t="shared" si="0"/>
        <v>131.61546296296</v>
      </c>
      <c r="N20" s="49" t="str">
        <f ca="1" t="shared" si="1"/>
        <v>ACTIVE</v>
      </c>
      <c r="O20" s="113">
        <v>3620000</v>
      </c>
      <c r="P20" s="114">
        <v>2000000</v>
      </c>
      <c r="Q20" s="116" t="s">
        <v>0</v>
      </c>
      <c r="R20" s="116" t="s">
        <v>48</v>
      </c>
      <c r="S20" s="116"/>
      <c r="T20" s="116"/>
      <c r="U20" s="121" t="s">
        <v>17842</v>
      </c>
      <c r="V20" s="1579" t="s">
        <v>17843</v>
      </c>
      <c r="W20" s="76"/>
      <c r="X20" s="76"/>
      <c r="Y20" s="122"/>
      <c r="Z20" s="76"/>
      <c r="AA20" s="76" t="s">
        <v>17844</v>
      </c>
      <c r="AB20" s="128"/>
      <c r="AC20" s="101"/>
    </row>
    <row r="21" customHeight="1" spans="1:29">
      <c r="A21" s="1585" t="s">
        <v>135</v>
      </c>
      <c r="B21" s="100"/>
      <c r="C21" s="101" t="s">
        <v>17845</v>
      </c>
      <c r="D21" s="102" t="s">
        <v>17846</v>
      </c>
      <c r="E21" s="102" t="s">
        <v>43</v>
      </c>
      <c r="F21" s="102" t="s">
        <v>96</v>
      </c>
      <c r="G21" s="102" t="s">
        <v>3528</v>
      </c>
      <c r="H21" s="100" t="s">
        <v>17831</v>
      </c>
      <c r="I21" s="106">
        <v>43221</v>
      </c>
      <c r="J21" s="106">
        <v>43404</v>
      </c>
      <c r="K21" s="106"/>
      <c r="L21" s="106"/>
      <c r="M21" s="48">
        <f ca="1" t="shared" ref="M21" si="4">SUM(J21-NOW())</f>
        <v>131.61546296296</v>
      </c>
      <c r="N21" s="49" t="str">
        <f ca="1" t="shared" ref="N21" si="5">IF(M21&lt;=40,"WARNING","ACTIVE")</f>
        <v>ACTIVE</v>
      </c>
      <c r="O21" s="113">
        <v>6000000</v>
      </c>
      <c r="P21" s="114">
        <v>2000000</v>
      </c>
      <c r="Q21" s="116" t="s">
        <v>0</v>
      </c>
      <c r="R21" s="116" t="s">
        <v>48</v>
      </c>
      <c r="S21" s="116"/>
      <c r="T21" s="116"/>
      <c r="U21" s="121" t="s">
        <v>17832</v>
      </c>
      <c r="V21" s="1579" t="s">
        <v>17847</v>
      </c>
      <c r="W21" s="1630" t="s">
        <v>17848</v>
      </c>
      <c r="X21" s="76"/>
      <c r="Y21" s="122"/>
      <c r="Z21" s="76"/>
      <c r="AA21" s="76" t="s">
        <v>17849</v>
      </c>
      <c r="AB21" s="128"/>
      <c r="AC21" s="101"/>
    </row>
    <row r="22" customHeight="1" spans="1:29">
      <c r="A22" s="1585" t="s">
        <v>146</v>
      </c>
      <c r="B22" s="100"/>
      <c r="C22" s="101" t="s">
        <v>17850</v>
      </c>
      <c r="D22" s="102" t="s">
        <v>17851</v>
      </c>
      <c r="E22" s="102" t="s">
        <v>43</v>
      </c>
      <c r="F22" s="102" t="s">
        <v>44</v>
      </c>
      <c r="G22" s="102" t="s">
        <v>3528</v>
      </c>
      <c r="H22" s="100" t="s">
        <v>17791</v>
      </c>
      <c r="I22" s="106">
        <v>43221</v>
      </c>
      <c r="J22" s="106">
        <v>43404</v>
      </c>
      <c r="K22" s="106"/>
      <c r="L22" s="106"/>
      <c r="M22" s="48">
        <f ca="1" t="shared" si="0"/>
        <v>131.61546296296</v>
      </c>
      <c r="N22" s="49" t="str">
        <f ca="1" t="shared" si="1"/>
        <v>ACTIVE</v>
      </c>
      <c r="O22" s="113">
        <v>4500000</v>
      </c>
      <c r="P22" s="114">
        <v>1300000</v>
      </c>
      <c r="Q22" s="116" t="s">
        <v>0</v>
      </c>
      <c r="R22" s="116" t="s">
        <v>48</v>
      </c>
      <c r="S22" s="116"/>
      <c r="T22" s="116"/>
      <c r="U22" s="121" t="s">
        <v>17852</v>
      </c>
      <c r="V22" s="1579" t="s">
        <v>17853</v>
      </c>
      <c r="W22" s="1630" t="s">
        <v>17854</v>
      </c>
      <c r="X22" s="76" t="s">
        <v>17855</v>
      </c>
      <c r="Y22" s="122"/>
      <c r="Z22" s="1630" t="s">
        <v>17856</v>
      </c>
      <c r="AA22" s="76" t="s">
        <v>17857</v>
      </c>
      <c r="AB22" s="128"/>
      <c r="AC22" s="101"/>
    </row>
    <row r="23" customHeight="1" spans="1:29">
      <c r="A23" s="1585" t="s">
        <v>157</v>
      </c>
      <c r="B23" s="100"/>
      <c r="C23" s="101" t="s">
        <v>17858</v>
      </c>
      <c r="D23" s="102" t="s">
        <v>17859</v>
      </c>
      <c r="E23" s="102" t="s">
        <v>43</v>
      </c>
      <c r="F23" s="102" t="s">
        <v>254</v>
      </c>
      <c r="G23" s="102" t="s">
        <v>3528</v>
      </c>
      <c r="H23" s="100" t="s">
        <v>17860</v>
      </c>
      <c r="I23" s="106">
        <v>43221</v>
      </c>
      <c r="J23" s="106">
        <v>43404</v>
      </c>
      <c r="K23" s="106"/>
      <c r="L23" s="106"/>
      <c r="M23" s="48">
        <f ca="1" t="shared" si="0"/>
        <v>131.61546296296</v>
      </c>
      <c r="N23" s="49" t="str">
        <f ca="1" t="shared" si="1"/>
        <v>ACTIVE</v>
      </c>
      <c r="O23" s="113">
        <v>10000000</v>
      </c>
      <c r="P23" s="114">
        <v>2000000</v>
      </c>
      <c r="Q23" s="116" t="s">
        <v>0</v>
      </c>
      <c r="R23" s="116" t="s">
        <v>48</v>
      </c>
      <c r="S23" s="116"/>
      <c r="T23" s="116"/>
      <c r="U23" s="121" t="s">
        <v>17861</v>
      </c>
      <c r="V23" s="1579" t="s">
        <v>17862</v>
      </c>
      <c r="W23" s="1630" t="s">
        <v>17863</v>
      </c>
      <c r="X23" s="76" t="s">
        <v>17864</v>
      </c>
      <c r="Y23" s="122"/>
      <c r="Z23" s="1630" t="s">
        <v>17865</v>
      </c>
      <c r="AA23" s="76" t="s">
        <v>17866</v>
      </c>
      <c r="AB23" s="127" t="s">
        <v>17867</v>
      </c>
      <c r="AC23" s="101"/>
    </row>
    <row r="24" customHeight="1" spans="1:29">
      <c r="A24" s="1585" t="s">
        <v>168</v>
      </c>
      <c r="B24" s="100"/>
      <c r="C24" s="101" t="s">
        <v>17868</v>
      </c>
      <c r="D24" s="102" t="s">
        <v>17869</v>
      </c>
      <c r="E24" s="102" t="s">
        <v>43</v>
      </c>
      <c r="F24" s="102" t="s">
        <v>254</v>
      </c>
      <c r="G24" s="102" t="s">
        <v>3528</v>
      </c>
      <c r="H24" s="100" t="s">
        <v>8171</v>
      </c>
      <c r="I24" s="106">
        <v>43221</v>
      </c>
      <c r="J24" s="106">
        <v>43404</v>
      </c>
      <c r="K24" s="106"/>
      <c r="L24" s="106"/>
      <c r="M24" s="48">
        <f ca="1" t="shared" si="0"/>
        <v>131.61546296296</v>
      </c>
      <c r="N24" s="49" t="str">
        <f ca="1" t="shared" si="1"/>
        <v>ACTIVE</v>
      </c>
      <c r="O24" s="113">
        <v>14000000</v>
      </c>
      <c r="P24" s="114">
        <v>2000000</v>
      </c>
      <c r="Q24" s="116" t="s">
        <v>0</v>
      </c>
      <c r="R24" s="116" t="s">
        <v>48</v>
      </c>
      <c r="S24" s="116"/>
      <c r="T24" s="116"/>
      <c r="U24" s="121" t="s">
        <v>17870</v>
      </c>
      <c r="V24" s="1579" t="s">
        <v>17871</v>
      </c>
      <c r="W24" s="1630" t="s">
        <v>17872</v>
      </c>
      <c r="X24" s="76" t="s">
        <v>17873</v>
      </c>
      <c r="Y24" s="1579" t="s">
        <v>17874</v>
      </c>
      <c r="Z24" s="1630" t="s">
        <v>17875</v>
      </c>
      <c r="AA24" s="76" t="s">
        <v>17876</v>
      </c>
      <c r="AB24" s="127" t="s">
        <v>17877</v>
      </c>
      <c r="AC24" s="101"/>
    </row>
    <row r="25" customHeight="1" spans="1:29">
      <c r="A25" s="1585" t="s">
        <v>181</v>
      </c>
      <c r="B25" s="100"/>
      <c r="C25" s="101" t="s">
        <v>17878</v>
      </c>
      <c r="D25" s="102" t="s">
        <v>17879</v>
      </c>
      <c r="E25" s="102" t="s">
        <v>43</v>
      </c>
      <c r="F25" s="102" t="s">
        <v>96</v>
      </c>
      <c r="G25" s="102" t="s">
        <v>3528</v>
      </c>
      <c r="H25" s="100" t="s">
        <v>17880</v>
      </c>
      <c r="I25" s="106">
        <v>43221</v>
      </c>
      <c r="J25" s="106">
        <v>43404</v>
      </c>
      <c r="K25" s="106"/>
      <c r="L25" s="106"/>
      <c r="M25" s="48">
        <f ca="1" t="shared" si="0"/>
        <v>131.61546296296</v>
      </c>
      <c r="N25" s="49" t="str">
        <f ca="1" t="shared" si="1"/>
        <v>ACTIVE</v>
      </c>
      <c r="O25" s="113">
        <v>4000000</v>
      </c>
      <c r="P25" s="114">
        <v>1000000</v>
      </c>
      <c r="Q25" s="116" t="s">
        <v>0</v>
      </c>
      <c r="R25" s="116" t="s">
        <v>48</v>
      </c>
      <c r="S25" s="116"/>
      <c r="T25" s="116"/>
      <c r="U25" s="121" t="s">
        <v>17881</v>
      </c>
      <c r="V25" s="1579" t="s">
        <v>17882</v>
      </c>
      <c r="W25" s="1630" t="s">
        <v>17883</v>
      </c>
      <c r="X25" s="76" t="s">
        <v>17884</v>
      </c>
      <c r="Y25" s="122"/>
      <c r="Z25" s="76"/>
      <c r="AA25" s="76" t="s">
        <v>17885</v>
      </c>
      <c r="AB25" s="127" t="s">
        <v>17886</v>
      </c>
      <c r="AC25" s="101"/>
    </row>
    <row r="26" customHeight="1" spans="1:29">
      <c r="A26" s="1585" t="s">
        <v>194</v>
      </c>
      <c r="B26" s="100"/>
      <c r="C26" s="101" t="s">
        <v>17887</v>
      </c>
      <c r="D26" s="102" t="s">
        <v>17888</v>
      </c>
      <c r="E26" s="102" t="s">
        <v>43</v>
      </c>
      <c r="F26" s="102" t="s">
        <v>254</v>
      </c>
      <c r="G26" s="102" t="s">
        <v>7019</v>
      </c>
      <c r="H26" s="100" t="s">
        <v>17889</v>
      </c>
      <c r="I26" s="106">
        <v>43221</v>
      </c>
      <c r="J26" s="106">
        <v>43404</v>
      </c>
      <c r="K26" s="106"/>
      <c r="L26" s="106"/>
      <c r="M26" s="48">
        <f ca="1" t="shared" si="0"/>
        <v>131.61546296296</v>
      </c>
      <c r="N26" s="49" t="str">
        <f ca="1" t="shared" si="1"/>
        <v>ACTIVE</v>
      </c>
      <c r="O26" s="113">
        <v>6100000</v>
      </c>
      <c r="P26" s="114">
        <v>1000000</v>
      </c>
      <c r="Q26" s="116" t="s">
        <v>0</v>
      </c>
      <c r="R26" s="116" t="s">
        <v>48</v>
      </c>
      <c r="S26" s="116"/>
      <c r="T26" s="116"/>
      <c r="U26" s="121" t="s">
        <v>17890</v>
      </c>
      <c r="V26" s="1579" t="s">
        <v>17891</v>
      </c>
      <c r="W26" s="1630" t="s">
        <v>17892</v>
      </c>
      <c r="X26" s="1630" t="s">
        <v>583</v>
      </c>
      <c r="Y26" s="122"/>
      <c r="Z26" s="1630" t="s">
        <v>17893</v>
      </c>
      <c r="AA26" s="76" t="s">
        <v>17894</v>
      </c>
      <c r="AB26" s="128"/>
      <c r="AC26" s="101"/>
    </row>
    <row r="27" customHeight="1" spans="1:29">
      <c r="A27" s="1585" t="s">
        <v>204</v>
      </c>
      <c r="B27" s="100"/>
      <c r="C27" s="101" t="s">
        <v>17895</v>
      </c>
      <c r="D27" s="102" t="s">
        <v>17896</v>
      </c>
      <c r="E27" s="102" t="s">
        <v>43</v>
      </c>
      <c r="F27" s="102" t="s">
        <v>96</v>
      </c>
      <c r="G27" s="102" t="s">
        <v>1300</v>
      </c>
      <c r="H27" s="100" t="s">
        <v>17897</v>
      </c>
      <c r="I27" s="106">
        <v>43221</v>
      </c>
      <c r="J27" s="106">
        <v>43404</v>
      </c>
      <c r="K27" s="106"/>
      <c r="L27" s="106"/>
      <c r="M27" s="48">
        <f ca="1" t="shared" si="0"/>
        <v>131.61546296296</v>
      </c>
      <c r="N27" s="49" t="str">
        <f ca="1" t="shared" si="1"/>
        <v>ACTIVE</v>
      </c>
      <c r="O27" s="113">
        <v>4200000</v>
      </c>
      <c r="P27" s="114" t="s">
        <v>583</v>
      </c>
      <c r="Q27" s="116" t="s">
        <v>0</v>
      </c>
      <c r="R27" s="116" t="s">
        <v>48</v>
      </c>
      <c r="S27" s="116"/>
      <c r="T27" s="116"/>
      <c r="U27" s="121" t="s">
        <v>17898</v>
      </c>
      <c r="V27" s="1579" t="s">
        <v>17899</v>
      </c>
      <c r="W27" s="1630" t="s">
        <v>17900</v>
      </c>
      <c r="X27" s="76" t="s">
        <v>17901</v>
      </c>
      <c r="Y27" s="122"/>
      <c r="Z27" s="76"/>
      <c r="AA27" s="76" t="s">
        <v>17902</v>
      </c>
      <c r="AB27" s="127" t="s">
        <v>17903</v>
      </c>
      <c r="AC27" s="101"/>
    </row>
    <row r="28" customHeight="1" spans="1:29">
      <c r="A28" s="1585" t="s">
        <v>215</v>
      </c>
      <c r="B28" s="100"/>
      <c r="C28" s="101" t="s">
        <v>17904</v>
      </c>
      <c r="D28" s="102" t="s">
        <v>17905</v>
      </c>
      <c r="E28" s="102" t="s">
        <v>125</v>
      </c>
      <c r="F28" s="102" t="s">
        <v>44</v>
      </c>
      <c r="G28" s="102" t="s">
        <v>3528</v>
      </c>
      <c r="H28" s="100" t="s">
        <v>17801</v>
      </c>
      <c r="I28" s="106">
        <v>43221</v>
      </c>
      <c r="J28" s="106">
        <v>43404</v>
      </c>
      <c r="K28" s="106"/>
      <c r="L28" s="106"/>
      <c r="M28" s="48">
        <f ca="1" t="shared" si="0"/>
        <v>131.61546296296</v>
      </c>
      <c r="N28" s="49" t="str">
        <f ca="1" t="shared" si="1"/>
        <v>ACTIVE</v>
      </c>
      <c r="O28" s="113">
        <v>12000000</v>
      </c>
      <c r="P28" s="114">
        <v>3000000</v>
      </c>
      <c r="Q28" s="116" t="s">
        <v>0</v>
      </c>
      <c r="R28" s="116" t="s">
        <v>48</v>
      </c>
      <c r="S28" s="116"/>
      <c r="T28" s="116"/>
      <c r="U28" s="121" t="s">
        <v>17906</v>
      </c>
      <c r="V28" s="1579" t="s">
        <v>17907</v>
      </c>
      <c r="W28" s="1630" t="s">
        <v>17908</v>
      </c>
      <c r="X28" s="76" t="s">
        <v>17909</v>
      </c>
      <c r="Y28" s="1579" t="s">
        <v>17910</v>
      </c>
      <c r="Z28" s="1630" t="s">
        <v>17911</v>
      </c>
      <c r="AA28" s="76" t="s">
        <v>17912</v>
      </c>
      <c r="AB28" s="128" t="s">
        <v>17913</v>
      </c>
      <c r="AC28" s="101"/>
    </row>
    <row r="29" customHeight="1" spans="1:29">
      <c r="A29" s="1585" t="s">
        <v>229</v>
      </c>
      <c r="B29" s="100"/>
      <c r="C29" s="101" t="s">
        <v>17914</v>
      </c>
      <c r="D29" s="102" t="s">
        <v>17915</v>
      </c>
      <c r="E29" s="102" t="s">
        <v>43</v>
      </c>
      <c r="F29" s="102" t="s">
        <v>880</v>
      </c>
      <c r="G29" s="102" t="s">
        <v>1300</v>
      </c>
      <c r="H29" s="100" t="s">
        <v>17897</v>
      </c>
      <c r="I29" s="106">
        <v>43221</v>
      </c>
      <c r="J29" s="106">
        <v>43404</v>
      </c>
      <c r="K29" s="106"/>
      <c r="L29" s="106"/>
      <c r="M29" s="48">
        <f ca="1" t="shared" si="0"/>
        <v>131.61546296296</v>
      </c>
      <c r="N29" s="49" t="str">
        <f ca="1" t="shared" si="1"/>
        <v>ACTIVE</v>
      </c>
      <c r="O29" s="113">
        <v>4200000</v>
      </c>
      <c r="P29" s="114" t="s">
        <v>583</v>
      </c>
      <c r="Q29" s="116" t="s">
        <v>0</v>
      </c>
      <c r="R29" s="116" t="s">
        <v>48</v>
      </c>
      <c r="S29" s="116"/>
      <c r="T29" s="116"/>
      <c r="U29" s="121" t="s">
        <v>17916</v>
      </c>
      <c r="V29" s="1579" t="s">
        <v>17917</v>
      </c>
      <c r="W29" s="1630" t="s">
        <v>17918</v>
      </c>
      <c r="X29" s="76" t="s">
        <v>17919</v>
      </c>
      <c r="Y29" s="122"/>
      <c r="Z29" s="76"/>
      <c r="AA29" s="76" t="s">
        <v>17920</v>
      </c>
      <c r="AB29" s="128"/>
      <c r="AC29" s="101"/>
    </row>
    <row r="30" customHeight="1" spans="1:29">
      <c r="A30" s="1585" t="s">
        <v>239</v>
      </c>
      <c r="B30" s="100"/>
      <c r="C30" s="101" t="s">
        <v>17921</v>
      </c>
      <c r="D30" s="102" t="s">
        <v>17922</v>
      </c>
      <c r="E30" s="102" t="s">
        <v>43</v>
      </c>
      <c r="F30" s="102" t="s">
        <v>60</v>
      </c>
      <c r="G30" s="102" t="s">
        <v>3528</v>
      </c>
      <c r="H30" s="100" t="s">
        <v>17781</v>
      </c>
      <c r="I30" s="106">
        <v>43221</v>
      </c>
      <c r="J30" s="106">
        <v>43404</v>
      </c>
      <c r="K30" s="106"/>
      <c r="L30" s="106"/>
      <c r="M30" s="48">
        <f ca="1" t="shared" si="0"/>
        <v>131.61546296296</v>
      </c>
      <c r="N30" s="49" t="str">
        <f ca="1" t="shared" si="1"/>
        <v>ACTIVE</v>
      </c>
      <c r="O30" s="113">
        <v>6000000</v>
      </c>
      <c r="P30" s="114">
        <v>1000000</v>
      </c>
      <c r="Q30" s="116" t="s">
        <v>0</v>
      </c>
      <c r="R30" s="116" t="s">
        <v>48</v>
      </c>
      <c r="S30" s="116"/>
      <c r="T30" s="116"/>
      <c r="U30" s="121" t="s">
        <v>17923</v>
      </c>
      <c r="V30" s="1579" t="s">
        <v>17924</v>
      </c>
      <c r="W30" s="1579" t="s">
        <v>17925</v>
      </c>
      <c r="X30" s="76" t="s">
        <v>17926</v>
      </c>
      <c r="Y30" s="1579" t="s">
        <v>17927</v>
      </c>
      <c r="Z30" s="1630" t="s">
        <v>17928</v>
      </c>
      <c r="AA30" s="76" t="s">
        <v>17929</v>
      </c>
      <c r="AB30" s="127" t="s">
        <v>17930</v>
      </c>
      <c r="AC30" s="101"/>
    </row>
    <row r="31" customHeight="1" spans="1:29">
      <c r="A31" s="1585" t="s">
        <v>250</v>
      </c>
      <c r="B31" s="100"/>
      <c r="C31" s="101" t="s">
        <v>17931</v>
      </c>
      <c r="D31" s="102" t="s">
        <v>17932</v>
      </c>
      <c r="E31" s="102" t="s">
        <v>43</v>
      </c>
      <c r="F31" s="102" t="s">
        <v>43</v>
      </c>
      <c r="G31" s="102" t="s">
        <v>3528</v>
      </c>
      <c r="H31" s="100" t="s">
        <v>17933</v>
      </c>
      <c r="I31" s="106">
        <v>43221</v>
      </c>
      <c r="J31" s="106">
        <v>43404</v>
      </c>
      <c r="K31" s="106"/>
      <c r="L31" s="106"/>
      <c r="M31" s="48">
        <f ca="1" t="shared" si="0"/>
        <v>131.61546296296</v>
      </c>
      <c r="N31" s="49" t="str">
        <f ca="1" t="shared" si="1"/>
        <v>ACTIVE</v>
      </c>
      <c r="O31" s="113">
        <v>3738035</v>
      </c>
      <c r="P31" s="114">
        <v>1000000</v>
      </c>
      <c r="Q31" s="116" t="s">
        <v>0</v>
      </c>
      <c r="R31" s="116" t="s">
        <v>48</v>
      </c>
      <c r="S31" s="116"/>
      <c r="T31" s="116"/>
      <c r="U31" s="121" t="s">
        <v>17934</v>
      </c>
      <c r="V31" s="1579" t="s">
        <v>17935</v>
      </c>
      <c r="W31" s="1630" t="s">
        <v>17936</v>
      </c>
      <c r="X31" s="76" t="s">
        <v>17937</v>
      </c>
      <c r="Y31" s="1579" t="s">
        <v>17938</v>
      </c>
      <c r="Z31" s="76"/>
      <c r="AA31" s="76" t="s">
        <v>17939</v>
      </c>
      <c r="AB31" s="127" t="s">
        <v>17940</v>
      </c>
      <c r="AC31" s="101"/>
    </row>
    <row r="32" customHeight="1" spans="1:29">
      <c r="A32" s="1585" t="s">
        <v>261</v>
      </c>
      <c r="B32" s="100"/>
      <c r="C32" s="101" t="s">
        <v>17941</v>
      </c>
      <c r="D32" s="102" t="s">
        <v>17942</v>
      </c>
      <c r="E32" s="102" t="s">
        <v>43</v>
      </c>
      <c r="F32" s="102" t="s">
        <v>44</v>
      </c>
      <c r="G32" s="102" t="s">
        <v>7019</v>
      </c>
      <c r="H32" s="100" t="s">
        <v>11312</v>
      </c>
      <c r="I32" s="106">
        <v>43221</v>
      </c>
      <c r="J32" s="106">
        <v>43404</v>
      </c>
      <c r="K32" s="106"/>
      <c r="L32" s="106"/>
      <c r="M32" s="48">
        <f ca="1" t="shared" si="0"/>
        <v>131.61546296296</v>
      </c>
      <c r="N32" s="49" t="str">
        <f ca="1" t="shared" si="1"/>
        <v>ACTIVE</v>
      </c>
      <c r="O32" s="113">
        <v>7000000</v>
      </c>
      <c r="P32" s="114" t="s">
        <v>583</v>
      </c>
      <c r="Q32" s="116" t="s">
        <v>0</v>
      </c>
      <c r="R32" s="116" t="s">
        <v>48</v>
      </c>
      <c r="S32" s="116"/>
      <c r="T32" s="116"/>
      <c r="U32" s="121" t="s">
        <v>17943</v>
      </c>
      <c r="V32" s="1579" t="s">
        <v>17944</v>
      </c>
      <c r="W32" s="1630" t="s">
        <v>17945</v>
      </c>
      <c r="X32" s="76" t="s">
        <v>17946</v>
      </c>
      <c r="Y32" s="122"/>
      <c r="Z32" s="76"/>
      <c r="AA32" s="76" t="s">
        <v>17947</v>
      </c>
      <c r="AB32" s="127" t="s">
        <v>17948</v>
      </c>
      <c r="AC32" s="101"/>
    </row>
    <row r="33" customHeight="1" spans="1:29">
      <c r="A33" s="1585" t="s">
        <v>272</v>
      </c>
      <c r="B33" s="100"/>
      <c r="C33" s="101" t="s">
        <v>17949</v>
      </c>
      <c r="D33" s="102" t="s">
        <v>17950</v>
      </c>
      <c r="E33" s="102" t="s">
        <v>43</v>
      </c>
      <c r="F33" s="102" t="s">
        <v>44</v>
      </c>
      <c r="G33" s="102" t="s">
        <v>3528</v>
      </c>
      <c r="H33" s="100" t="s">
        <v>17951</v>
      </c>
      <c r="I33" s="106">
        <v>43221</v>
      </c>
      <c r="J33" s="106">
        <v>43404</v>
      </c>
      <c r="K33" s="106"/>
      <c r="L33" s="106"/>
      <c r="M33" s="48">
        <f ca="1" t="shared" si="0"/>
        <v>131.61546296296</v>
      </c>
      <c r="N33" s="49" t="str">
        <f ca="1" t="shared" si="1"/>
        <v>ACTIVE</v>
      </c>
      <c r="O33" s="113">
        <v>3700000</v>
      </c>
      <c r="P33" s="114">
        <v>1000000</v>
      </c>
      <c r="Q33" s="116" t="s">
        <v>0</v>
      </c>
      <c r="R33" s="116" t="s">
        <v>48</v>
      </c>
      <c r="S33" s="116"/>
      <c r="T33" s="116"/>
      <c r="U33" s="121" t="s">
        <v>17952</v>
      </c>
      <c r="V33" s="1579" t="s">
        <v>17953</v>
      </c>
      <c r="W33" s="1630" t="s">
        <v>17954</v>
      </c>
      <c r="X33" s="1630" t="s">
        <v>17955</v>
      </c>
      <c r="Y33" s="122"/>
      <c r="Z33" s="76"/>
      <c r="AA33" s="76" t="s">
        <v>17956</v>
      </c>
      <c r="AB33" s="127" t="s">
        <v>17957</v>
      </c>
      <c r="AC33" s="101"/>
    </row>
    <row r="34" customHeight="1" spans="1:29">
      <c r="A34" s="1585" t="s">
        <v>286</v>
      </c>
      <c r="B34" s="100"/>
      <c r="C34" s="101" t="s">
        <v>17958</v>
      </c>
      <c r="D34" s="102" t="s">
        <v>17959</v>
      </c>
      <c r="E34" s="102" t="s">
        <v>43</v>
      </c>
      <c r="F34" s="102" t="s">
        <v>254</v>
      </c>
      <c r="G34" s="102" t="s">
        <v>3528</v>
      </c>
      <c r="H34" s="100" t="s">
        <v>17960</v>
      </c>
      <c r="I34" s="106">
        <v>43221</v>
      </c>
      <c r="J34" s="106">
        <v>43404</v>
      </c>
      <c r="K34" s="106"/>
      <c r="L34" s="106"/>
      <c r="M34" s="48">
        <f ca="1" t="shared" si="0"/>
        <v>131.61546296296</v>
      </c>
      <c r="N34" s="49" t="str">
        <f ca="1" t="shared" si="1"/>
        <v>ACTIVE</v>
      </c>
      <c r="O34" s="113">
        <v>12000000</v>
      </c>
      <c r="P34" s="114">
        <v>3000000</v>
      </c>
      <c r="Q34" s="116" t="s">
        <v>0</v>
      </c>
      <c r="R34" s="116" t="s">
        <v>48</v>
      </c>
      <c r="S34" s="116"/>
      <c r="T34" s="116"/>
      <c r="U34" s="121" t="s">
        <v>17961</v>
      </c>
      <c r="V34" s="1579" t="s">
        <v>17962</v>
      </c>
      <c r="W34" s="1630" t="s">
        <v>17963</v>
      </c>
      <c r="X34" s="76" t="s">
        <v>17964</v>
      </c>
      <c r="Y34" s="122"/>
      <c r="Z34" s="76"/>
      <c r="AA34" s="76" t="s">
        <v>17965</v>
      </c>
      <c r="AB34" s="127" t="s">
        <v>17966</v>
      </c>
      <c r="AC34" s="101"/>
    </row>
    <row r="35" customHeight="1" spans="1:29">
      <c r="A35" s="1585" t="s">
        <v>296</v>
      </c>
      <c r="B35" s="100"/>
      <c r="C35" s="101" t="s">
        <v>17967</v>
      </c>
      <c r="D35" s="102" t="s">
        <v>17968</v>
      </c>
      <c r="E35" s="102" t="s">
        <v>43</v>
      </c>
      <c r="F35" s="102" t="s">
        <v>404</v>
      </c>
      <c r="G35" s="102" t="s">
        <v>3528</v>
      </c>
      <c r="H35" s="100" t="s">
        <v>17812</v>
      </c>
      <c r="I35" s="106">
        <v>43221</v>
      </c>
      <c r="J35" s="106">
        <v>43404</v>
      </c>
      <c r="K35" s="106"/>
      <c r="L35" s="106"/>
      <c r="M35" s="48">
        <f ca="1" t="shared" si="0"/>
        <v>131.61546296296</v>
      </c>
      <c r="N35" s="49" t="str">
        <f ca="1" t="shared" si="1"/>
        <v>ACTIVE</v>
      </c>
      <c r="O35" s="113">
        <v>5258757</v>
      </c>
      <c r="P35" s="114">
        <v>1000000</v>
      </c>
      <c r="Q35" s="116" t="s">
        <v>0</v>
      </c>
      <c r="R35" s="116" t="s">
        <v>48</v>
      </c>
      <c r="S35" s="116"/>
      <c r="T35" s="116"/>
      <c r="U35" s="121" t="s">
        <v>17969</v>
      </c>
      <c r="V35" s="1579" t="s">
        <v>17970</v>
      </c>
      <c r="W35" s="1630" t="s">
        <v>17971</v>
      </c>
      <c r="X35" s="76" t="s">
        <v>17972</v>
      </c>
      <c r="Y35" s="122"/>
      <c r="Z35" s="76"/>
      <c r="AA35" s="76" t="s">
        <v>17973</v>
      </c>
      <c r="AB35" s="127" t="s">
        <v>17974</v>
      </c>
      <c r="AC35" s="101"/>
    </row>
    <row r="36" customHeight="1" spans="1:29">
      <c r="A36" s="1585" t="s">
        <v>308</v>
      </c>
      <c r="B36" s="100"/>
      <c r="C36" s="101" t="s">
        <v>17975</v>
      </c>
      <c r="D36" s="102" t="s">
        <v>17976</v>
      </c>
      <c r="E36" s="102" t="s">
        <v>43</v>
      </c>
      <c r="F36" s="102" t="s">
        <v>44</v>
      </c>
      <c r="G36" s="102" t="s">
        <v>3528</v>
      </c>
      <c r="H36" s="100" t="s">
        <v>17977</v>
      </c>
      <c r="I36" s="106">
        <v>43221</v>
      </c>
      <c r="J36" s="106">
        <v>43404</v>
      </c>
      <c r="K36" s="106"/>
      <c r="L36" s="106"/>
      <c r="M36" s="48">
        <f ca="1" t="shared" si="0"/>
        <v>131.61546296296</v>
      </c>
      <c r="N36" s="49" t="str">
        <f ca="1" t="shared" si="1"/>
        <v>ACTIVE</v>
      </c>
      <c r="O36" s="113">
        <v>3500000</v>
      </c>
      <c r="P36" s="114">
        <v>1000000</v>
      </c>
      <c r="Q36" s="116" t="s">
        <v>0</v>
      </c>
      <c r="R36" s="116" t="s">
        <v>48</v>
      </c>
      <c r="S36" s="116"/>
      <c r="T36" s="116"/>
      <c r="U36" s="121" t="s">
        <v>17978</v>
      </c>
      <c r="V36" s="1579" t="s">
        <v>17979</v>
      </c>
      <c r="W36" s="1630" t="s">
        <v>17980</v>
      </c>
      <c r="X36" s="76" t="s">
        <v>17981</v>
      </c>
      <c r="Y36" s="122"/>
      <c r="Z36" s="76"/>
      <c r="AA36" s="76" t="s">
        <v>17982</v>
      </c>
      <c r="AB36" s="127" t="s">
        <v>17983</v>
      </c>
      <c r="AC36" s="101"/>
    </row>
    <row r="37" customHeight="1" spans="1:29">
      <c r="A37" s="1585" t="s">
        <v>320</v>
      </c>
      <c r="B37" s="100"/>
      <c r="C37" s="101" t="s">
        <v>8968</v>
      </c>
      <c r="D37" s="102" t="s">
        <v>17984</v>
      </c>
      <c r="E37" s="102" t="s">
        <v>43</v>
      </c>
      <c r="F37" s="102" t="s">
        <v>254</v>
      </c>
      <c r="G37" s="102" t="s">
        <v>3528</v>
      </c>
      <c r="H37" s="100" t="s">
        <v>17985</v>
      </c>
      <c r="I37" s="106">
        <v>43221</v>
      </c>
      <c r="J37" s="106">
        <v>43404</v>
      </c>
      <c r="K37" s="106"/>
      <c r="L37" s="106"/>
      <c r="M37" s="48">
        <f ca="1" t="shared" si="0"/>
        <v>131.61546296296</v>
      </c>
      <c r="N37" s="49" t="str">
        <f ca="1" t="shared" si="1"/>
        <v>ACTIVE</v>
      </c>
      <c r="O37" s="113">
        <v>12000000</v>
      </c>
      <c r="P37" s="114" t="s">
        <v>583</v>
      </c>
      <c r="Q37" s="116" t="s">
        <v>0</v>
      </c>
      <c r="R37" s="116" t="s">
        <v>48</v>
      </c>
      <c r="S37" s="116"/>
      <c r="T37" s="116"/>
      <c r="U37" s="121" t="s">
        <v>17986</v>
      </c>
      <c r="V37" s="1579" t="s">
        <v>17987</v>
      </c>
      <c r="W37" s="1630" t="s">
        <v>17988</v>
      </c>
      <c r="X37" s="76" t="s">
        <v>17937</v>
      </c>
      <c r="Y37" s="122"/>
      <c r="Z37" s="76"/>
      <c r="AA37" s="76" t="s">
        <v>17989</v>
      </c>
      <c r="AB37" s="127" t="s">
        <v>17990</v>
      </c>
      <c r="AC37" s="101"/>
    </row>
    <row r="38" customHeight="1" spans="1:29">
      <c r="A38" s="1585" t="s">
        <v>333</v>
      </c>
      <c r="B38" s="100"/>
      <c r="C38" s="101" t="s">
        <v>17991</v>
      </c>
      <c r="D38" s="102" t="s">
        <v>17992</v>
      </c>
      <c r="E38" s="102" t="s">
        <v>43</v>
      </c>
      <c r="F38" s="102" t="s">
        <v>43</v>
      </c>
      <c r="G38" s="102" t="s">
        <v>3528</v>
      </c>
      <c r="H38" s="100" t="s">
        <v>1533</v>
      </c>
      <c r="I38" s="106">
        <v>43221</v>
      </c>
      <c r="J38" s="106">
        <v>43404</v>
      </c>
      <c r="K38" s="106"/>
      <c r="L38" s="106"/>
      <c r="M38" s="48">
        <f ca="1" t="shared" si="0"/>
        <v>131.61546296296</v>
      </c>
      <c r="N38" s="49" t="str">
        <f ca="1" t="shared" si="1"/>
        <v>ACTIVE</v>
      </c>
      <c r="O38" s="113">
        <v>4355750</v>
      </c>
      <c r="P38" s="114" t="s">
        <v>583</v>
      </c>
      <c r="Q38" s="116" t="s">
        <v>0</v>
      </c>
      <c r="R38" s="116" t="s">
        <v>48</v>
      </c>
      <c r="S38" s="116"/>
      <c r="T38" s="116"/>
      <c r="U38" s="121" t="s">
        <v>17993</v>
      </c>
      <c r="V38" s="1579" t="s">
        <v>17994</v>
      </c>
      <c r="W38" s="76"/>
      <c r="X38" s="76"/>
      <c r="Y38" s="122"/>
      <c r="Z38" s="76"/>
      <c r="AA38" s="76" t="s">
        <v>17995</v>
      </c>
      <c r="AB38" s="127" t="s">
        <v>17996</v>
      </c>
      <c r="AC38" s="101"/>
    </row>
    <row r="39" customHeight="1" spans="1:29">
      <c r="A39" s="1585" t="s">
        <v>346</v>
      </c>
      <c r="B39" s="100"/>
      <c r="C39" s="101" t="s">
        <v>17997</v>
      </c>
      <c r="D39" s="102" t="s">
        <v>17998</v>
      </c>
      <c r="E39" s="102" t="s">
        <v>43</v>
      </c>
      <c r="F39" s="102" t="s">
        <v>96</v>
      </c>
      <c r="G39" s="102" t="s">
        <v>7019</v>
      </c>
      <c r="H39" s="100" t="s">
        <v>17889</v>
      </c>
      <c r="I39" s="106">
        <v>43221</v>
      </c>
      <c r="J39" s="106">
        <v>43404</v>
      </c>
      <c r="K39" s="106"/>
      <c r="L39" s="106"/>
      <c r="M39" s="48">
        <f ca="1" t="shared" si="0"/>
        <v>131.61546296296</v>
      </c>
      <c r="N39" s="49" t="str">
        <f ca="1" t="shared" si="1"/>
        <v>ACTIVE</v>
      </c>
      <c r="O39" s="113">
        <v>6100000</v>
      </c>
      <c r="P39" s="114">
        <v>1000000</v>
      </c>
      <c r="Q39" s="116" t="s">
        <v>0</v>
      </c>
      <c r="R39" s="116" t="s">
        <v>48</v>
      </c>
      <c r="S39" s="116"/>
      <c r="T39" s="116"/>
      <c r="U39" s="121" t="s">
        <v>17999</v>
      </c>
      <c r="V39" s="1579" t="s">
        <v>18000</v>
      </c>
      <c r="W39" s="1630" t="s">
        <v>18001</v>
      </c>
      <c r="X39" s="76"/>
      <c r="Y39" s="122"/>
      <c r="Z39" s="76"/>
      <c r="AA39" s="76" t="s">
        <v>18002</v>
      </c>
      <c r="AB39" s="128"/>
      <c r="AC39" s="101"/>
    </row>
    <row r="40" customHeight="1" spans="1:29">
      <c r="A40" s="1585" t="s">
        <v>357</v>
      </c>
      <c r="B40" s="100"/>
      <c r="C40" s="101" t="s">
        <v>18003</v>
      </c>
      <c r="D40" s="102" t="s">
        <v>18004</v>
      </c>
      <c r="E40" s="102" t="s">
        <v>43</v>
      </c>
      <c r="F40" s="102" t="s">
        <v>96</v>
      </c>
      <c r="G40" s="102" t="s">
        <v>3528</v>
      </c>
      <c r="H40" s="100" t="s">
        <v>17951</v>
      </c>
      <c r="I40" s="106">
        <v>43221</v>
      </c>
      <c r="J40" s="106">
        <v>43404</v>
      </c>
      <c r="K40" s="106"/>
      <c r="L40" s="106"/>
      <c r="M40" s="48">
        <f ca="1" t="shared" si="0"/>
        <v>131.61546296296</v>
      </c>
      <c r="N40" s="49" t="str">
        <f ca="1" t="shared" si="1"/>
        <v>ACTIVE</v>
      </c>
      <c r="O40" s="113">
        <v>5000000</v>
      </c>
      <c r="P40" s="114">
        <v>1000000</v>
      </c>
      <c r="Q40" s="116" t="s">
        <v>0</v>
      </c>
      <c r="R40" s="116" t="s">
        <v>48</v>
      </c>
      <c r="S40" s="116"/>
      <c r="T40" s="116"/>
      <c r="U40" s="121" t="s">
        <v>18005</v>
      </c>
      <c r="V40" s="1579" t="s">
        <v>18006</v>
      </c>
      <c r="W40" s="1630" t="s">
        <v>18007</v>
      </c>
      <c r="X40" s="76" t="s">
        <v>18008</v>
      </c>
      <c r="Y40" s="1579" t="s">
        <v>18009</v>
      </c>
      <c r="Z40" s="76"/>
      <c r="AA40" s="76" t="s">
        <v>18010</v>
      </c>
      <c r="AB40" s="127" t="s">
        <v>18011</v>
      </c>
      <c r="AC40" s="101"/>
    </row>
    <row r="41" customHeight="1" spans="1:29">
      <c r="A41" s="1585" t="s">
        <v>369</v>
      </c>
      <c r="B41" s="100"/>
      <c r="C41" s="101" t="s">
        <v>18012</v>
      </c>
      <c r="D41" s="102" t="s">
        <v>18013</v>
      </c>
      <c r="E41" s="102" t="s">
        <v>43</v>
      </c>
      <c r="F41" s="102" t="s">
        <v>44</v>
      </c>
      <c r="G41" s="102" t="s">
        <v>3528</v>
      </c>
      <c r="H41" s="100" t="s">
        <v>18014</v>
      </c>
      <c r="I41" s="106">
        <v>43221</v>
      </c>
      <c r="J41" s="106">
        <v>43404</v>
      </c>
      <c r="K41" s="106"/>
      <c r="L41" s="106"/>
      <c r="M41" s="48">
        <f ca="1" t="shared" si="0"/>
        <v>131.61546296296</v>
      </c>
      <c r="N41" s="49" t="str">
        <f ca="1" t="shared" si="1"/>
        <v>ACTIVE</v>
      </c>
      <c r="O41" s="113">
        <v>4000000</v>
      </c>
      <c r="P41" s="114">
        <v>1000000</v>
      </c>
      <c r="Q41" s="116" t="s">
        <v>0</v>
      </c>
      <c r="R41" s="116" t="s">
        <v>48</v>
      </c>
      <c r="S41" s="116"/>
      <c r="T41" s="116"/>
      <c r="U41" s="121" t="s">
        <v>18015</v>
      </c>
      <c r="V41" s="1579" t="s">
        <v>18016</v>
      </c>
      <c r="W41" s="1630" t="s">
        <v>18017</v>
      </c>
      <c r="X41" s="76" t="s">
        <v>18018</v>
      </c>
      <c r="Y41" s="122"/>
      <c r="Z41" s="1630" t="s">
        <v>18019</v>
      </c>
      <c r="AA41" s="76" t="s">
        <v>18020</v>
      </c>
      <c r="AB41" s="127" t="s">
        <v>18021</v>
      </c>
      <c r="AC41" s="101"/>
    </row>
    <row r="42" customHeight="1" spans="1:29">
      <c r="A42" s="1585" t="s">
        <v>381</v>
      </c>
      <c r="B42" s="100"/>
      <c r="C42" s="101" t="s">
        <v>18022</v>
      </c>
      <c r="D42" s="102" t="s">
        <v>18023</v>
      </c>
      <c r="E42" s="102" t="s">
        <v>43</v>
      </c>
      <c r="F42" s="102" t="s">
        <v>254</v>
      </c>
      <c r="G42" s="102" t="s">
        <v>3528</v>
      </c>
      <c r="H42" s="100" t="s">
        <v>17801</v>
      </c>
      <c r="I42" s="106">
        <v>43221</v>
      </c>
      <c r="J42" s="106">
        <v>43404</v>
      </c>
      <c r="K42" s="106"/>
      <c r="L42" s="106"/>
      <c r="M42" s="48">
        <f ca="1" t="shared" si="0"/>
        <v>131.61546296296</v>
      </c>
      <c r="N42" s="49" t="str">
        <f ca="1" t="shared" si="1"/>
        <v>ACTIVE</v>
      </c>
      <c r="O42" s="113">
        <v>13000000</v>
      </c>
      <c r="P42" s="114">
        <v>2000000</v>
      </c>
      <c r="Q42" s="116" t="s">
        <v>0</v>
      </c>
      <c r="R42" s="116" t="s">
        <v>48</v>
      </c>
      <c r="S42" s="116"/>
      <c r="T42" s="116"/>
      <c r="U42" s="121" t="s">
        <v>18024</v>
      </c>
      <c r="V42" s="1579" t="s">
        <v>18025</v>
      </c>
      <c r="W42" s="1630" t="s">
        <v>18026</v>
      </c>
      <c r="X42" s="76" t="s">
        <v>18027</v>
      </c>
      <c r="Y42" s="1579" t="s">
        <v>18028</v>
      </c>
      <c r="Z42" s="1630" t="s">
        <v>18029</v>
      </c>
      <c r="AA42" s="76" t="s">
        <v>18030</v>
      </c>
      <c r="AB42" s="127" t="s">
        <v>18031</v>
      </c>
      <c r="AC42" s="101"/>
    </row>
    <row r="43" s="93" customFormat="1" customHeight="1" spans="1:29">
      <c r="A43" s="1585" t="s">
        <v>390</v>
      </c>
      <c r="B43" s="100"/>
      <c r="C43" s="101" t="s">
        <v>18032</v>
      </c>
      <c r="D43" s="102" t="s">
        <v>18033</v>
      </c>
      <c r="E43" s="102"/>
      <c r="F43" s="102"/>
      <c r="G43" s="102" t="s">
        <v>7019</v>
      </c>
      <c r="H43" s="100" t="s">
        <v>17889</v>
      </c>
      <c r="I43" s="106">
        <v>43221</v>
      </c>
      <c r="J43" s="106">
        <v>43404</v>
      </c>
      <c r="K43" s="106"/>
      <c r="L43" s="106"/>
      <c r="M43" s="48">
        <f ca="1" t="shared" si="0"/>
        <v>131.61546296296</v>
      </c>
      <c r="N43" s="49" t="str">
        <f ca="1" t="shared" si="1"/>
        <v>ACTIVE</v>
      </c>
      <c r="O43" s="113">
        <v>6100000</v>
      </c>
      <c r="P43" s="114">
        <v>1000000</v>
      </c>
      <c r="Q43" s="116" t="s">
        <v>0</v>
      </c>
      <c r="R43" s="116" t="s">
        <v>48</v>
      </c>
      <c r="S43" s="116"/>
      <c r="T43" s="116"/>
      <c r="U43" s="121" t="s">
        <v>18034</v>
      </c>
      <c r="V43" s="1579" t="s">
        <v>18035</v>
      </c>
      <c r="W43" s="76"/>
      <c r="X43" s="76"/>
      <c r="Y43" s="122"/>
      <c r="Z43" s="76"/>
      <c r="AA43" s="129" t="s">
        <v>18036</v>
      </c>
      <c r="AB43" s="128"/>
      <c r="AC43" s="101"/>
    </row>
    <row r="44" customHeight="1" spans="1:29">
      <c r="A44" s="1585" t="s">
        <v>400</v>
      </c>
      <c r="B44" s="100"/>
      <c r="C44" s="101" t="s">
        <v>18037</v>
      </c>
      <c r="D44" s="102" t="s">
        <v>18038</v>
      </c>
      <c r="E44" s="102" t="s">
        <v>43</v>
      </c>
      <c r="F44" s="102" t="s">
        <v>6039</v>
      </c>
      <c r="G44" s="102" t="s">
        <v>1300</v>
      </c>
      <c r="H44" s="100" t="s">
        <v>17897</v>
      </c>
      <c r="I44" s="106">
        <v>43221</v>
      </c>
      <c r="J44" s="106">
        <v>43404</v>
      </c>
      <c r="K44" s="106"/>
      <c r="L44" s="106"/>
      <c r="M44" s="48">
        <f ca="1" t="shared" si="0"/>
        <v>131.61546296296</v>
      </c>
      <c r="N44" s="49" t="str">
        <f ca="1" t="shared" si="1"/>
        <v>ACTIVE</v>
      </c>
      <c r="O44" s="113">
        <v>4200000</v>
      </c>
      <c r="P44" s="114" t="s">
        <v>583</v>
      </c>
      <c r="Q44" s="116" t="s">
        <v>0</v>
      </c>
      <c r="R44" s="116" t="s">
        <v>48</v>
      </c>
      <c r="S44" s="116"/>
      <c r="T44" s="116"/>
      <c r="U44" s="121" t="s">
        <v>18039</v>
      </c>
      <c r="V44" s="1579" t="s">
        <v>18040</v>
      </c>
      <c r="W44" s="1630" t="s">
        <v>18041</v>
      </c>
      <c r="X44" s="76"/>
      <c r="Y44" s="1579" t="s">
        <v>18042</v>
      </c>
      <c r="Z44" s="76"/>
      <c r="AA44" s="129" t="s">
        <v>18043</v>
      </c>
      <c r="AB44" s="128"/>
      <c r="AC44" s="101"/>
    </row>
    <row r="45" customHeight="1" spans="1:29">
      <c r="A45" s="1585" t="s">
        <v>411</v>
      </c>
      <c r="B45" s="100"/>
      <c r="C45" s="101" t="s">
        <v>18044</v>
      </c>
      <c r="D45" s="102" t="s">
        <v>18045</v>
      </c>
      <c r="E45" s="102" t="s">
        <v>43</v>
      </c>
      <c r="F45" s="102" t="s">
        <v>44</v>
      </c>
      <c r="G45" s="102" t="s">
        <v>3528</v>
      </c>
      <c r="H45" s="100" t="s">
        <v>18046</v>
      </c>
      <c r="I45" s="106">
        <v>43221</v>
      </c>
      <c r="J45" s="106">
        <v>43404</v>
      </c>
      <c r="K45" s="106"/>
      <c r="L45" s="106"/>
      <c r="M45" s="48">
        <f ca="1" t="shared" si="0"/>
        <v>131.61546296296</v>
      </c>
      <c r="N45" s="49" t="str">
        <f ca="1" t="shared" si="1"/>
        <v>ACTIVE</v>
      </c>
      <c r="O45" s="113">
        <v>7000000</v>
      </c>
      <c r="P45" s="114">
        <v>2000000</v>
      </c>
      <c r="Q45" s="116" t="s">
        <v>0</v>
      </c>
      <c r="R45" s="116" t="s">
        <v>48</v>
      </c>
      <c r="S45" s="116"/>
      <c r="T45" s="116"/>
      <c r="U45" s="121" t="s">
        <v>18047</v>
      </c>
      <c r="V45" s="1579" t="s">
        <v>18048</v>
      </c>
      <c r="W45" s="1630" t="s">
        <v>18049</v>
      </c>
      <c r="X45" s="76" t="s">
        <v>18050</v>
      </c>
      <c r="Y45" s="1579" t="s">
        <v>18051</v>
      </c>
      <c r="Z45" s="1630" t="s">
        <v>18052</v>
      </c>
      <c r="AA45" s="76" t="s">
        <v>18053</v>
      </c>
      <c r="AB45" s="127" t="s">
        <v>18054</v>
      </c>
      <c r="AC45" s="101"/>
    </row>
    <row r="46" customHeight="1" spans="1:29">
      <c r="A46" s="1585" t="s">
        <v>424</v>
      </c>
      <c r="B46" s="100"/>
      <c r="C46" s="101" t="s">
        <v>18055</v>
      </c>
      <c r="D46" s="102" t="s">
        <v>18056</v>
      </c>
      <c r="E46" s="102" t="s">
        <v>43</v>
      </c>
      <c r="F46" s="102" t="s">
        <v>44</v>
      </c>
      <c r="G46" s="102" t="s">
        <v>3528</v>
      </c>
      <c r="H46" s="100" t="s">
        <v>17781</v>
      </c>
      <c r="I46" s="106">
        <v>43221</v>
      </c>
      <c r="J46" s="106">
        <v>43404</v>
      </c>
      <c r="K46" s="106"/>
      <c r="L46" s="106"/>
      <c r="M46" s="48">
        <f ca="1" t="shared" si="0"/>
        <v>131.61546296296</v>
      </c>
      <c r="N46" s="49" t="str">
        <f ca="1" t="shared" si="1"/>
        <v>ACTIVE</v>
      </c>
      <c r="O46" s="113">
        <v>3000000</v>
      </c>
      <c r="P46" s="114">
        <v>1000000</v>
      </c>
      <c r="Q46" s="116" t="s">
        <v>0</v>
      </c>
      <c r="R46" s="116" t="s">
        <v>48</v>
      </c>
      <c r="S46" s="116"/>
      <c r="T46" s="116"/>
      <c r="U46" s="121" t="s">
        <v>18057</v>
      </c>
      <c r="V46" s="1579" t="s">
        <v>18058</v>
      </c>
      <c r="W46" s="1630" t="s">
        <v>583</v>
      </c>
      <c r="X46" s="76"/>
      <c r="Y46" s="122"/>
      <c r="Z46" s="76"/>
      <c r="AA46" s="76" t="s">
        <v>18059</v>
      </c>
      <c r="AB46" s="127" t="s">
        <v>18060</v>
      </c>
      <c r="AC46" s="101"/>
    </row>
    <row r="47" customHeight="1" spans="1:29">
      <c r="A47" s="1585" t="s">
        <v>438</v>
      </c>
      <c r="B47" s="100"/>
      <c r="C47" s="101" t="s">
        <v>18061</v>
      </c>
      <c r="D47" s="102" t="s">
        <v>18062</v>
      </c>
      <c r="E47" s="102" t="s">
        <v>43</v>
      </c>
      <c r="F47" s="102" t="s">
        <v>254</v>
      </c>
      <c r="G47" s="102" t="s">
        <v>3528</v>
      </c>
      <c r="H47" s="100" t="s">
        <v>17897</v>
      </c>
      <c r="I47" s="106">
        <v>43221</v>
      </c>
      <c r="J47" s="106">
        <v>43404</v>
      </c>
      <c r="K47" s="106"/>
      <c r="L47" s="106"/>
      <c r="M47" s="48">
        <f ca="1" t="shared" si="0"/>
        <v>131.61546296296</v>
      </c>
      <c r="N47" s="49" t="str">
        <f ca="1" t="shared" si="1"/>
        <v>ACTIVE</v>
      </c>
      <c r="O47" s="113">
        <v>4200000</v>
      </c>
      <c r="P47" s="114" t="s">
        <v>583</v>
      </c>
      <c r="Q47" s="116" t="s">
        <v>0</v>
      </c>
      <c r="R47" s="116" t="s">
        <v>48</v>
      </c>
      <c r="S47" s="116"/>
      <c r="T47" s="116"/>
      <c r="U47" s="121" t="s">
        <v>18063</v>
      </c>
      <c r="V47" s="1579" t="s">
        <v>18064</v>
      </c>
      <c r="W47" s="1630" t="s">
        <v>18065</v>
      </c>
      <c r="X47" s="76" t="s">
        <v>18066</v>
      </c>
      <c r="Y47" s="122"/>
      <c r="Z47" s="76"/>
      <c r="AA47" s="76" t="s">
        <v>18067</v>
      </c>
      <c r="AB47" s="127" t="s">
        <v>18068</v>
      </c>
      <c r="AC47" s="101"/>
    </row>
    <row r="48" customHeight="1" spans="1:29">
      <c r="A48" s="1585" t="s">
        <v>450</v>
      </c>
      <c r="B48" s="100"/>
      <c r="C48" s="101" t="s">
        <v>18069</v>
      </c>
      <c r="D48" s="102" t="s">
        <v>18070</v>
      </c>
      <c r="E48" s="102" t="s">
        <v>43</v>
      </c>
      <c r="F48" s="102" t="s">
        <v>60</v>
      </c>
      <c r="G48" s="102" t="s">
        <v>3528</v>
      </c>
      <c r="H48" s="100" t="s">
        <v>17897</v>
      </c>
      <c r="I48" s="106">
        <v>43221</v>
      </c>
      <c r="J48" s="106">
        <v>43404</v>
      </c>
      <c r="K48" s="106"/>
      <c r="L48" s="106"/>
      <c r="M48" s="48">
        <f ca="1" t="shared" si="0"/>
        <v>131.61546296296</v>
      </c>
      <c r="N48" s="49" t="str">
        <f ca="1" t="shared" si="1"/>
        <v>ACTIVE</v>
      </c>
      <c r="O48" s="113">
        <v>4200000</v>
      </c>
      <c r="P48" s="114" t="s">
        <v>583</v>
      </c>
      <c r="Q48" s="116" t="s">
        <v>0</v>
      </c>
      <c r="R48" s="116" t="s">
        <v>48</v>
      </c>
      <c r="S48" s="116"/>
      <c r="T48" s="116"/>
      <c r="U48" s="121" t="s">
        <v>18071</v>
      </c>
      <c r="V48" s="1579" t="s">
        <v>18072</v>
      </c>
      <c r="W48" s="1630" t="s">
        <v>18073</v>
      </c>
      <c r="X48" s="76"/>
      <c r="Y48" s="122"/>
      <c r="Z48" s="1630" t="s">
        <v>18074</v>
      </c>
      <c r="AA48" s="76" t="s">
        <v>18075</v>
      </c>
      <c r="AB48" s="127" t="s">
        <v>18076</v>
      </c>
      <c r="AC48" s="101"/>
    </row>
    <row r="49" customHeight="1" spans="1:29">
      <c r="A49" s="1585" t="s">
        <v>463</v>
      </c>
      <c r="B49" s="100"/>
      <c r="C49" s="101" t="s">
        <v>18077</v>
      </c>
      <c r="D49" s="102" t="s">
        <v>18078</v>
      </c>
      <c r="E49" s="102" t="s">
        <v>43</v>
      </c>
      <c r="F49" s="102" t="s">
        <v>254</v>
      </c>
      <c r="G49" s="102" t="s">
        <v>3528</v>
      </c>
      <c r="H49" s="100" t="s">
        <v>17841</v>
      </c>
      <c r="I49" s="106">
        <v>43221</v>
      </c>
      <c r="J49" s="106">
        <v>43404</v>
      </c>
      <c r="K49" s="106"/>
      <c r="L49" s="106"/>
      <c r="M49" s="48">
        <f ca="1" t="shared" si="0"/>
        <v>131.61546296296</v>
      </c>
      <c r="N49" s="49" t="str">
        <f ca="1" t="shared" si="1"/>
        <v>ACTIVE</v>
      </c>
      <c r="O49" s="113">
        <v>7500000</v>
      </c>
      <c r="P49" s="114" t="s">
        <v>583</v>
      </c>
      <c r="Q49" s="116" t="s">
        <v>0</v>
      </c>
      <c r="R49" s="116" t="s">
        <v>48</v>
      </c>
      <c r="S49" s="116"/>
      <c r="T49" s="116"/>
      <c r="U49" s="121" t="s">
        <v>18079</v>
      </c>
      <c r="V49" s="1579" t="s">
        <v>18080</v>
      </c>
      <c r="W49" s="1630" t="s">
        <v>18081</v>
      </c>
      <c r="X49" s="76"/>
      <c r="Y49" s="122"/>
      <c r="Z49" s="76"/>
      <c r="AA49" s="129" t="s">
        <v>18082</v>
      </c>
      <c r="AB49" s="127" t="s">
        <v>18083</v>
      </c>
      <c r="AC49" s="101"/>
    </row>
    <row r="50" customHeight="1" spans="1:29">
      <c r="A50" s="1585" t="s">
        <v>473</v>
      </c>
      <c r="B50" s="100"/>
      <c r="C50" s="101" t="s">
        <v>18084</v>
      </c>
      <c r="D50" s="102" t="s">
        <v>18085</v>
      </c>
      <c r="E50" s="102" t="s">
        <v>43</v>
      </c>
      <c r="F50" s="102" t="s">
        <v>60</v>
      </c>
      <c r="G50" s="102" t="s">
        <v>3528</v>
      </c>
      <c r="H50" s="100" t="s">
        <v>18086</v>
      </c>
      <c r="I50" s="106">
        <v>43221</v>
      </c>
      <c r="J50" s="106">
        <v>43404</v>
      </c>
      <c r="K50" s="106"/>
      <c r="L50" s="106"/>
      <c r="M50" s="48">
        <f ca="1" t="shared" si="0"/>
        <v>131.61546296296</v>
      </c>
      <c r="N50" s="49" t="str">
        <f ca="1" t="shared" si="1"/>
        <v>ACTIVE</v>
      </c>
      <c r="O50" s="113">
        <v>3700000</v>
      </c>
      <c r="P50" s="114" t="s">
        <v>583</v>
      </c>
      <c r="Q50" s="116" t="s">
        <v>0</v>
      </c>
      <c r="R50" s="116" t="s">
        <v>48</v>
      </c>
      <c r="S50" s="116"/>
      <c r="T50" s="116"/>
      <c r="U50" s="121" t="s">
        <v>18087</v>
      </c>
      <c r="V50" s="1579" t="s">
        <v>18088</v>
      </c>
      <c r="W50" s="1630" t="s">
        <v>18089</v>
      </c>
      <c r="X50" s="76" t="s">
        <v>18090</v>
      </c>
      <c r="Y50" s="122"/>
      <c r="Z50" s="76"/>
      <c r="AA50" s="129" t="s">
        <v>18091</v>
      </c>
      <c r="AB50" s="128"/>
      <c r="AC50" s="101"/>
    </row>
    <row r="51" customHeight="1" spans="1:29">
      <c r="A51" s="1585" t="s">
        <v>483</v>
      </c>
      <c r="B51" s="100"/>
      <c r="C51" s="101" t="s">
        <v>18092</v>
      </c>
      <c r="D51" s="102" t="s">
        <v>18093</v>
      </c>
      <c r="E51" s="102" t="s">
        <v>125</v>
      </c>
      <c r="F51" s="102" t="s">
        <v>44</v>
      </c>
      <c r="G51" s="102" t="s">
        <v>3528</v>
      </c>
      <c r="H51" s="100" t="s">
        <v>18094</v>
      </c>
      <c r="I51" s="106">
        <v>43221</v>
      </c>
      <c r="J51" s="106">
        <v>43404</v>
      </c>
      <c r="K51" s="106"/>
      <c r="L51" s="106"/>
      <c r="M51" s="48">
        <f ca="1" t="shared" si="0"/>
        <v>131.61546296296</v>
      </c>
      <c r="N51" s="49" t="str">
        <f ca="1" t="shared" si="1"/>
        <v>ACTIVE</v>
      </c>
      <c r="O51" s="113">
        <v>4200000</v>
      </c>
      <c r="P51" s="114" t="s">
        <v>583</v>
      </c>
      <c r="Q51" s="116" t="s">
        <v>0</v>
      </c>
      <c r="R51" s="116" t="s">
        <v>48</v>
      </c>
      <c r="S51" s="116"/>
      <c r="T51" s="116"/>
      <c r="U51" s="121" t="s">
        <v>18095</v>
      </c>
      <c r="V51" s="1579" t="s">
        <v>18096</v>
      </c>
      <c r="W51" s="1630" t="s">
        <v>18097</v>
      </c>
      <c r="X51" s="76" t="s">
        <v>18098</v>
      </c>
      <c r="Y51" s="122"/>
      <c r="Z51" s="76"/>
      <c r="AA51" s="76" t="s">
        <v>18099</v>
      </c>
      <c r="AB51" s="127" t="s">
        <v>18100</v>
      </c>
      <c r="AC51" s="101"/>
    </row>
    <row r="52" customHeight="1" spans="1:29">
      <c r="A52" s="1585" t="s">
        <v>494</v>
      </c>
      <c r="B52" s="100"/>
      <c r="C52" s="101" t="s">
        <v>18101</v>
      </c>
      <c r="D52" s="102" t="s">
        <v>18102</v>
      </c>
      <c r="E52" s="102" t="s">
        <v>43</v>
      </c>
      <c r="F52" s="102" t="s">
        <v>254</v>
      </c>
      <c r="G52" s="102" t="s">
        <v>3528</v>
      </c>
      <c r="H52" s="100" t="s">
        <v>18086</v>
      </c>
      <c r="I52" s="106">
        <v>43221</v>
      </c>
      <c r="J52" s="106">
        <v>43404</v>
      </c>
      <c r="K52" s="106"/>
      <c r="L52" s="106"/>
      <c r="M52" s="48">
        <f ca="1" t="shared" si="0"/>
        <v>131.61546296296</v>
      </c>
      <c r="N52" s="49" t="str">
        <f ca="1" t="shared" si="1"/>
        <v>ACTIVE</v>
      </c>
      <c r="O52" s="113">
        <v>4200000</v>
      </c>
      <c r="P52" s="114" t="s">
        <v>583</v>
      </c>
      <c r="Q52" s="116" t="s">
        <v>0</v>
      </c>
      <c r="R52" s="116" t="s">
        <v>48</v>
      </c>
      <c r="S52" s="116"/>
      <c r="T52" s="116"/>
      <c r="U52" s="121" t="s">
        <v>18103</v>
      </c>
      <c r="V52" s="1579" t="s">
        <v>18104</v>
      </c>
      <c r="W52" s="1630" t="s">
        <v>18105</v>
      </c>
      <c r="X52" s="1630" t="s">
        <v>18106</v>
      </c>
      <c r="Y52" s="122"/>
      <c r="Z52" s="76"/>
      <c r="AA52" s="76" t="s">
        <v>18107</v>
      </c>
      <c r="AB52" s="127" t="s">
        <v>18108</v>
      </c>
      <c r="AC52" s="101"/>
    </row>
    <row r="53" customHeight="1" spans="1:29">
      <c r="A53" s="1585" t="s">
        <v>504</v>
      </c>
      <c r="B53" s="100"/>
      <c r="C53" s="101" t="s">
        <v>18109</v>
      </c>
      <c r="D53" s="102" t="s">
        <v>18110</v>
      </c>
      <c r="E53" s="102" t="s">
        <v>43</v>
      </c>
      <c r="F53" s="102" t="s">
        <v>44</v>
      </c>
      <c r="G53" s="102" t="s">
        <v>3528</v>
      </c>
      <c r="H53" s="100" t="s">
        <v>18086</v>
      </c>
      <c r="I53" s="106">
        <v>43221</v>
      </c>
      <c r="J53" s="106">
        <v>43404</v>
      </c>
      <c r="K53" s="106"/>
      <c r="L53" s="106"/>
      <c r="M53" s="48">
        <f ca="1" t="shared" si="0"/>
        <v>131.61546296296</v>
      </c>
      <c r="N53" s="49" t="str">
        <f ca="1" t="shared" si="1"/>
        <v>ACTIVE</v>
      </c>
      <c r="O53" s="113">
        <v>4200000</v>
      </c>
      <c r="P53" s="114" t="s">
        <v>583</v>
      </c>
      <c r="Q53" s="116" t="s">
        <v>0</v>
      </c>
      <c r="R53" s="116" t="s">
        <v>48</v>
      </c>
      <c r="S53" s="116"/>
      <c r="T53" s="116"/>
      <c r="U53" s="121" t="s">
        <v>18111</v>
      </c>
      <c r="V53" s="1579" t="s">
        <v>18112</v>
      </c>
      <c r="W53" s="1630" t="s">
        <v>18113</v>
      </c>
      <c r="X53" s="76" t="s">
        <v>18114</v>
      </c>
      <c r="Y53" s="122"/>
      <c r="Z53" s="76"/>
      <c r="AA53" s="76" t="s">
        <v>18115</v>
      </c>
      <c r="AB53" s="127" t="s">
        <v>18116</v>
      </c>
      <c r="AC53" s="101"/>
    </row>
    <row r="54" customHeight="1" spans="1:29">
      <c r="A54" s="1585" t="s">
        <v>514</v>
      </c>
      <c r="B54" s="100"/>
      <c r="C54" s="101" t="s">
        <v>18117</v>
      </c>
      <c r="D54" s="102" t="s">
        <v>18118</v>
      </c>
      <c r="E54" s="102" t="s">
        <v>43</v>
      </c>
      <c r="F54" s="102" t="s">
        <v>254</v>
      </c>
      <c r="G54" s="102" t="s">
        <v>1300</v>
      </c>
      <c r="H54" s="100" t="s">
        <v>1533</v>
      </c>
      <c r="I54" s="106">
        <v>43221</v>
      </c>
      <c r="J54" s="106">
        <v>43404</v>
      </c>
      <c r="K54" s="106"/>
      <c r="L54" s="106"/>
      <c r="M54" s="48">
        <f ca="1" t="shared" si="0"/>
        <v>131.61546296296</v>
      </c>
      <c r="N54" s="49" t="str">
        <f ca="1" t="shared" si="1"/>
        <v>ACTIVE</v>
      </c>
      <c r="O54" s="113">
        <v>4200000</v>
      </c>
      <c r="P54" s="114" t="s">
        <v>583</v>
      </c>
      <c r="Q54" s="116" t="s">
        <v>0</v>
      </c>
      <c r="R54" s="116" t="s">
        <v>48</v>
      </c>
      <c r="S54" s="116"/>
      <c r="T54" s="116"/>
      <c r="U54" s="121" t="s">
        <v>18119</v>
      </c>
      <c r="V54" s="1579" t="s">
        <v>18120</v>
      </c>
      <c r="W54" s="76"/>
      <c r="X54" s="76"/>
      <c r="Y54" s="122"/>
      <c r="Z54" s="76"/>
      <c r="AA54" s="76" t="s">
        <v>18121</v>
      </c>
      <c r="AB54" s="128"/>
      <c r="AC54" s="101"/>
    </row>
    <row r="55" customHeight="1" spans="1:29">
      <c r="A55" s="1585" t="s">
        <v>525</v>
      </c>
      <c r="B55" s="100"/>
      <c r="C55" s="101" t="s">
        <v>18122</v>
      </c>
      <c r="D55" s="102" t="s">
        <v>18123</v>
      </c>
      <c r="E55" s="102" t="s">
        <v>125</v>
      </c>
      <c r="F55" s="102" t="s">
        <v>44</v>
      </c>
      <c r="G55" s="102" t="s">
        <v>3528</v>
      </c>
      <c r="H55" s="100" t="s">
        <v>17812</v>
      </c>
      <c r="I55" s="106">
        <v>43221</v>
      </c>
      <c r="J55" s="106">
        <v>43404</v>
      </c>
      <c r="K55" s="106"/>
      <c r="L55" s="106"/>
      <c r="M55" s="48">
        <f ca="1" t="shared" si="0"/>
        <v>131.61546296296</v>
      </c>
      <c r="N55" s="49" t="str">
        <f ca="1" t="shared" si="1"/>
        <v>ACTIVE</v>
      </c>
      <c r="O55" s="113">
        <v>4000000</v>
      </c>
      <c r="P55" s="114" t="s">
        <v>583</v>
      </c>
      <c r="Q55" s="116" t="s">
        <v>0</v>
      </c>
      <c r="R55" s="116" t="s">
        <v>48</v>
      </c>
      <c r="S55" s="116"/>
      <c r="T55" s="116"/>
      <c r="U55" s="121" t="s">
        <v>18124</v>
      </c>
      <c r="V55" s="1579" t="s">
        <v>18125</v>
      </c>
      <c r="W55" s="1630" t="s">
        <v>18126</v>
      </c>
      <c r="X55" s="76"/>
      <c r="Y55" s="122"/>
      <c r="Z55" s="76"/>
      <c r="AA55" s="76" t="s">
        <v>18127</v>
      </c>
      <c r="AB55" s="127" t="s">
        <v>18128</v>
      </c>
      <c r="AC55" s="101"/>
    </row>
    <row r="56" customHeight="1" spans="1:29">
      <c r="A56" s="1585" t="s">
        <v>533</v>
      </c>
      <c r="B56" s="100"/>
      <c r="C56" s="101" t="s">
        <v>18129</v>
      </c>
      <c r="D56" s="102" t="s">
        <v>18130</v>
      </c>
      <c r="E56" s="102" t="s">
        <v>43</v>
      </c>
      <c r="F56" s="102" t="s">
        <v>44</v>
      </c>
      <c r="G56" s="102" t="s">
        <v>7019</v>
      </c>
      <c r="H56" s="100" t="s">
        <v>2393</v>
      </c>
      <c r="I56" s="106">
        <v>43221</v>
      </c>
      <c r="J56" s="106">
        <v>43404</v>
      </c>
      <c r="K56" s="106"/>
      <c r="L56" s="106"/>
      <c r="M56" s="48">
        <f ca="1" t="shared" si="0"/>
        <v>131.61546296296</v>
      </c>
      <c r="N56" s="49" t="str">
        <f ca="1" t="shared" si="1"/>
        <v>ACTIVE</v>
      </c>
      <c r="O56" s="113">
        <v>6500000</v>
      </c>
      <c r="P56" s="114" t="s">
        <v>583</v>
      </c>
      <c r="Q56" s="116" t="s">
        <v>0</v>
      </c>
      <c r="R56" s="116" t="s">
        <v>48</v>
      </c>
      <c r="S56" s="116"/>
      <c r="T56" s="116"/>
      <c r="U56" s="121" t="s">
        <v>18131</v>
      </c>
      <c r="V56" s="1579" t="s">
        <v>18132</v>
      </c>
      <c r="W56" s="1630" t="s">
        <v>18133</v>
      </c>
      <c r="X56" s="76" t="s">
        <v>18134</v>
      </c>
      <c r="Y56" s="122"/>
      <c r="Z56" s="76"/>
      <c r="AA56" s="76" t="s">
        <v>18135</v>
      </c>
      <c r="AB56" s="127" t="s">
        <v>18136</v>
      </c>
      <c r="AC56" s="101"/>
    </row>
    <row r="57" customHeight="1" spans="1:29">
      <c r="A57" s="1585" t="s">
        <v>542</v>
      </c>
      <c r="B57" s="100"/>
      <c r="C57" s="101" t="s">
        <v>18137</v>
      </c>
      <c r="D57" s="102" t="s">
        <v>18138</v>
      </c>
      <c r="E57" s="102" t="s">
        <v>43</v>
      </c>
      <c r="F57" s="102" t="s">
        <v>254</v>
      </c>
      <c r="G57" s="102" t="s">
        <v>3528</v>
      </c>
      <c r="H57" s="100" t="s">
        <v>17897</v>
      </c>
      <c r="I57" s="107">
        <v>43252</v>
      </c>
      <c r="J57" s="106">
        <v>43404</v>
      </c>
      <c r="K57" s="106"/>
      <c r="L57" s="106"/>
      <c r="M57" s="48">
        <f ca="1" t="shared" si="0"/>
        <v>131.61546296296</v>
      </c>
      <c r="N57" s="49" t="str">
        <f ca="1" t="shared" si="1"/>
        <v>ACTIVE</v>
      </c>
      <c r="O57" s="113">
        <v>4200000</v>
      </c>
      <c r="P57" s="114" t="s">
        <v>583</v>
      </c>
      <c r="Q57" s="116" t="s">
        <v>0</v>
      </c>
      <c r="R57" s="116" t="s">
        <v>48</v>
      </c>
      <c r="S57" s="116"/>
      <c r="T57" s="116"/>
      <c r="U57" s="121" t="s">
        <v>18139</v>
      </c>
      <c r="V57" s="1579" t="s">
        <v>18140</v>
      </c>
      <c r="W57" s="1630" t="s">
        <v>18141</v>
      </c>
      <c r="X57" s="76"/>
      <c r="Y57" s="122"/>
      <c r="Z57" s="76"/>
      <c r="AA57" s="76"/>
      <c r="AB57" s="130" t="s">
        <v>18142</v>
      </c>
      <c r="AC57" s="101" t="s">
        <v>18143</v>
      </c>
    </row>
  </sheetData>
  <mergeCells count="34">
    <mergeCell ref="A1:C1"/>
    <mergeCell ref="A2:C2"/>
    <mergeCell ref="A3:C3"/>
    <mergeCell ref="A6:C6"/>
    <mergeCell ref="O6:S6"/>
    <mergeCell ref="A8:V8"/>
    <mergeCell ref="A9:V9"/>
    <mergeCell ref="I12:J12"/>
    <mergeCell ref="K12:L12"/>
    <mergeCell ref="A12:A13"/>
    <mergeCell ref="B12:B13"/>
    <mergeCell ref="C12:C13"/>
    <mergeCell ref="D12:D13"/>
    <mergeCell ref="E12:E13"/>
    <mergeCell ref="F12:F13"/>
    <mergeCell ref="G12:G13"/>
    <mergeCell ref="H12:H13"/>
    <mergeCell ref="M12:M13"/>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 ref="AB12:AB13"/>
    <mergeCell ref="AC12:AC13"/>
  </mergeCells>
  <conditionalFormatting sqref="N1:N20;N22:N1048576">
    <cfRule type="expression" dxfId="2329" priority="1" stopIfTrue="1">
      <formula>NOT(ISERROR(SEARCH("warning",N1)))</formula>
    </cfRule>
  </conditionalFormatting>
  <conditionalFormatting sqref="O14:O20;O22:O57">
    <cfRule type="expression" dxfId="2330" priority="2" stopIfTrue="1">
      <formula>IF(OR($AX14="not",$AX14="resign",$AX14="resign",$AX14="end",$AX14="terminated",$AX14="permanent"),"TRUE","FALSE")</formula>
    </cfRule>
  </conditionalFormatting>
  <conditionalFormatting sqref="D14:E20;D21;D22:E57">
    <cfRule type="expression" dxfId="2331" priority="3" stopIfTrue="1">
      <formula>IF(OR($BG14="not",$BG14="resign",$BG14="resign",$BG14="end",$BG14="terminated",$BG14="permanent"),"TRUE","FALSE")</formula>
    </cfRule>
  </conditionalFormatting>
  <conditionalFormatting sqref="N21">
    <cfRule type="expression" dxfId="2332" priority="4" stopIfTrue="1">
      <formula>NOT(ISERROR(SEARCH("warning",N21)))</formula>
    </cfRule>
  </conditionalFormatting>
  <conditionalFormatting sqref="O21">
    <cfRule type="expression" dxfId="2333" priority="5" stopIfTrue="1">
      <formula>IF(OR($AX21="not",$AX21="resign",$AX21="resign",$AX21="end",$AX21="terminated",$AX21="permanent"),"TRUE","FALSE")</formula>
    </cfRule>
  </conditionalFormatting>
  <conditionalFormatting sqref="E21">
    <cfRule type="expression" dxfId="2334" priority="6" stopIfTrue="1">
      <formula>IF(OR($BG21="not",$BG21="resign",$BG21="resign",$BG21="end",$BG21="terminated",$BG21="permanent"),"TRUE","FALSE")</formula>
    </cfRule>
  </conditionalFormatting>
  <conditionalFormatting sqref="AB42">
    <cfRule type="expression" dxfId="2335" priority="7" stopIfTrue="1">
      <formula>IF(OR($AY42="not",$AY42="resign",$AY42="resign",$AY42="end",$AY42="terminated",$AY42="permanent"),"TRUE","FALSE")</formula>
    </cfRule>
  </conditionalFormatting>
  <conditionalFormatting sqref="W30">
    <cfRule type="expression" dxfId="2336" priority="8" stopIfTrue="1">
      <formula>IF(OR($BH30="not",$BH30="resign",$BH30="resign",$BH30="end",$BH30="terminated",$BH30="permanent"),"TRUE","FALSE")</formula>
    </cfRule>
  </conditionalFormatting>
  <hyperlinks>
    <hyperlink ref="AB14" r:id="rId4" display="abdul@sda-solution.com"/>
    <hyperlink ref="AB15" r:id="rId5" display="achirsyaputra@gmail.com"/>
    <hyperlink ref="AB16" r:id="rId6" display="ryanardams@gmail.com"/>
    <hyperlink ref="AB53" r:id="rId7" display="dwis47242@gmail.com"/>
    <hyperlink ref="AB19" r:id="rId8" display="deni.hentiasa@gmail.com"/>
    <hyperlink ref="AB49" r:id="rId9" display="darlianto.ananda@gmail.com"/>
    <hyperlink ref="AB42" r:id="rId10" display="afardan7778@gmail.com"/>
    <hyperlink ref="AB23" r:id="rId11" display="fajar.supradi@gmail.com"/>
    <hyperlink ref="AB24" r:id="rId12" display="solo2_total@yahoo.co.id; ferryfo42@gmail.com"/>
    <hyperlink ref="AB25" r:id="rId13" display="helmimsh@gmail.com"/>
    <hyperlink ref="AB48" r:id="rId14" display="hendra_total@yahoo,com"/>
    <hyperlink ref="AB57" r:id="rId15" display="irfannur4@gmail.com"/>
    <hyperlink ref="AB52" r:id="rId16" display="joko.sutanto86@gmail.com"/>
    <hyperlink ref="AB27" r:id="rId17" display="lilimulyana71@gmail.com"/>
    <hyperlink ref="AB34" r:id="rId18" display="muhammad.rizki@asahiesda.com"/>
    <hyperlink ref="AB31" r:id="rId19" display="msyafi28@gmail.com"/>
    <hyperlink ref="AB33" r:id="rId20" display="kharisul16@gmail.com"/>
    <hyperlink ref="AB30" r:id="rId21" display="abiefirman@yahoo.com"/>
    <hyperlink ref="AB37" r:id="rId22" display="mulyanto05@gmail.com"/>
    <hyperlink ref="AB35" r:id="rId23" display="msukron471@yahoo,com"/>
    <hyperlink ref="AB32" r:id="rId24" display="muhammadfarid0808@gmail.com"/>
    <hyperlink ref="AB38" r:id="rId25" display="anamnuy2@gmail.com"/>
    <hyperlink ref="AB40" r:id="rId26" display="peni.handayani@hotmail.com"/>
    <hyperlink ref="AB55" r:id="rId27" display="andriratih10@gmail.com"/>
    <hyperlink ref="AB41" r:id="rId28" display="rival@asahiesda.com"/>
    <hyperlink ref="AB56" r:id="rId29" display="saidmarzukisalim12344@gmail.com"/>
    <hyperlink ref="AB45" r:id="rId30" display="shaqman2004@yahoo.com"/>
    <hyperlink ref="AB47" r:id="rId31" display="usep.340@gmail.com"/>
    <hyperlink ref="AB51" r:id="rId32" display="dindamekanikal96@gmail.com"/>
    <hyperlink ref="AB36" r:id="rId33" display="yasser.sultan@asahiesda.com"/>
    <hyperlink ref="AB46" r:id="rId34" display="zenryan27@gmail.com"/>
  </hyperlinks>
  <printOptions horizontalCentered="1"/>
  <pageMargins left="0" right="0" top="1" bottom="1" header="0.5" footer="0.5"/>
  <pageSetup paperSize="9" scale="23" orientation="landscape"/>
  <headerFooter alignWithMargins="0"/>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pageSetUpPr fitToPage="1"/>
  </sheetPr>
  <dimension ref="A1:Y131"/>
  <sheetViews>
    <sheetView showGridLines="0" zoomScale="110" zoomScaleNormal="110" topLeftCell="A7" workbookViewId="0">
      <pane xSplit="3" ySplit="5" topLeftCell="D12" activePane="bottomRight" state="frozen"/>
      <selection/>
      <selection pane="topRight"/>
      <selection pane="bottomLeft"/>
      <selection pane="bottomRight" activeCell="D19" sqref="D19"/>
    </sheetView>
  </sheetViews>
  <sheetFormatPr defaultColWidth="9" defaultRowHeight="12.95" customHeight="1"/>
  <cols>
    <col min="1" max="1" width="5.425" style="6" customWidth="1"/>
    <col min="2" max="2" width="11.1416666666667" style="6" customWidth="1"/>
    <col min="3" max="3" width="29.1416666666667" style="6" customWidth="1"/>
    <col min="4" max="4" width="13.2833333333333" style="6" customWidth="1"/>
    <col min="5" max="5" width="8.425" style="6" customWidth="1"/>
    <col min="6" max="6" width="16.425" style="6" customWidth="1"/>
    <col min="7" max="7" width="10.7083333333333" style="6" customWidth="1"/>
    <col min="8" max="8" width="10.425" style="6" customWidth="1"/>
    <col min="9" max="9" width="10.5666666666667" style="6" customWidth="1"/>
    <col min="10" max="14" width="10.8583333333333" style="6" customWidth="1"/>
    <col min="15" max="16" width="14.2833333333333" style="6" customWidth="1"/>
    <col min="17" max="17" width="13.425" style="6" customWidth="1"/>
    <col min="18" max="18" width="47" style="6" customWidth="1"/>
    <col min="19" max="19" width="28.8583333333333" style="6" customWidth="1"/>
    <col min="20" max="20" width="27.425" style="6" customWidth="1"/>
    <col min="21" max="21" width="27.425" style="7" customWidth="1"/>
    <col min="22" max="23" width="25.2833333333333" style="6" customWidth="1"/>
    <col min="24" max="24" width="36.7083333333333" style="8" customWidth="1"/>
    <col min="25" max="25" width="23.8583333333333" style="8" customWidth="1"/>
    <col min="26" max="16384" width="9.14166666666667" style="6"/>
  </cols>
  <sheetData>
    <row r="1" s="1" customFormat="1" customHeight="1" spans="1:24">
      <c r="A1" s="9"/>
      <c r="B1" s="9"/>
      <c r="C1" s="9"/>
      <c r="D1" s="9"/>
      <c r="E1" s="9"/>
      <c r="S1" s="59"/>
      <c r="U1" s="67"/>
      <c r="X1" s="68" t="s">
        <v>11108</v>
      </c>
    </row>
    <row r="2" s="1" customFormat="1" customHeight="1" spans="1:24">
      <c r="A2" s="9"/>
      <c r="B2" s="9"/>
      <c r="C2" s="9"/>
      <c r="D2" s="9"/>
      <c r="E2" s="9"/>
      <c r="S2" s="59"/>
      <c r="U2" s="67"/>
      <c r="X2" s="69" t="s">
        <v>11109</v>
      </c>
    </row>
    <row r="3" s="1" customFormat="1" customHeight="1" spans="1:24">
      <c r="A3" s="9"/>
      <c r="B3" s="9"/>
      <c r="C3" s="9"/>
      <c r="D3" s="9"/>
      <c r="E3" s="9"/>
      <c r="S3" s="59"/>
      <c r="U3" s="67"/>
      <c r="X3" s="69" t="s">
        <v>11110</v>
      </c>
    </row>
    <row r="4" s="1" customFormat="1" customHeight="1" spans="1:24">
      <c r="A4" s="9"/>
      <c r="B4" s="9"/>
      <c r="C4" s="9"/>
      <c r="D4" s="9"/>
      <c r="E4" s="9"/>
      <c r="S4" s="59"/>
      <c r="U4" s="67"/>
      <c r="X4" s="69" t="s">
        <v>11111</v>
      </c>
    </row>
    <row r="5" s="1" customFormat="1" customHeight="1" spans="1:21">
      <c r="A5" s="9"/>
      <c r="B5" s="9"/>
      <c r="C5" s="9"/>
      <c r="D5" s="9"/>
      <c r="E5" s="9"/>
      <c r="U5" s="67"/>
    </row>
    <row r="6" s="1" customFormat="1" customHeight="1" spans="1:21">
      <c r="A6" s="9"/>
      <c r="B6" s="9"/>
      <c r="C6" s="9"/>
      <c r="D6" s="9"/>
      <c r="E6" s="9"/>
      <c r="U6" s="67"/>
    </row>
    <row r="7" s="1" customFormat="1" customHeight="1" spans="3:21">
      <c r="C7" s="9"/>
      <c r="D7" s="9"/>
      <c r="E7" s="9"/>
      <c r="U7" s="67"/>
    </row>
    <row r="8" s="1" customFormat="1" customHeight="1" spans="1:21">
      <c r="A8" s="10" t="s">
        <v>2552</v>
      </c>
      <c r="B8" s="10"/>
      <c r="C8" s="10"/>
      <c r="D8" s="10"/>
      <c r="E8" s="10"/>
      <c r="F8" s="10"/>
      <c r="G8" s="10"/>
      <c r="H8" s="10"/>
      <c r="I8" s="10"/>
      <c r="J8" s="10"/>
      <c r="K8" s="10"/>
      <c r="L8" s="10"/>
      <c r="M8" s="10"/>
      <c r="N8" s="10"/>
      <c r="O8" s="10"/>
      <c r="P8" s="10"/>
      <c r="Q8" s="10"/>
      <c r="R8" s="10"/>
      <c r="S8" s="10"/>
      <c r="U8" s="67"/>
    </row>
    <row r="9" s="1" customFormat="1" customHeight="1" spans="1:21">
      <c r="A9" s="10" t="s">
        <v>18144</v>
      </c>
      <c r="B9" s="10"/>
      <c r="C9" s="10"/>
      <c r="D9" s="10"/>
      <c r="E9" s="10"/>
      <c r="F9" s="10"/>
      <c r="G9" s="10"/>
      <c r="H9" s="10"/>
      <c r="I9" s="10"/>
      <c r="J9" s="10"/>
      <c r="K9" s="10"/>
      <c r="L9" s="10"/>
      <c r="M9" s="10"/>
      <c r="N9" s="10"/>
      <c r="O9" s="10"/>
      <c r="P9" s="10"/>
      <c r="Q9" s="10"/>
      <c r="R9" s="10"/>
      <c r="S9" s="10"/>
      <c r="U9" s="67"/>
    </row>
    <row r="10" s="1" customFormat="1" customHeight="1" spans="1:25">
      <c r="A10" s="11" t="s">
        <v>0</v>
      </c>
      <c r="B10" s="11" t="s">
        <v>1</v>
      </c>
      <c r="C10" s="11" t="s">
        <v>2</v>
      </c>
      <c r="D10" s="11" t="s">
        <v>3</v>
      </c>
      <c r="E10" s="11" t="s">
        <v>7929</v>
      </c>
      <c r="F10" s="11" t="s">
        <v>8</v>
      </c>
      <c r="G10" s="33" t="s">
        <v>9</v>
      </c>
      <c r="H10" s="33"/>
      <c r="I10" s="43" t="s">
        <v>11</v>
      </c>
      <c r="J10" s="44"/>
      <c r="K10" s="43" t="s">
        <v>11</v>
      </c>
      <c r="L10" s="44"/>
      <c r="M10" s="11" t="s">
        <v>14</v>
      </c>
      <c r="N10" s="33" t="s">
        <v>15</v>
      </c>
      <c r="O10" s="11" t="s">
        <v>18145</v>
      </c>
      <c r="P10" s="11" t="s">
        <v>15</v>
      </c>
      <c r="Q10" s="11" t="s">
        <v>3509</v>
      </c>
      <c r="R10" s="60" t="s">
        <v>28</v>
      </c>
      <c r="S10" s="60" t="s">
        <v>11426</v>
      </c>
      <c r="T10" s="61" t="s">
        <v>11427</v>
      </c>
      <c r="U10" s="70" t="s">
        <v>31</v>
      </c>
      <c r="V10" s="71" t="s">
        <v>32</v>
      </c>
      <c r="W10" s="72" t="s">
        <v>7934</v>
      </c>
      <c r="X10" s="72" t="s">
        <v>7936</v>
      </c>
      <c r="Y10" s="72" t="s">
        <v>36</v>
      </c>
    </row>
    <row r="11" s="1" customFormat="1" customHeight="1" spans="1:25">
      <c r="A11" s="12"/>
      <c r="B11" s="12"/>
      <c r="C11" s="12"/>
      <c r="D11" s="12"/>
      <c r="E11" s="12"/>
      <c r="F11" s="12"/>
      <c r="G11" s="11" t="s">
        <v>37</v>
      </c>
      <c r="H11" s="11" t="s">
        <v>38</v>
      </c>
      <c r="I11" s="11" t="s">
        <v>37</v>
      </c>
      <c r="J11" s="11" t="s">
        <v>38</v>
      </c>
      <c r="K11" s="11" t="s">
        <v>37</v>
      </c>
      <c r="L11" s="11" t="s">
        <v>38</v>
      </c>
      <c r="M11" s="12"/>
      <c r="N11" s="46"/>
      <c r="O11" s="47"/>
      <c r="P11" s="12"/>
      <c r="Q11" s="47"/>
      <c r="R11" s="62"/>
      <c r="S11" s="62"/>
      <c r="T11" s="63"/>
      <c r="U11" s="73"/>
      <c r="V11" s="74"/>
      <c r="W11" s="75"/>
      <c r="X11" s="75"/>
      <c r="Y11" s="75"/>
    </row>
    <row r="12" s="2" customFormat="1" ht="15.95" customHeight="1" spans="1:25">
      <c r="A12" s="1607" t="s">
        <v>39</v>
      </c>
      <c r="B12" s="14"/>
      <c r="C12" s="15" t="s">
        <v>18146</v>
      </c>
      <c r="D12" s="16" t="s">
        <v>18147</v>
      </c>
      <c r="E12" s="16" t="s">
        <v>43</v>
      </c>
      <c r="F12" s="34" t="s">
        <v>18148</v>
      </c>
      <c r="G12" s="35">
        <v>43248</v>
      </c>
      <c r="H12" s="35">
        <v>43278</v>
      </c>
      <c r="I12" s="45"/>
      <c r="J12" s="45"/>
      <c r="K12" s="45"/>
      <c r="L12" s="45"/>
      <c r="M12" s="48">
        <f ca="1">SUM(H12-NOW())</f>
        <v>5.61546296296001</v>
      </c>
      <c r="N12" s="49" t="str">
        <f ca="1">IF(M12&lt;=40,"WARNING","ACTIVE")</f>
        <v>WARNING</v>
      </c>
      <c r="O12" s="50">
        <v>7500857</v>
      </c>
      <c r="P12" s="51"/>
      <c r="Q12" s="64"/>
      <c r="R12" s="65" t="s">
        <v>18149</v>
      </c>
      <c r="S12" s="1612" t="s">
        <v>18150</v>
      </c>
      <c r="T12" s="65" t="s">
        <v>18151</v>
      </c>
      <c r="U12" s="76"/>
      <c r="V12" s="65" t="s">
        <v>18152</v>
      </c>
      <c r="W12" s="65"/>
      <c r="X12" s="77" t="s">
        <v>18153</v>
      </c>
      <c r="Y12" s="89"/>
    </row>
    <row r="13" s="2" customFormat="1" customHeight="1" spans="1:25">
      <c r="A13" s="1607" t="s">
        <v>56</v>
      </c>
      <c r="B13" s="14"/>
      <c r="C13" s="15" t="s">
        <v>18154</v>
      </c>
      <c r="D13" s="16" t="s">
        <v>18155</v>
      </c>
      <c r="E13" s="16" t="s">
        <v>43</v>
      </c>
      <c r="F13" s="34" t="s">
        <v>18148</v>
      </c>
      <c r="G13" s="35">
        <v>43244</v>
      </c>
      <c r="H13" s="35">
        <v>43274</v>
      </c>
      <c r="I13" s="45"/>
      <c r="J13" s="45"/>
      <c r="K13" s="45"/>
      <c r="L13" s="45"/>
      <c r="M13" s="48">
        <f ca="1" t="shared" ref="M13:M14" si="0">SUM(H13-NOW())</f>
        <v>1.61546296296001</v>
      </c>
      <c r="N13" s="49" t="str">
        <f ca="1" t="shared" ref="N13:N14" si="1">IF(M13&lt;=40,"WARNING","ACTIVE")</f>
        <v>WARNING</v>
      </c>
      <c r="O13" s="50">
        <v>7661577</v>
      </c>
      <c r="P13" s="51"/>
      <c r="Q13" s="64"/>
      <c r="R13" s="65" t="s">
        <v>18156</v>
      </c>
      <c r="S13" s="1612" t="s">
        <v>18157</v>
      </c>
      <c r="T13" s="65" t="s">
        <v>18158</v>
      </c>
      <c r="U13" s="76"/>
      <c r="V13" s="65" t="s">
        <v>18159</v>
      </c>
      <c r="W13" s="65"/>
      <c r="X13" s="77" t="s">
        <v>18160</v>
      </c>
      <c r="Y13" s="89"/>
    </row>
    <row r="14" s="3" customFormat="1" customHeight="1" spans="1:25">
      <c r="A14" s="1607" t="s">
        <v>68</v>
      </c>
      <c r="B14" s="14"/>
      <c r="C14" s="15" t="s">
        <v>18161</v>
      </c>
      <c r="D14" s="16" t="s">
        <v>18162</v>
      </c>
      <c r="E14" s="16" t="s">
        <v>43</v>
      </c>
      <c r="F14" s="34" t="s">
        <v>18148</v>
      </c>
      <c r="G14" s="35">
        <v>43252</v>
      </c>
      <c r="H14" s="35">
        <v>43281</v>
      </c>
      <c r="I14" s="45"/>
      <c r="J14" s="45"/>
      <c r="K14" s="45"/>
      <c r="L14" s="45"/>
      <c r="M14" s="48">
        <f ca="1" t="shared" si="0"/>
        <v>8.61546296296001</v>
      </c>
      <c r="N14" s="49" t="str">
        <f ca="1" t="shared" si="1"/>
        <v>WARNING</v>
      </c>
      <c r="O14" s="50">
        <v>7649906</v>
      </c>
      <c r="P14" s="51"/>
      <c r="Q14" s="64"/>
      <c r="R14" s="65" t="s">
        <v>18163</v>
      </c>
      <c r="S14" s="1612" t="s">
        <v>18164</v>
      </c>
      <c r="T14" s="65" t="s">
        <v>18165</v>
      </c>
      <c r="U14" s="76"/>
      <c r="V14" s="1612" t="s">
        <v>18166</v>
      </c>
      <c r="W14" s="65"/>
      <c r="X14" s="77" t="s">
        <v>18167</v>
      </c>
      <c r="Y14" s="89"/>
    </row>
    <row r="15" s="2" customFormat="1" customHeight="1" spans="21:25">
      <c r="U15" s="78"/>
      <c r="X15" s="79"/>
      <c r="Y15" s="79"/>
    </row>
    <row r="16" s="4" customFormat="1" ht="12" spans="21:21">
      <c r="U16" s="80"/>
    </row>
    <row r="17" s="2" customFormat="1" customHeight="1" spans="21:25">
      <c r="U17" s="78"/>
      <c r="X17" s="79"/>
      <c r="Y17" s="79"/>
    </row>
    <row r="18" s="5" customFormat="1" ht="12.75" customHeight="1" spans="21:21">
      <c r="U18" s="81"/>
    </row>
    <row r="19" s="2" customFormat="1" customHeight="1" spans="21:25">
      <c r="U19" s="78"/>
      <c r="X19" s="79"/>
      <c r="Y19" s="79"/>
    </row>
    <row r="20" s="2" customFormat="1" customHeight="1" spans="21:25">
      <c r="U20" s="78"/>
      <c r="X20" s="79"/>
      <c r="Y20" s="79"/>
    </row>
    <row r="21" s="2" customFormat="1" customHeight="1" spans="21:25">
      <c r="U21" s="78"/>
      <c r="X21" s="79"/>
      <c r="Y21" s="79"/>
    </row>
    <row r="22" s="2" customFormat="1" customHeight="1" spans="21:25">
      <c r="U22" s="78"/>
      <c r="X22" s="79"/>
      <c r="Y22" s="79"/>
    </row>
    <row r="23" s="3" customFormat="1" ht="12" customHeight="1" spans="1:25">
      <c r="A23" s="17" t="s">
        <v>2552</v>
      </c>
      <c r="B23" s="18"/>
      <c r="C23" s="19"/>
      <c r="D23" s="19"/>
      <c r="E23" s="19"/>
      <c r="F23" s="19"/>
      <c r="G23" s="19"/>
      <c r="H23" s="19"/>
      <c r="I23" s="19"/>
      <c r="J23" s="19"/>
      <c r="K23" s="19"/>
      <c r="L23" s="19"/>
      <c r="M23" s="19"/>
      <c r="N23" s="19"/>
      <c r="O23" s="52"/>
      <c r="P23" s="19"/>
      <c r="Q23" s="52"/>
      <c r="R23" s="18"/>
      <c r="S23" s="18"/>
      <c r="T23" s="18"/>
      <c r="U23" s="82"/>
      <c r="V23" s="18"/>
      <c r="W23" s="18"/>
      <c r="X23" s="18"/>
      <c r="Y23" s="18"/>
    </row>
    <row r="24" s="3" customFormat="1" ht="12" customHeight="1" spans="1:25">
      <c r="A24" s="20">
        <v>1</v>
      </c>
      <c r="B24" s="20" t="s">
        <v>18168</v>
      </c>
      <c r="C24" s="21" t="s">
        <v>18169</v>
      </c>
      <c r="D24" s="22" t="s">
        <v>18170</v>
      </c>
      <c r="E24" s="22" t="s">
        <v>43</v>
      </c>
      <c r="F24" s="36" t="s">
        <v>18171</v>
      </c>
      <c r="G24" s="37">
        <v>42361</v>
      </c>
      <c r="H24" s="37">
        <v>42391</v>
      </c>
      <c r="I24" s="29"/>
      <c r="J24" s="29"/>
      <c r="K24" s="29"/>
      <c r="L24" s="29"/>
      <c r="M24" s="53">
        <f ca="1">SUM(H24-NOW())</f>
        <v>-881.38453703704</v>
      </c>
      <c r="N24" s="27" t="str">
        <f ca="1">IF(M24&lt;=35,"WARNING","ACTIVE")</f>
        <v>WARNING</v>
      </c>
      <c r="O24" s="54">
        <v>13543569</v>
      </c>
      <c r="P24" s="55"/>
      <c r="Q24" s="66"/>
      <c r="R24" s="27" t="s">
        <v>18172</v>
      </c>
      <c r="S24" s="27" t="s">
        <v>18173</v>
      </c>
      <c r="T24" s="27" t="s">
        <v>18174</v>
      </c>
      <c r="U24" s="83"/>
      <c r="V24" s="27" t="s">
        <v>18175</v>
      </c>
      <c r="W24" s="27"/>
      <c r="X24" s="84" t="s">
        <v>18176</v>
      </c>
      <c r="Y24" s="90" t="s">
        <v>7607</v>
      </c>
    </row>
    <row r="25" s="2" customFormat="1" ht="12" customHeight="1" spans="1:25">
      <c r="A25" s="20">
        <v>2</v>
      </c>
      <c r="B25" s="20" t="s">
        <v>18177</v>
      </c>
      <c r="C25" s="21" t="s">
        <v>18178</v>
      </c>
      <c r="D25" s="22" t="s">
        <v>18179</v>
      </c>
      <c r="E25" s="22" t="s">
        <v>43</v>
      </c>
      <c r="F25" s="36" t="s">
        <v>1241</v>
      </c>
      <c r="G25" s="37">
        <v>42355</v>
      </c>
      <c r="H25" s="37">
        <v>42385</v>
      </c>
      <c r="I25" s="29"/>
      <c r="J25" s="29"/>
      <c r="K25" s="29"/>
      <c r="L25" s="29"/>
      <c r="M25" s="53">
        <f ca="1">SUM(H25-NOW())</f>
        <v>-887.38453703704</v>
      </c>
      <c r="N25" s="27" t="str">
        <f ca="1">IF(M25&lt;=35,"WARNING","ACTIVE")</f>
        <v>WARNING</v>
      </c>
      <c r="O25" s="54">
        <v>6432313</v>
      </c>
      <c r="P25" s="55"/>
      <c r="Q25" s="66"/>
      <c r="R25" s="27" t="s">
        <v>18180</v>
      </c>
      <c r="S25" s="27"/>
      <c r="T25" s="27" t="s">
        <v>18181</v>
      </c>
      <c r="U25" s="83"/>
      <c r="V25" s="27" t="s">
        <v>18182</v>
      </c>
      <c r="W25" s="27"/>
      <c r="X25" s="84" t="s">
        <v>18183</v>
      </c>
      <c r="Y25" s="90" t="s">
        <v>7607</v>
      </c>
    </row>
    <row r="26" s="2" customFormat="1" ht="12" customHeight="1" spans="1:25">
      <c r="A26" s="20">
        <v>1</v>
      </c>
      <c r="B26" s="20" t="s">
        <v>18184</v>
      </c>
      <c r="C26" s="21" t="s">
        <v>18185</v>
      </c>
      <c r="D26" s="22" t="s">
        <v>18186</v>
      </c>
      <c r="E26" s="22"/>
      <c r="F26" s="36" t="s">
        <v>18187</v>
      </c>
      <c r="G26" s="37">
        <v>42389</v>
      </c>
      <c r="H26" s="37">
        <v>42419</v>
      </c>
      <c r="I26" s="29"/>
      <c r="J26" s="29"/>
      <c r="K26" s="29"/>
      <c r="L26" s="29"/>
      <c r="M26" s="53"/>
      <c r="N26" s="27"/>
      <c r="O26" s="54">
        <v>13492938</v>
      </c>
      <c r="P26" s="55"/>
      <c r="Q26" s="66"/>
      <c r="R26" s="27" t="s">
        <v>18188</v>
      </c>
      <c r="S26" s="27"/>
      <c r="T26" s="27"/>
      <c r="U26" s="83"/>
      <c r="V26" s="27"/>
      <c r="W26" s="27"/>
      <c r="X26" s="84"/>
      <c r="Y26" s="90" t="s">
        <v>7607</v>
      </c>
    </row>
    <row r="27" s="2" customFormat="1" ht="12" customHeight="1" spans="1:25">
      <c r="A27" s="20">
        <v>2</v>
      </c>
      <c r="B27" s="23" t="s">
        <v>18189</v>
      </c>
      <c r="C27" s="24" t="s">
        <v>18190</v>
      </c>
      <c r="D27" s="25" t="s">
        <v>18191</v>
      </c>
      <c r="E27" s="38" t="s">
        <v>18192</v>
      </c>
      <c r="F27" s="36" t="s">
        <v>1241</v>
      </c>
      <c r="G27" s="39">
        <v>42404</v>
      </c>
      <c r="H27" s="39">
        <v>42432</v>
      </c>
      <c r="I27" s="38"/>
      <c r="J27" s="38"/>
      <c r="K27" s="20"/>
      <c r="L27" s="20"/>
      <c r="M27" s="56"/>
      <c r="N27" s="20"/>
      <c r="O27" s="54">
        <v>6420000</v>
      </c>
      <c r="P27" s="20"/>
      <c r="Q27" s="54"/>
      <c r="R27" s="27" t="s">
        <v>18193</v>
      </c>
      <c r="S27" s="20"/>
      <c r="T27" s="27" t="s">
        <v>18194</v>
      </c>
      <c r="U27" s="83"/>
      <c r="V27" s="20" t="s">
        <v>18195</v>
      </c>
      <c r="W27" s="20"/>
      <c r="X27" s="85"/>
      <c r="Y27" s="90" t="s">
        <v>7607</v>
      </c>
    </row>
    <row r="28" s="2" customFormat="1" ht="12" customHeight="1" spans="1:25">
      <c r="A28" s="25">
        <v>1</v>
      </c>
      <c r="B28" s="26" t="s">
        <v>18196</v>
      </c>
      <c r="C28" s="24" t="s">
        <v>18197</v>
      </c>
      <c r="D28" s="25" t="s">
        <v>18198</v>
      </c>
      <c r="E28" s="25" t="s">
        <v>43</v>
      </c>
      <c r="F28" s="25" t="s">
        <v>18148</v>
      </c>
      <c r="G28" s="40">
        <v>42433</v>
      </c>
      <c r="H28" s="40">
        <v>42463</v>
      </c>
      <c r="I28" s="20"/>
      <c r="J28" s="38"/>
      <c r="K28" s="20"/>
      <c r="L28" s="20"/>
      <c r="M28" s="53">
        <f ca="1" t="shared" ref="M28:M33" si="2">SUM(H28-NOW())</f>
        <v>-809.38453703704</v>
      </c>
      <c r="N28" s="27" t="str">
        <f ca="1" t="shared" ref="N28:N39" si="3">IF(M28&lt;=35,"WARNING","ACTIVE")</f>
        <v>WARNING</v>
      </c>
      <c r="O28" s="57">
        <v>7825523</v>
      </c>
      <c r="P28" s="20"/>
      <c r="Q28" s="54"/>
      <c r="R28" s="25" t="s">
        <v>18199</v>
      </c>
      <c r="S28" s="1609" t="s">
        <v>18200</v>
      </c>
      <c r="T28" s="27" t="s">
        <v>18201</v>
      </c>
      <c r="U28" s="83"/>
      <c r="V28" s="27" t="s">
        <v>18202</v>
      </c>
      <c r="W28" s="27"/>
      <c r="X28" s="85" t="s">
        <v>18203</v>
      </c>
      <c r="Y28" s="90" t="s">
        <v>7607</v>
      </c>
    </row>
    <row r="29" s="2" customFormat="1" ht="12" customHeight="1" spans="1:25">
      <c r="A29" s="25">
        <v>2</v>
      </c>
      <c r="B29" s="26" t="s">
        <v>18204</v>
      </c>
      <c r="C29" s="24" t="s">
        <v>18205</v>
      </c>
      <c r="D29" s="25" t="s">
        <v>18206</v>
      </c>
      <c r="E29" s="25" t="s">
        <v>43</v>
      </c>
      <c r="F29" s="25" t="s">
        <v>18207</v>
      </c>
      <c r="G29" s="40">
        <v>42446</v>
      </c>
      <c r="H29" s="40">
        <v>42476</v>
      </c>
      <c r="I29" s="20"/>
      <c r="J29" s="38"/>
      <c r="K29" s="20"/>
      <c r="L29" s="20"/>
      <c r="M29" s="53">
        <f ca="1" t="shared" si="2"/>
        <v>-796.38453703704</v>
      </c>
      <c r="N29" s="27" t="str">
        <f ca="1" t="shared" si="3"/>
        <v>WARNING</v>
      </c>
      <c r="O29" s="57">
        <v>6513224</v>
      </c>
      <c r="P29" s="20"/>
      <c r="Q29" s="54"/>
      <c r="R29" s="25" t="s">
        <v>18208</v>
      </c>
      <c r="S29" s="1609" t="s">
        <v>18209</v>
      </c>
      <c r="T29" s="27" t="s">
        <v>18210</v>
      </c>
      <c r="U29" s="83"/>
      <c r="V29" s="27" t="s">
        <v>18211</v>
      </c>
      <c r="W29" s="27"/>
      <c r="X29" s="85" t="s">
        <v>18212</v>
      </c>
      <c r="Y29" s="90" t="s">
        <v>7607</v>
      </c>
    </row>
    <row r="30" s="2" customFormat="1" ht="12" customHeight="1" spans="1:25">
      <c r="A30" s="25">
        <v>3</v>
      </c>
      <c r="B30" s="26" t="s">
        <v>18213</v>
      </c>
      <c r="C30" s="24" t="s">
        <v>18214</v>
      </c>
      <c r="D30" s="25" t="s">
        <v>18215</v>
      </c>
      <c r="E30" s="25" t="s">
        <v>44</v>
      </c>
      <c r="F30" s="25" t="s">
        <v>18216</v>
      </c>
      <c r="G30" s="40">
        <v>42432</v>
      </c>
      <c r="H30" s="40">
        <v>42462</v>
      </c>
      <c r="I30" s="20"/>
      <c r="J30" s="38"/>
      <c r="K30" s="20"/>
      <c r="L30" s="20"/>
      <c r="M30" s="53">
        <f ca="1" t="shared" si="2"/>
        <v>-810.38453703704</v>
      </c>
      <c r="N30" s="27" t="str">
        <f ca="1" t="shared" si="3"/>
        <v>WARNING</v>
      </c>
      <c r="O30" s="57">
        <v>10332100</v>
      </c>
      <c r="P30" s="20"/>
      <c r="Q30" s="54"/>
      <c r="R30" s="25" t="s">
        <v>18217</v>
      </c>
      <c r="S30" s="20"/>
      <c r="T30" s="27" t="s">
        <v>18218</v>
      </c>
      <c r="U30" s="83"/>
      <c r="V30" s="20" t="s">
        <v>18219</v>
      </c>
      <c r="W30" s="20"/>
      <c r="X30" s="85" t="s">
        <v>18220</v>
      </c>
      <c r="Y30" s="90" t="s">
        <v>7607</v>
      </c>
    </row>
    <row r="31" s="2" customFormat="1" ht="12" customHeight="1" spans="1:25">
      <c r="A31" s="25">
        <v>4</v>
      </c>
      <c r="B31" s="26" t="s">
        <v>18221</v>
      </c>
      <c r="C31" s="24" t="s">
        <v>18222</v>
      </c>
      <c r="D31" s="25" t="s">
        <v>18223</v>
      </c>
      <c r="E31" s="25"/>
      <c r="F31" s="25" t="s">
        <v>18148</v>
      </c>
      <c r="G31" s="40">
        <v>42446</v>
      </c>
      <c r="H31" s="40">
        <v>42476</v>
      </c>
      <c r="I31" s="27"/>
      <c r="J31" s="25"/>
      <c r="K31" s="27"/>
      <c r="L31" s="27"/>
      <c r="M31" s="53">
        <f ca="1" t="shared" si="2"/>
        <v>-796.38453703704</v>
      </c>
      <c r="N31" s="27" t="str">
        <f ca="1" t="shared" si="3"/>
        <v>WARNING</v>
      </c>
      <c r="O31" s="57">
        <v>7811811</v>
      </c>
      <c r="P31" s="27"/>
      <c r="Q31" s="66"/>
      <c r="R31" s="25" t="s">
        <v>18224</v>
      </c>
      <c r="S31" s="27"/>
      <c r="T31" s="27" t="s">
        <v>18225</v>
      </c>
      <c r="U31" s="83"/>
      <c r="V31" s="1610" t="s">
        <v>18226</v>
      </c>
      <c r="W31" s="27"/>
      <c r="X31" s="86" t="s">
        <v>18227</v>
      </c>
      <c r="Y31" s="90" t="s">
        <v>7607</v>
      </c>
    </row>
    <row r="32" s="2" customFormat="1" ht="12" customHeight="1" spans="1:25">
      <c r="A32" s="25"/>
      <c r="B32" s="26" t="s">
        <v>18228</v>
      </c>
      <c r="C32" s="24" t="s">
        <v>18229</v>
      </c>
      <c r="D32" s="25" t="s">
        <v>18230</v>
      </c>
      <c r="E32" s="25" t="s">
        <v>43</v>
      </c>
      <c r="F32" s="25" t="s">
        <v>18148</v>
      </c>
      <c r="G32" s="40">
        <v>42461</v>
      </c>
      <c r="H32" s="40">
        <v>42490</v>
      </c>
      <c r="I32" s="27"/>
      <c r="J32" s="25"/>
      <c r="K32" s="27"/>
      <c r="L32" s="27"/>
      <c r="M32" s="53">
        <f ca="1" t="shared" si="2"/>
        <v>-782.38453703704</v>
      </c>
      <c r="N32" s="27" t="str">
        <f ca="1" t="shared" si="3"/>
        <v>WARNING</v>
      </c>
      <c r="O32" s="57">
        <v>7795988</v>
      </c>
      <c r="P32" s="27"/>
      <c r="Q32" s="66"/>
      <c r="R32" s="25" t="s">
        <v>18231</v>
      </c>
      <c r="S32" s="27"/>
      <c r="T32" s="27" t="s">
        <v>18232</v>
      </c>
      <c r="U32" s="83"/>
      <c r="V32" s="1610" t="s">
        <v>18233</v>
      </c>
      <c r="W32" s="27"/>
      <c r="X32" s="86" t="s">
        <v>18234</v>
      </c>
      <c r="Y32" s="90" t="s">
        <v>7607</v>
      </c>
    </row>
    <row r="33" s="2" customFormat="1" ht="12" customHeight="1" spans="1:25">
      <c r="A33" s="27"/>
      <c r="B33" s="26" t="s">
        <v>18235</v>
      </c>
      <c r="C33" s="24" t="s">
        <v>18236</v>
      </c>
      <c r="D33" s="25" t="s">
        <v>18237</v>
      </c>
      <c r="E33" s="25" t="s">
        <v>43</v>
      </c>
      <c r="F33" s="25" t="s">
        <v>18148</v>
      </c>
      <c r="G33" s="40">
        <v>42467</v>
      </c>
      <c r="H33" s="40">
        <v>42496</v>
      </c>
      <c r="I33" s="25"/>
      <c r="J33" s="25"/>
      <c r="K33" s="27"/>
      <c r="L33" s="27"/>
      <c r="M33" s="53">
        <f ca="1" t="shared" si="2"/>
        <v>-776.38453703704</v>
      </c>
      <c r="N33" s="27" t="str">
        <f ca="1" t="shared" si="3"/>
        <v>WARNING</v>
      </c>
      <c r="O33" s="57">
        <v>6494755</v>
      </c>
      <c r="P33" s="27"/>
      <c r="Q33" s="27"/>
      <c r="R33" s="25" t="s">
        <v>18238</v>
      </c>
      <c r="S33" s="1610" t="s">
        <v>18239</v>
      </c>
      <c r="T33" s="27" t="s">
        <v>18240</v>
      </c>
      <c r="U33" s="83"/>
      <c r="V33" s="1610" t="s">
        <v>18241</v>
      </c>
      <c r="W33" s="27"/>
      <c r="X33" s="86" t="s">
        <v>18242</v>
      </c>
      <c r="Y33" s="90" t="s">
        <v>7607</v>
      </c>
    </row>
    <row r="34" s="2" customFormat="1" ht="12" customHeight="1" spans="1:25">
      <c r="A34" s="1609" t="s">
        <v>39</v>
      </c>
      <c r="B34" s="20"/>
      <c r="C34" s="28" t="s">
        <v>18243</v>
      </c>
      <c r="D34" s="27" t="s">
        <v>18244</v>
      </c>
      <c r="E34" s="20" t="s">
        <v>43</v>
      </c>
      <c r="F34" s="20" t="s">
        <v>18148</v>
      </c>
      <c r="G34" s="41">
        <v>42523</v>
      </c>
      <c r="H34" s="41">
        <v>42552</v>
      </c>
      <c r="I34" s="20"/>
      <c r="J34" s="20"/>
      <c r="K34" s="20"/>
      <c r="L34" s="20"/>
      <c r="M34" s="53">
        <f ca="1" t="shared" ref="M34:M39" si="4">SUM(H34-NOW())</f>
        <v>-720.38453703704</v>
      </c>
      <c r="N34" s="27" t="str">
        <f ca="1" t="shared" si="3"/>
        <v>WARNING</v>
      </c>
      <c r="O34" s="58">
        <v>7730590</v>
      </c>
      <c r="P34" s="20"/>
      <c r="Q34" s="20"/>
      <c r="R34" s="27" t="s">
        <v>18245</v>
      </c>
      <c r="S34" s="20">
        <v>8811210655</v>
      </c>
      <c r="T34" s="27" t="s">
        <v>18246</v>
      </c>
      <c r="U34" s="87"/>
      <c r="V34" s="20" t="s">
        <v>18247</v>
      </c>
      <c r="W34" s="20"/>
      <c r="X34" s="85" t="s">
        <v>18248</v>
      </c>
      <c r="Y34" s="90" t="s">
        <v>7607</v>
      </c>
    </row>
    <row r="35" s="2" customFormat="1" ht="12" customHeight="1" spans="1:25">
      <c r="A35" s="1609" t="s">
        <v>56</v>
      </c>
      <c r="B35" s="20"/>
      <c r="C35" s="28" t="s">
        <v>18249</v>
      </c>
      <c r="D35" s="27" t="s">
        <v>18250</v>
      </c>
      <c r="E35" s="20" t="s">
        <v>60</v>
      </c>
      <c r="F35" s="20" t="s">
        <v>8658</v>
      </c>
      <c r="G35" s="41">
        <v>42537</v>
      </c>
      <c r="H35" s="41">
        <v>42566</v>
      </c>
      <c r="I35" s="20"/>
      <c r="J35" s="20"/>
      <c r="K35" s="20"/>
      <c r="L35" s="20"/>
      <c r="M35" s="53">
        <f ca="1" t="shared" si="4"/>
        <v>-706.38453703704</v>
      </c>
      <c r="N35" s="27" t="str">
        <f ca="1" t="shared" si="3"/>
        <v>WARNING</v>
      </c>
      <c r="O35" s="58">
        <v>6613562</v>
      </c>
      <c r="P35" s="20"/>
      <c r="Q35" s="20"/>
      <c r="R35" s="27" t="s">
        <v>18251</v>
      </c>
      <c r="S35" s="20">
        <v>81280499986</v>
      </c>
      <c r="T35" s="20" t="s">
        <v>18252</v>
      </c>
      <c r="U35" s="87"/>
      <c r="V35" s="20" t="s">
        <v>18253</v>
      </c>
      <c r="W35" s="20"/>
      <c r="X35" s="85" t="s">
        <v>18254</v>
      </c>
      <c r="Y35" s="90" t="s">
        <v>7607</v>
      </c>
    </row>
    <row r="36" s="2" customFormat="1" ht="12" customHeight="1" spans="1:25">
      <c r="A36" s="1609" t="s">
        <v>68</v>
      </c>
      <c r="B36" s="20"/>
      <c r="C36" s="28" t="s">
        <v>11491</v>
      </c>
      <c r="D36" s="27" t="s">
        <v>18255</v>
      </c>
      <c r="E36" s="20" t="s">
        <v>43</v>
      </c>
      <c r="F36" s="20" t="s">
        <v>18256</v>
      </c>
      <c r="G36" s="41">
        <v>42525</v>
      </c>
      <c r="H36" s="41">
        <v>42554</v>
      </c>
      <c r="I36" s="20"/>
      <c r="J36" s="20"/>
      <c r="K36" s="20"/>
      <c r="L36" s="20"/>
      <c r="M36" s="53">
        <f ca="1" t="shared" si="4"/>
        <v>-718.38453703704</v>
      </c>
      <c r="N36" s="27" t="str">
        <f ca="1" t="shared" si="3"/>
        <v>WARNING</v>
      </c>
      <c r="O36" s="58">
        <v>4968309</v>
      </c>
      <c r="P36" s="20"/>
      <c r="Q36" s="20"/>
      <c r="R36" s="27" t="s">
        <v>18257</v>
      </c>
      <c r="S36" s="20">
        <v>8568747580</v>
      </c>
      <c r="T36" s="20" t="s">
        <v>18258</v>
      </c>
      <c r="U36" s="87"/>
      <c r="V36" s="20" t="s">
        <v>18259</v>
      </c>
      <c r="W36" s="20"/>
      <c r="X36" s="85" t="s">
        <v>18260</v>
      </c>
      <c r="Y36" s="90" t="s">
        <v>7607</v>
      </c>
    </row>
    <row r="37" s="2" customFormat="1" ht="12" customHeight="1" spans="1:25">
      <c r="A37" s="1609" t="s">
        <v>39</v>
      </c>
      <c r="B37" s="20" t="s">
        <v>18261</v>
      </c>
      <c r="C37" s="28" t="s">
        <v>18262</v>
      </c>
      <c r="D37" s="27" t="s">
        <v>18263</v>
      </c>
      <c r="E37" s="20"/>
      <c r="F37" s="20" t="s">
        <v>18264</v>
      </c>
      <c r="G37" s="41">
        <v>42572</v>
      </c>
      <c r="H37" s="41">
        <v>42602</v>
      </c>
      <c r="I37" s="20"/>
      <c r="J37" s="20"/>
      <c r="K37" s="20"/>
      <c r="L37" s="20"/>
      <c r="M37" s="53">
        <f ca="1" t="shared" si="4"/>
        <v>-670.38453703704</v>
      </c>
      <c r="N37" s="27" t="str">
        <f ca="1" t="shared" si="3"/>
        <v>WARNING</v>
      </c>
      <c r="O37" s="58">
        <v>5055750</v>
      </c>
      <c r="P37" s="20"/>
      <c r="Q37" s="20"/>
      <c r="R37" s="27" t="s">
        <v>18265</v>
      </c>
      <c r="S37" s="1609" t="s">
        <v>18266</v>
      </c>
      <c r="T37" s="27" t="s">
        <v>18267</v>
      </c>
      <c r="U37" s="87"/>
      <c r="V37" s="20" t="s">
        <v>18268</v>
      </c>
      <c r="W37" s="20"/>
      <c r="X37" s="85" t="s">
        <v>18269</v>
      </c>
      <c r="Y37" s="90" t="s">
        <v>7607</v>
      </c>
    </row>
    <row r="38" s="2" customFormat="1" ht="12" customHeight="1" spans="1:25">
      <c r="A38" s="1609" t="s">
        <v>39</v>
      </c>
      <c r="B38" s="20" t="s">
        <v>18270</v>
      </c>
      <c r="C38" s="28" t="s">
        <v>18271</v>
      </c>
      <c r="D38" s="27" t="s">
        <v>18272</v>
      </c>
      <c r="E38" s="20" t="s">
        <v>43</v>
      </c>
      <c r="F38" s="20" t="s">
        <v>1241</v>
      </c>
      <c r="G38" s="41">
        <v>42635</v>
      </c>
      <c r="H38" s="41">
        <v>42664</v>
      </c>
      <c r="I38" s="20"/>
      <c r="J38" s="20"/>
      <c r="K38" s="20"/>
      <c r="L38" s="20"/>
      <c r="M38" s="53">
        <f ca="1" t="shared" si="4"/>
        <v>-608.38453703704</v>
      </c>
      <c r="N38" s="27" t="str">
        <f ca="1" t="shared" si="3"/>
        <v>WARNING</v>
      </c>
      <c r="O38" s="58">
        <v>6837300</v>
      </c>
      <c r="P38" s="20"/>
      <c r="Q38" s="20"/>
      <c r="R38" s="27" t="s">
        <v>18273</v>
      </c>
      <c r="S38" s="1609" t="s">
        <v>18274</v>
      </c>
      <c r="T38" s="27" t="s">
        <v>18275</v>
      </c>
      <c r="U38" s="87"/>
      <c r="V38" s="20" t="s">
        <v>18276</v>
      </c>
      <c r="W38" s="20"/>
      <c r="X38" s="85" t="s">
        <v>18277</v>
      </c>
      <c r="Y38" s="20" t="s">
        <v>7607</v>
      </c>
    </row>
    <row r="39" s="2" customFormat="1" ht="12" customHeight="1" spans="1:25">
      <c r="A39" s="1609" t="s">
        <v>39</v>
      </c>
      <c r="B39" s="20" t="s">
        <v>18278</v>
      </c>
      <c r="C39" s="28" t="s">
        <v>18279</v>
      </c>
      <c r="D39" s="27" t="s">
        <v>18280</v>
      </c>
      <c r="E39" s="20" t="s">
        <v>17420</v>
      </c>
      <c r="F39" s="20" t="s">
        <v>18281</v>
      </c>
      <c r="G39" s="41">
        <v>42659</v>
      </c>
      <c r="H39" s="42">
        <v>42689</v>
      </c>
      <c r="I39" s="20"/>
      <c r="J39" s="20"/>
      <c r="K39" s="20"/>
      <c r="L39" s="20"/>
      <c r="M39" s="53">
        <f ca="1" t="shared" si="4"/>
        <v>-583.38453703704</v>
      </c>
      <c r="N39" s="27" t="str">
        <f ca="1" t="shared" si="3"/>
        <v>WARNING</v>
      </c>
      <c r="O39" s="58">
        <v>4558200</v>
      </c>
      <c r="P39" s="20"/>
      <c r="Q39" s="20"/>
      <c r="R39" s="27" t="s">
        <v>18282</v>
      </c>
      <c r="S39" s="1609" t="s">
        <v>18283</v>
      </c>
      <c r="T39" s="27" t="s">
        <v>18284</v>
      </c>
      <c r="U39" s="87"/>
      <c r="V39" s="20" t="s">
        <v>18285</v>
      </c>
      <c r="W39" s="20"/>
      <c r="X39" s="85" t="s">
        <v>18286</v>
      </c>
      <c r="Y39" s="20" t="s">
        <v>7607</v>
      </c>
    </row>
    <row r="40" s="2" customFormat="1" ht="12" customHeight="1" spans="1:25">
      <c r="A40" s="1609" t="s">
        <v>39</v>
      </c>
      <c r="B40" s="20"/>
      <c r="C40" s="28" t="s">
        <v>18287</v>
      </c>
      <c r="D40" s="27" t="s">
        <v>18288</v>
      </c>
      <c r="E40" s="20" t="s">
        <v>44</v>
      </c>
      <c r="F40" s="20" t="s">
        <v>18289</v>
      </c>
      <c r="G40" s="41">
        <v>42705</v>
      </c>
      <c r="H40" s="42">
        <v>42735</v>
      </c>
      <c r="I40" s="20"/>
      <c r="J40" s="20"/>
      <c r="K40" s="20"/>
      <c r="L40" s="20"/>
      <c r="M40" s="53">
        <v>-3.65492789351993</v>
      </c>
      <c r="N40" s="27" t="s">
        <v>2569</v>
      </c>
      <c r="O40" s="58">
        <v>11572050</v>
      </c>
      <c r="P40" s="20"/>
      <c r="Q40" s="20"/>
      <c r="R40" s="27" t="s">
        <v>18290</v>
      </c>
      <c r="S40" s="1609" t="s">
        <v>18291</v>
      </c>
      <c r="T40" s="27" t="s">
        <v>18292</v>
      </c>
      <c r="U40" s="87"/>
      <c r="V40" s="20" t="s">
        <v>18293</v>
      </c>
      <c r="W40" s="20"/>
      <c r="X40" s="85" t="s">
        <v>18294</v>
      </c>
      <c r="Y40" s="20" t="s">
        <v>7607</v>
      </c>
    </row>
    <row r="41" s="2" customFormat="1" ht="12" customHeight="1" spans="1:25">
      <c r="A41" s="1609" t="s">
        <v>18295</v>
      </c>
      <c r="B41" s="20"/>
      <c r="C41" s="28" t="s">
        <v>18296</v>
      </c>
      <c r="D41" s="27" t="s">
        <v>18297</v>
      </c>
      <c r="E41" s="20" t="s">
        <v>43</v>
      </c>
      <c r="F41" s="20" t="s">
        <v>18298</v>
      </c>
      <c r="G41" s="41">
        <v>42693</v>
      </c>
      <c r="H41" s="42">
        <v>42722</v>
      </c>
      <c r="I41" s="20"/>
      <c r="J41" s="20"/>
      <c r="K41" s="20"/>
      <c r="L41" s="20"/>
      <c r="M41" s="53">
        <v>-16.6549278935199</v>
      </c>
      <c r="N41" s="27" t="s">
        <v>2569</v>
      </c>
      <c r="O41" s="58">
        <v>10316362</v>
      </c>
      <c r="P41" s="20"/>
      <c r="Q41" s="20"/>
      <c r="R41" s="27" t="s">
        <v>18299</v>
      </c>
      <c r="S41" s="1609" t="s">
        <v>18300</v>
      </c>
      <c r="T41" s="27" t="s">
        <v>18301</v>
      </c>
      <c r="U41" s="87"/>
      <c r="V41" s="20" t="s">
        <v>18302</v>
      </c>
      <c r="W41" s="20"/>
      <c r="X41" s="85" t="s">
        <v>18303</v>
      </c>
      <c r="Y41" s="20" t="s">
        <v>7607</v>
      </c>
    </row>
    <row r="42" s="2" customFormat="1" ht="12" customHeight="1" spans="1:25">
      <c r="A42" s="29" t="s">
        <v>39</v>
      </c>
      <c r="B42" s="29"/>
      <c r="C42" s="30" t="s">
        <v>18287</v>
      </c>
      <c r="D42" s="29" t="s">
        <v>18288</v>
      </c>
      <c r="E42" s="29" t="s">
        <v>44</v>
      </c>
      <c r="F42" s="29" t="s">
        <v>18289</v>
      </c>
      <c r="G42" s="41">
        <v>42705</v>
      </c>
      <c r="H42" s="42">
        <v>42735</v>
      </c>
      <c r="I42" s="29"/>
      <c r="J42" s="29"/>
      <c r="K42" s="29"/>
      <c r="L42" s="29"/>
      <c r="M42" s="29">
        <v>-3.65753842592676</v>
      </c>
      <c r="N42" s="29" t="s">
        <v>2569</v>
      </c>
      <c r="O42" s="29">
        <v>11572050</v>
      </c>
      <c r="P42" s="29"/>
      <c r="Q42" s="29"/>
      <c r="R42" s="29" t="s">
        <v>18290</v>
      </c>
      <c r="S42" s="29" t="s">
        <v>18291</v>
      </c>
      <c r="T42" s="29" t="s">
        <v>18292</v>
      </c>
      <c r="U42" s="88"/>
      <c r="V42" s="29" t="s">
        <v>18293</v>
      </c>
      <c r="W42" s="29"/>
      <c r="X42" s="28" t="s">
        <v>18294</v>
      </c>
      <c r="Y42" s="28" t="s">
        <v>7607</v>
      </c>
    </row>
    <row r="43" s="2" customFormat="1" ht="12" customHeight="1" spans="1:25">
      <c r="A43" s="1609" t="s">
        <v>39</v>
      </c>
      <c r="B43" s="20" t="s">
        <v>18304</v>
      </c>
      <c r="C43" s="28" t="s">
        <v>18287</v>
      </c>
      <c r="D43" s="27" t="s">
        <v>18288</v>
      </c>
      <c r="E43" s="20" t="s">
        <v>44</v>
      </c>
      <c r="F43" s="27" t="s">
        <v>18289</v>
      </c>
      <c r="G43" s="41">
        <v>42705</v>
      </c>
      <c r="H43" s="42">
        <v>42735</v>
      </c>
      <c r="I43" s="20"/>
      <c r="J43" s="20"/>
      <c r="K43" s="20"/>
      <c r="L43" s="20"/>
      <c r="M43" s="53">
        <f ca="1" t="shared" ref="M43:M53" si="5">SUM(H43-NOW())</f>
        <v>-537.38453703704</v>
      </c>
      <c r="N43" s="27" t="str">
        <f ca="1" t="shared" ref="N43:N53" si="6">IF(M43&lt;=35,"WARNING","ACTIVE")</f>
        <v>WARNING</v>
      </c>
      <c r="O43" s="58">
        <v>11572050</v>
      </c>
      <c r="P43" s="20"/>
      <c r="Q43" s="20"/>
      <c r="R43" s="27" t="s">
        <v>18290</v>
      </c>
      <c r="S43" s="1609" t="s">
        <v>18291</v>
      </c>
      <c r="T43" s="27" t="s">
        <v>18292</v>
      </c>
      <c r="U43" s="87"/>
      <c r="V43" s="20" t="s">
        <v>18293</v>
      </c>
      <c r="W43" s="20"/>
      <c r="X43" s="85" t="s">
        <v>18294</v>
      </c>
      <c r="Y43" s="20" t="s">
        <v>7607</v>
      </c>
    </row>
    <row r="44" s="2" customFormat="1" ht="12" customHeight="1" spans="1:25">
      <c r="A44" s="20">
        <v>1</v>
      </c>
      <c r="B44" s="20"/>
      <c r="C44" s="21" t="s">
        <v>18305</v>
      </c>
      <c r="D44" s="22" t="s">
        <v>18306</v>
      </c>
      <c r="E44" s="22" t="s">
        <v>44</v>
      </c>
      <c r="F44" s="36" t="s">
        <v>18148</v>
      </c>
      <c r="G44" s="37" t="s">
        <v>18307</v>
      </c>
      <c r="H44" s="37">
        <v>42826</v>
      </c>
      <c r="I44" s="29"/>
      <c r="J44" s="29"/>
      <c r="K44" s="29"/>
      <c r="L44" s="29"/>
      <c r="M44" s="53">
        <f ca="1" t="shared" si="5"/>
        <v>-446.38453703704</v>
      </c>
      <c r="N44" s="27" t="str">
        <f ca="1" t="shared" si="6"/>
        <v>WARNING</v>
      </c>
      <c r="O44" s="54">
        <v>8014300</v>
      </c>
      <c r="P44" s="55"/>
      <c r="Q44" s="66"/>
      <c r="R44" s="27" t="s">
        <v>18308</v>
      </c>
      <c r="S44" s="27">
        <v>89603005236</v>
      </c>
      <c r="T44" s="27" t="s">
        <v>18309</v>
      </c>
      <c r="U44" s="83"/>
      <c r="V44" s="27" t="s">
        <v>18310</v>
      </c>
      <c r="W44" s="27"/>
      <c r="X44" s="84" t="s">
        <v>18311</v>
      </c>
      <c r="Y44" s="20" t="s">
        <v>7607</v>
      </c>
    </row>
    <row r="45" s="2" customFormat="1" ht="12" customHeight="1" spans="1:25">
      <c r="A45" s="20">
        <v>2</v>
      </c>
      <c r="B45" s="20"/>
      <c r="C45" s="21" t="s">
        <v>18312</v>
      </c>
      <c r="D45" s="22" t="s">
        <v>18313</v>
      </c>
      <c r="E45" s="22" t="s">
        <v>43</v>
      </c>
      <c r="F45" s="36" t="s">
        <v>18148</v>
      </c>
      <c r="G45" s="37" t="s">
        <v>18314</v>
      </c>
      <c r="H45" s="37">
        <v>42840</v>
      </c>
      <c r="I45" s="29"/>
      <c r="J45" s="29"/>
      <c r="K45" s="29"/>
      <c r="L45" s="29"/>
      <c r="M45" s="53">
        <f ca="1" t="shared" si="5"/>
        <v>-432.38453703704</v>
      </c>
      <c r="N45" s="27" t="str">
        <f ca="1" t="shared" si="6"/>
        <v>WARNING</v>
      </c>
      <c r="O45" s="54">
        <v>8014300</v>
      </c>
      <c r="P45" s="55"/>
      <c r="Q45" s="66"/>
      <c r="R45" s="27" t="s">
        <v>18315</v>
      </c>
      <c r="S45" s="27">
        <v>89603015001</v>
      </c>
      <c r="T45" s="27" t="s">
        <v>18316</v>
      </c>
      <c r="U45" s="83"/>
      <c r="V45" s="27" t="s">
        <v>18317</v>
      </c>
      <c r="W45" s="27"/>
      <c r="X45" s="84" t="s">
        <v>18318</v>
      </c>
      <c r="Y45" s="20" t="s">
        <v>7607</v>
      </c>
    </row>
    <row r="46" s="2" customFormat="1" ht="12" customHeight="1" spans="1:25">
      <c r="A46" s="20">
        <v>3</v>
      </c>
      <c r="B46" s="20"/>
      <c r="C46" s="21" t="s">
        <v>18319</v>
      </c>
      <c r="D46" s="22" t="s">
        <v>18320</v>
      </c>
      <c r="E46" s="22"/>
      <c r="F46" s="36" t="s">
        <v>18321</v>
      </c>
      <c r="G46" s="37" t="s">
        <v>18322</v>
      </c>
      <c r="H46" s="37">
        <v>42881</v>
      </c>
      <c r="I46" s="29"/>
      <c r="J46" s="29"/>
      <c r="K46" s="29"/>
      <c r="L46" s="29"/>
      <c r="M46" s="53">
        <f ca="1" t="shared" si="5"/>
        <v>-391.38453703704</v>
      </c>
      <c r="N46" s="27" t="str">
        <f ca="1" t="shared" si="6"/>
        <v>WARNING</v>
      </c>
      <c r="O46" s="54">
        <v>3988425</v>
      </c>
      <c r="P46" s="55"/>
      <c r="Q46" s="66"/>
      <c r="R46" s="27" t="s">
        <v>18323</v>
      </c>
      <c r="S46" s="27" t="s">
        <v>18324</v>
      </c>
      <c r="T46" s="27" t="s">
        <v>18325</v>
      </c>
      <c r="U46" s="83"/>
      <c r="V46" s="27" t="s">
        <v>18326</v>
      </c>
      <c r="W46" s="27"/>
      <c r="X46" s="84" t="s">
        <v>18327</v>
      </c>
      <c r="Y46" s="20" t="s">
        <v>7607</v>
      </c>
    </row>
    <row r="47" s="2" customFormat="1" ht="12" customHeight="1" spans="1:25">
      <c r="A47" s="20">
        <v>4</v>
      </c>
      <c r="B47" s="20"/>
      <c r="C47" s="21" t="s">
        <v>18328</v>
      </c>
      <c r="D47" s="22" t="s">
        <v>18329</v>
      </c>
      <c r="E47" s="22" t="s">
        <v>43</v>
      </c>
      <c r="F47" s="36" t="s">
        <v>18321</v>
      </c>
      <c r="G47" s="37" t="s">
        <v>18330</v>
      </c>
      <c r="H47" s="37">
        <v>42873</v>
      </c>
      <c r="I47" s="29"/>
      <c r="J47" s="29"/>
      <c r="K47" s="29"/>
      <c r="L47" s="29"/>
      <c r="M47" s="53">
        <f ca="1" t="shared" si="5"/>
        <v>-399.38453703704</v>
      </c>
      <c r="N47" s="27" t="str">
        <f ca="1" t="shared" si="6"/>
        <v>WARNING</v>
      </c>
      <c r="O47" s="54">
        <v>3355750</v>
      </c>
      <c r="P47" s="55"/>
      <c r="Q47" s="66"/>
      <c r="R47" s="27" t="s">
        <v>18331</v>
      </c>
      <c r="S47" s="27" t="s">
        <v>18332</v>
      </c>
      <c r="T47" s="27" t="s">
        <v>18333</v>
      </c>
      <c r="U47" s="83"/>
      <c r="V47" s="27" t="s">
        <v>18334</v>
      </c>
      <c r="W47" s="27"/>
      <c r="X47" s="77" t="s">
        <v>18335</v>
      </c>
      <c r="Y47" s="20" t="s">
        <v>7607</v>
      </c>
    </row>
    <row r="48" s="2" customFormat="1" ht="12" customHeight="1" spans="1:25">
      <c r="A48" s="20">
        <v>1</v>
      </c>
      <c r="B48" s="20" t="s">
        <v>18336</v>
      </c>
      <c r="C48" s="21" t="s">
        <v>18337</v>
      </c>
      <c r="D48" s="22" t="s">
        <v>18338</v>
      </c>
      <c r="E48" s="22" t="s">
        <v>44</v>
      </c>
      <c r="F48" s="36" t="s">
        <v>18339</v>
      </c>
      <c r="G48" s="37" t="s">
        <v>18340</v>
      </c>
      <c r="H48" s="37">
        <v>42914</v>
      </c>
      <c r="I48" s="29"/>
      <c r="J48" s="29"/>
      <c r="K48" s="29"/>
      <c r="L48" s="29"/>
      <c r="M48" s="53">
        <f ca="1" t="shared" si="5"/>
        <v>-358.38453703704</v>
      </c>
      <c r="N48" s="27" t="str">
        <f ca="1" t="shared" si="6"/>
        <v>WARNING</v>
      </c>
      <c r="O48" s="54">
        <v>3531000</v>
      </c>
      <c r="P48" s="55"/>
      <c r="Q48" s="66"/>
      <c r="R48" s="27" t="s">
        <v>18341</v>
      </c>
      <c r="S48" s="27">
        <v>8111895444</v>
      </c>
      <c r="T48" s="27" t="s">
        <v>18342</v>
      </c>
      <c r="U48" s="83"/>
      <c r="V48" s="27" t="s">
        <v>18343</v>
      </c>
      <c r="W48" s="27"/>
      <c r="X48" s="84" t="s">
        <v>18344</v>
      </c>
      <c r="Y48" s="90"/>
    </row>
    <row r="49" s="2" customFormat="1" ht="12" customHeight="1" spans="1:25">
      <c r="A49" s="20">
        <v>1</v>
      </c>
      <c r="B49" s="20" t="s">
        <v>18345</v>
      </c>
      <c r="C49" s="21" t="s">
        <v>18346</v>
      </c>
      <c r="D49" s="22" t="s">
        <v>18347</v>
      </c>
      <c r="E49" s="22" t="s">
        <v>44</v>
      </c>
      <c r="F49" s="36" t="s">
        <v>18348</v>
      </c>
      <c r="G49" s="37">
        <v>42901</v>
      </c>
      <c r="H49" s="37">
        <v>42930</v>
      </c>
      <c r="I49" s="29"/>
      <c r="J49" s="29"/>
      <c r="K49" s="29"/>
      <c r="L49" s="29"/>
      <c r="M49" s="53">
        <f ca="1" t="shared" si="5"/>
        <v>-342.38453703704</v>
      </c>
      <c r="N49" s="27" t="str">
        <f ca="1" t="shared" si="6"/>
        <v>WARNING</v>
      </c>
      <c r="O49" s="54">
        <v>4694946</v>
      </c>
      <c r="P49" s="55" t="s">
        <v>18349</v>
      </c>
      <c r="Q49" s="66"/>
      <c r="R49" s="27" t="s">
        <v>18350</v>
      </c>
      <c r="S49" s="27"/>
      <c r="T49" s="27" t="s">
        <v>18351</v>
      </c>
      <c r="U49" s="83"/>
      <c r="V49" s="27" t="s">
        <v>18352</v>
      </c>
      <c r="W49" s="27"/>
      <c r="X49" s="84" t="s">
        <v>18353</v>
      </c>
      <c r="Y49" s="90"/>
    </row>
    <row r="50" s="2" customFormat="1" customHeight="1" spans="1:25">
      <c r="A50" s="1609" t="s">
        <v>39</v>
      </c>
      <c r="B50" s="20" t="s">
        <v>18354</v>
      </c>
      <c r="C50" s="31" t="s">
        <v>18355</v>
      </c>
      <c r="D50" s="22" t="s">
        <v>18356</v>
      </c>
      <c r="E50" s="22" t="s">
        <v>44</v>
      </c>
      <c r="F50" s="36" t="s">
        <v>18339</v>
      </c>
      <c r="G50" s="37">
        <v>42923</v>
      </c>
      <c r="H50" s="37">
        <v>42953</v>
      </c>
      <c r="I50" s="29"/>
      <c r="J50" s="29"/>
      <c r="K50" s="29"/>
      <c r="L50" s="29"/>
      <c r="M50" s="53">
        <f ca="1" t="shared" si="5"/>
        <v>-319.38453703704</v>
      </c>
      <c r="N50" s="27" t="str">
        <f ca="1" t="shared" si="6"/>
        <v>WARNING</v>
      </c>
      <c r="O50" s="54">
        <v>3825555</v>
      </c>
      <c r="P50" s="55" t="s">
        <v>18357</v>
      </c>
      <c r="Q50" s="66"/>
      <c r="R50" s="27" t="s">
        <v>18358</v>
      </c>
      <c r="S50" s="27">
        <v>81280434507</v>
      </c>
      <c r="T50" s="27" t="s">
        <v>18359</v>
      </c>
      <c r="U50" s="83"/>
      <c r="V50" s="27" t="s">
        <v>18360</v>
      </c>
      <c r="W50" s="27"/>
      <c r="X50" s="84" t="s">
        <v>18361</v>
      </c>
      <c r="Y50" s="90"/>
    </row>
    <row r="51" s="2" customFormat="1" customHeight="1" spans="1:25">
      <c r="A51" s="20">
        <v>1</v>
      </c>
      <c r="B51" s="32" t="s">
        <v>18362</v>
      </c>
      <c r="C51" s="31" t="s">
        <v>18363</v>
      </c>
      <c r="D51" s="22" t="s">
        <v>18364</v>
      </c>
      <c r="E51" s="22" t="s">
        <v>43</v>
      </c>
      <c r="F51" s="36" t="s">
        <v>18339</v>
      </c>
      <c r="G51" s="37">
        <v>42986</v>
      </c>
      <c r="H51" s="37">
        <v>43015</v>
      </c>
      <c r="I51" s="29"/>
      <c r="J51" s="29"/>
      <c r="K51" s="29"/>
      <c r="L51" s="29"/>
      <c r="M51" s="53">
        <f ca="1" t="shared" si="5"/>
        <v>-257.38453703704</v>
      </c>
      <c r="N51" s="27" t="str">
        <f ca="1" t="shared" si="6"/>
        <v>WARNING</v>
      </c>
      <c r="O51" s="54">
        <v>3825555</v>
      </c>
      <c r="P51" s="55"/>
      <c r="Q51" s="66"/>
      <c r="R51" s="27" t="s">
        <v>18365</v>
      </c>
      <c r="S51" s="27"/>
      <c r="T51" s="27" t="s">
        <v>18366</v>
      </c>
      <c r="U51" s="83" t="s">
        <v>18367</v>
      </c>
      <c r="V51" s="27" t="s">
        <v>18368</v>
      </c>
      <c r="W51" s="27"/>
      <c r="X51" s="84" t="s">
        <v>18369</v>
      </c>
      <c r="Y51" s="90"/>
    </row>
    <row r="52" s="2" customFormat="1" customHeight="1" spans="1:25">
      <c r="A52" s="1609" t="s">
        <v>39</v>
      </c>
      <c r="B52" s="32" t="s">
        <v>18370</v>
      </c>
      <c r="C52" s="31" t="s">
        <v>18371</v>
      </c>
      <c r="D52" s="22" t="s">
        <v>18372</v>
      </c>
      <c r="E52" s="22" t="s">
        <v>43</v>
      </c>
      <c r="F52" s="36" t="s">
        <v>18321</v>
      </c>
      <c r="G52" s="37">
        <v>43046</v>
      </c>
      <c r="H52" s="37">
        <v>43075</v>
      </c>
      <c r="I52" s="29"/>
      <c r="J52" s="29"/>
      <c r="K52" s="29"/>
      <c r="L52" s="29"/>
      <c r="M52" s="53">
        <f ca="1" t="shared" si="5"/>
        <v>-197.38453703704</v>
      </c>
      <c r="N52" s="27" t="str">
        <f ca="1" t="shared" si="6"/>
        <v>WARNING</v>
      </c>
      <c r="O52" s="54">
        <v>4312593</v>
      </c>
      <c r="P52" s="55"/>
      <c r="Q52" s="66"/>
      <c r="R52" s="27" t="s">
        <v>18373</v>
      </c>
      <c r="S52" s="27">
        <v>8118753890</v>
      </c>
      <c r="T52" s="27" t="s">
        <v>18374</v>
      </c>
      <c r="U52" s="83"/>
      <c r="V52" s="27" t="s">
        <v>18375</v>
      </c>
      <c r="W52" s="27"/>
      <c r="X52" s="84" t="s">
        <v>18376</v>
      </c>
      <c r="Y52" s="90"/>
    </row>
    <row r="53" s="2" customFormat="1" customHeight="1" spans="1:25">
      <c r="A53" s="1609" t="s">
        <v>56</v>
      </c>
      <c r="B53" s="32" t="s">
        <v>18377</v>
      </c>
      <c r="C53" s="31" t="s">
        <v>18378</v>
      </c>
      <c r="D53" s="22" t="s">
        <v>18379</v>
      </c>
      <c r="E53" s="22" t="s">
        <v>43</v>
      </c>
      <c r="F53" s="36" t="s">
        <v>18339</v>
      </c>
      <c r="G53" s="37">
        <v>43062</v>
      </c>
      <c r="H53" s="37">
        <v>43091</v>
      </c>
      <c r="I53" s="29"/>
      <c r="J53" s="29"/>
      <c r="K53" s="29"/>
      <c r="L53" s="29"/>
      <c r="M53" s="53">
        <f ca="1" t="shared" si="5"/>
        <v>-181.38453703704</v>
      </c>
      <c r="N53" s="27" t="str">
        <f ca="1" t="shared" si="6"/>
        <v>WARNING</v>
      </c>
      <c r="O53" s="54">
        <v>4100476</v>
      </c>
      <c r="P53" s="55"/>
      <c r="Q53" s="66"/>
      <c r="R53" s="27" t="s">
        <v>18380</v>
      </c>
      <c r="S53" s="27">
        <v>8811490745</v>
      </c>
      <c r="T53" s="27" t="s">
        <v>18381</v>
      </c>
      <c r="U53" s="83"/>
      <c r="V53" s="27" t="s">
        <v>18382</v>
      </c>
      <c r="W53" s="27"/>
      <c r="X53" s="84" t="s">
        <v>18383</v>
      </c>
      <c r="Y53" s="90"/>
    </row>
    <row r="54" s="2" customFormat="1" customHeight="1" spans="1:25">
      <c r="A54" s="1609" t="s">
        <v>39</v>
      </c>
      <c r="B54" s="32" t="s">
        <v>18384</v>
      </c>
      <c r="C54" s="31" t="s">
        <v>18385</v>
      </c>
      <c r="D54" s="22" t="s">
        <v>18386</v>
      </c>
      <c r="E54" s="22" t="s">
        <v>43</v>
      </c>
      <c r="F54" s="36" t="s">
        <v>18321</v>
      </c>
      <c r="G54" s="37">
        <v>43108</v>
      </c>
      <c r="H54" s="37">
        <v>43138</v>
      </c>
      <c r="I54" s="29"/>
      <c r="J54" s="29"/>
      <c r="K54" s="29"/>
      <c r="L54" s="29"/>
      <c r="M54" s="53"/>
      <c r="N54" s="27"/>
      <c r="O54" s="54">
        <v>3921653</v>
      </c>
      <c r="P54" s="55" t="s">
        <v>18387</v>
      </c>
      <c r="Q54" s="66"/>
      <c r="R54" s="27" t="s">
        <v>18388</v>
      </c>
      <c r="S54" s="27">
        <v>8111935476</v>
      </c>
      <c r="T54" s="27" t="s">
        <v>18389</v>
      </c>
      <c r="U54" s="83"/>
      <c r="V54" s="27" t="s">
        <v>18390</v>
      </c>
      <c r="W54" s="27"/>
      <c r="X54" s="84" t="s">
        <v>18391</v>
      </c>
      <c r="Y54" s="90"/>
    </row>
    <row r="55" s="2" customFormat="1" customHeight="1" spans="1:25">
      <c r="A55" s="20">
        <v>1</v>
      </c>
      <c r="B55" s="32" t="s">
        <v>18392</v>
      </c>
      <c r="C55" s="31" t="s">
        <v>18393</v>
      </c>
      <c r="D55" s="22" t="s">
        <v>18394</v>
      </c>
      <c r="E55" s="22" t="s">
        <v>44</v>
      </c>
      <c r="F55" s="36" t="s">
        <v>18339</v>
      </c>
      <c r="G55" s="37">
        <v>43182</v>
      </c>
      <c r="H55" s="37">
        <v>43212</v>
      </c>
      <c r="I55" s="29"/>
      <c r="J55" s="29"/>
      <c r="K55" s="29"/>
      <c r="L55" s="29"/>
      <c r="M55" s="53"/>
      <c r="N55" s="27"/>
      <c r="O55" s="54">
        <v>3775890</v>
      </c>
      <c r="P55" s="55"/>
      <c r="Q55" s="66"/>
      <c r="R55" s="27" t="s">
        <v>18395</v>
      </c>
      <c r="S55" s="27"/>
      <c r="T55" s="27" t="s">
        <v>18396</v>
      </c>
      <c r="U55" s="83"/>
      <c r="V55" s="27" t="s">
        <v>18397</v>
      </c>
      <c r="W55" s="27"/>
      <c r="X55" s="84" t="s">
        <v>18398</v>
      </c>
      <c r="Y55" s="90"/>
    </row>
    <row r="56" s="2" customFormat="1" customHeight="1" spans="21:25">
      <c r="U56" s="78"/>
      <c r="X56" s="79"/>
      <c r="Y56" s="79"/>
    </row>
    <row r="57" s="2" customFormat="1" customHeight="1" spans="21:25">
      <c r="U57" s="78"/>
      <c r="X57" s="79"/>
      <c r="Y57" s="79"/>
    </row>
    <row r="58" s="2" customFormat="1" customHeight="1" spans="21:25">
      <c r="U58" s="78"/>
      <c r="X58" s="79"/>
      <c r="Y58" s="79"/>
    </row>
    <row r="59" s="2" customFormat="1" customHeight="1" spans="21:25">
      <c r="U59" s="78"/>
      <c r="X59" s="79"/>
      <c r="Y59" s="79"/>
    </row>
    <row r="60" s="2" customFormat="1" customHeight="1" spans="21:25">
      <c r="U60" s="78"/>
      <c r="X60" s="79"/>
      <c r="Y60" s="79"/>
    </row>
    <row r="61" s="2" customFormat="1" customHeight="1" spans="21:25">
      <c r="U61" s="78"/>
      <c r="X61" s="79"/>
      <c r="Y61" s="79"/>
    </row>
    <row r="62" s="2" customFormat="1" customHeight="1" spans="21:25">
      <c r="U62" s="78"/>
      <c r="X62" s="79"/>
      <c r="Y62" s="79"/>
    </row>
    <row r="63" s="2" customFormat="1" customHeight="1" spans="21:25">
      <c r="U63" s="78"/>
      <c r="X63" s="79"/>
      <c r="Y63" s="79"/>
    </row>
    <row r="64" s="2" customFormat="1" customHeight="1" spans="21:25">
      <c r="U64" s="78"/>
      <c r="X64" s="79"/>
      <c r="Y64" s="79"/>
    </row>
    <row r="65" s="2" customFormat="1" customHeight="1" spans="21:25">
      <c r="U65" s="78"/>
      <c r="X65" s="79"/>
      <c r="Y65" s="79"/>
    </row>
    <row r="66" s="2" customFormat="1" customHeight="1" spans="21:25">
      <c r="U66" s="78"/>
      <c r="X66" s="79"/>
      <c r="Y66" s="79"/>
    </row>
    <row r="67" s="2" customFormat="1" customHeight="1" spans="21:25">
      <c r="U67" s="78"/>
      <c r="X67" s="79"/>
      <c r="Y67" s="79"/>
    </row>
    <row r="68" s="2" customFormat="1" customHeight="1" spans="21:25">
      <c r="U68" s="78"/>
      <c r="X68" s="79"/>
      <c r="Y68" s="79"/>
    </row>
    <row r="69" s="2" customFormat="1" customHeight="1" spans="21:25">
      <c r="U69" s="78"/>
      <c r="X69" s="79"/>
      <c r="Y69" s="79"/>
    </row>
    <row r="70" s="2" customFormat="1" customHeight="1" spans="21:25">
      <c r="U70" s="78"/>
      <c r="X70" s="79"/>
      <c r="Y70" s="79"/>
    </row>
    <row r="71" s="2" customFormat="1" customHeight="1" spans="21:25">
      <c r="U71" s="78"/>
      <c r="X71" s="79"/>
      <c r="Y71" s="79"/>
    </row>
    <row r="72" s="2" customFormat="1" customHeight="1" spans="21:25">
      <c r="U72" s="78"/>
      <c r="X72" s="79"/>
      <c r="Y72" s="79"/>
    </row>
    <row r="73" s="2" customFormat="1" customHeight="1" spans="21:25">
      <c r="U73" s="78"/>
      <c r="X73" s="79"/>
      <c r="Y73" s="79"/>
    </row>
    <row r="74" s="2" customFormat="1" customHeight="1" spans="21:25">
      <c r="U74" s="78"/>
      <c r="X74" s="79"/>
      <c r="Y74" s="79"/>
    </row>
    <row r="75" s="2" customFormat="1" customHeight="1" spans="21:25">
      <c r="U75" s="78"/>
      <c r="X75" s="79"/>
      <c r="Y75" s="79"/>
    </row>
    <row r="76" s="2" customFormat="1" customHeight="1" spans="21:25">
      <c r="U76" s="78"/>
      <c r="X76" s="79"/>
      <c r="Y76" s="79"/>
    </row>
    <row r="77" s="2" customFormat="1" customHeight="1" spans="21:25">
      <c r="U77" s="78"/>
      <c r="X77" s="79"/>
      <c r="Y77" s="79"/>
    </row>
    <row r="78" s="2" customFormat="1" customHeight="1" spans="21:25">
      <c r="U78" s="78"/>
      <c r="X78" s="79"/>
      <c r="Y78" s="79"/>
    </row>
    <row r="79" s="2" customFormat="1" customHeight="1" spans="21:25">
      <c r="U79" s="78"/>
      <c r="X79" s="79"/>
      <c r="Y79" s="79"/>
    </row>
    <row r="80" s="2" customFormat="1" customHeight="1" spans="21:25">
      <c r="U80" s="78"/>
      <c r="X80" s="79"/>
      <c r="Y80" s="79"/>
    </row>
    <row r="81" s="2" customFormat="1" customHeight="1" spans="21:25">
      <c r="U81" s="78"/>
      <c r="X81" s="79"/>
      <c r="Y81" s="79"/>
    </row>
    <row r="82" s="2" customFormat="1" customHeight="1" spans="21:25">
      <c r="U82" s="78"/>
      <c r="X82" s="79"/>
      <c r="Y82" s="79"/>
    </row>
    <row r="83" s="2" customFormat="1" customHeight="1" spans="21:25">
      <c r="U83" s="78"/>
      <c r="X83" s="79"/>
      <c r="Y83" s="79"/>
    </row>
    <row r="84" s="2" customFormat="1" customHeight="1" spans="21:25">
      <c r="U84" s="78"/>
      <c r="X84" s="79"/>
      <c r="Y84" s="79"/>
    </row>
    <row r="85" s="2" customFormat="1" customHeight="1" spans="21:25">
      <c r="U85" s="78"/>
      <c r="X85" s="79"/>
      <c r="Y85" s="79"/>
    </row>
    <row r="86" s="2" customFormat="1" customHeight="1" spans="21:25">
      <c r="U86" s="78"/>
      <c r="X86" s="79"/>
      <c r="Y86" s="79"/>
    </row>
    <row r="87" s="2" customFormat="1" customHeight="1" spans="21:25">
      <c r="U87" s="78"/>
      <c r="X87" s="79"/>
      <c r="Y87" s="79"/>
    </row>
    <row r="88" s="2" customFormat="1" customHeight="1" spans="21:25">
      <c r="U88" s="78"/>
      <c r="X88" s="79"/>
      <c r="Y88" s="79"/>
    </row>
    <row r="89" s="2" customFormat="1" customHeight="1" spans="21:25">
      <c r="U89" s="78"/>
      <c r="X89" s="79"/>
      <c r="Y89" s="79"/>
    </row>
    <row r="90" s="2" customFormat="1" customHeight="1" spans="21:25">
      <c r="U90" s="78"/>
      <c r="X90" s="79"/>
      <c r="Y90" s="79"/>
    </row>
    <row r="91" s="2" customFormat="1" customHeight="1" spans="21:25">
      <c r="U91" s="78"/>
      <c r="X91" s="79"/>
      <c r="Y91" s="79"/>
    </row>
    <row r="92" s="2" customFormat="1" customHeight="1" spans="21:25">
      <c r="U92" s="78"/>
      <c r="X92" s="79"/>
      <c r="Y92" s="79"/>
    </row>
    <row r="93" s="2" customFormat="1" customHeight="1" spans="21:25">
      <c r="U93" s="78"/>
      <c r="X93" s="79"/>
      <c r="Y93" s="79"/>
    </row>
    <row r="94" s="2" customFormat="1" customHeight="1" spans="21:25">
      <c r="U94" s="78"/>
      <c r="X94" s="79"/>
      <c r="Y94" s="79"/>
    </row>
    <row r="95" s="2" customFormat="1" customHeight="1" spans="21:25">
      <c r="U95" s="78"/>
      <c r="X95" s="79"/>
      <c r="Y95" s="79"/>
    </row>
    <row r="96" s="2" customFormat="1" customHeight="1" spans="21:25">
      <c r="U96" s="78"/>
      <c r="X96" s="79"/>
      <c r="Y96" s="79"/>
    </row>
    <row r="97" s="2" customFormat="1" customHeight="1" spans="21:25">
      <c r="U97" s="78"/>
      <c r="X97" s="79"/>
      <c r="Y97" s="79"/>
    </row>
    <row r="98" s="2" customFormat="1" customHeight="1" spans="21:25">
      <c r="U98" s="78"/>
      <c r="X98" s="79"/>
      <c r="Y98" s="79"/>
    </row>
    <row r="99" s="2" customFormat="1" customHeight="1" spans="21:25">
      <c r="U99" s="78"/>
      <c r="X99" s="79"/>
      <c r="Y99" s="79"/>
    </row>
    <row r="100" s="2" customFormat="1" customHeight="1" spans="21:25">
      <c r="U100" s="78"/>
      <c r="X100" s="79"/>
      <c r="Y100" s="79"/>
    </row>
    <row r="101" s="2" customFormat="1" customHeight="1" spans="21:25">
      <c r="U101" s="78"/>
      <c r="X101" s="79"/>
      <c r="Y101" s="79"/>
    </row>
    <row r="102" s="2" customFormat="1" customHeight="1" spans="21:25">
      <c r="U102" s="78"/>
      <c r="X102" s="79"/>
      <c r="Y102" s="79"/>
    </row>
    <row r="103" s="2" customFormat="1" customHeight="1" spans="21:25">
      <c r="U103" s="78"/>
      <c r="X103" s="79"/>
      <c r="Y103" s="79"/>
    </row>
    <row r="104" s="2" customFormat="1" customHeight="1" spans="21:25">
      <c r="U104" s="78"/>
      <c r="X104" s="79"/>
      <c r="Y104" s="79"/>
    </row>
    <row r="105" s="2" customFormat="1" customHeight="1" spans="21:25">
      <c r="U105" s="78"/>
      <c r="X105" s="79"/>
      <c r="Y105" s="79"/>
    </row>
    <row r="106" s="2" customFormat="1" customHeight="1" spans="21:25">
      <c r="U106" s="78"/>
      <c r="X106" s="79"/>
      <c r="Y106" s="79"/>
    </row>
    <row r="107" s="2" customFormat="1" customHeight="1" spans="21:25">
      <c r="U107" s="78"/>
      <c r="X107" s="79"/>
      <c r="Y107" s="79"/>
    </row>
    <row r="108" s="2" customFormat="1" customHeight="1" spans="21:25">
      <c r="U108" s="78"/>
      <c r="X108" s="79"/>
      <c r="Y108" s="79"/>
    </row>
    <row r="109" s="2" customFormat="1" customHeight="1" spans="21:25">
      <c r="U109" s="78"/>
      <c r="X109" s="79"/>
      <c r="Y109" s="79"/>
    </row>
    <row r="110" s="2" customFormat="1" customHeight="1" spans="21:25">
      <c r="U110" s="78"/>
      <c r="X110" s="79"/>
      <c r="Y110" s="79"/>
    </row>
    <row r="111" s="2" customFormat="1" customHeight="1" spans="21:25">
      <c r="U111" s="78"/>
      <c r="X111" s="79"/>
      <c r="Y111" s="79"/>
    </row>
    <row r="112" s="2" customFormat="1" customHeight="1" spans="21:25">
      <c r="U112" s="78"/>
      <c r="X112" s="79"/>
      <c r="Y112" s="79"/>
    </row>
    <row r="113" s="2" customFormat="1" customHeight="1" spans="21:25">
      <c r="U113" s="78"/>
      <c r="X113" s="79"/>
      <c r="Y113" s="79"/>
    </row>
    <row r="114" s="2" customFormat="1" customHeight="1" spans="21:25">
      <c r="U114" s="78"/>
      <c r="X114" s="79"/>
      <c r="Y114" s="79"/>
    </row>
    <row r="115" s="2" customFormat="1" customHeight="1" spans="21:25">
      <c r="U115" s="78"/>
      <c r="X115" s="79"/>
      <c r="Y115" s="79"/>
    </row>
    <row r="116" s="2" customFormat="1" customHeight="1" spans="21:25">
      <c r="U116" s="78"/>
      <c r="X116" s="79"/>
      <c r="Y116" s="79"/>
    </row>
    <row r="117" s="2" customFormat="1" customHeight="1" spans="21:25">
      <c r="U117" s="78"/>
      <c r="X117" s="79"/>
      <c r="Y117" s="79"/>
    </row>
    <row r="118" s="2" customFormat="1" customHeight="1" spans="21:25">
      <c r="U118" s="78"/>
      <c r="X118" s="79"/>
      <c r="Y118" s="79"/>
    </row>
    <row r="119" s="2" customFormat="1" customHeight="1" spans="21:25">
      <c r="U119" s="78"/>
      <c r="X119" s="79"/>
      <c r="Y119" s="79"/>
    </row>
    <row r="120" s="2" customFormat="1" customHeight="1" spans="21:25">
      <c r="U120" s="78"/>
      <c r="X120" s="79"/>
      <c r="Y120" s="79"/>
    </row>
    <row r="121" s="2" customFormat="1" customHeight="1" spans="21:25">
      <c r="U121" s="78"/>
      <c r="X121" s="79"/>
      <c r="Y121" s="79"/>
    </row>
    <row r="122" s="2" customFormat="1" customHeight="1" spans="21:25">
      <c r="U122" s="78"/>
      <c r="X122" s="79"/>
      <c r="Y122" s="79"/>
    </row>
    <row r="123" s="2" customFormat="1" customHeight="1" spans="21:25">
      <c r="U123" s="78"/>
      <c r="X123" s="79"/>
      <c r="Y123" s="79"/>
    </row>
    <row r="124" s="2" customFormat="1" customHeight="1" spans="21:25">
      <c r="U124" s="78"/>
      <c r="X124" s="79"/>
      <c r="Y124" s="79"/>
    </row>
    <row r="125" s="2" customFormat="1" customHeight="1" spans="21:25">
      <c r="U125" s="78"/>
      <c r="X125" s="79"/>
      <c r="Y125" s="79"/>
    </row>
    <row r="126" s="2" customFormat="1" customHeight="1" spans="21:25">
      <c r="U126" s="78"/>
      <c r="X126" s="79"/>
      <c r="Y126" s="79"/>
    </row>
    <row r="127" s="2" customFormat="1" customHeight="1" spans="21:25">
      <c r="U127" s="78"/>
      <c r="X127" s="79"/>
      <c r="Y127" s="79"/>
    </row>
    <row r="128" s="2" customFormat="1" customHeight="1" spans="21:25">
      <c r="U128" s="78"/>
      <c r="X128" s="79"/>
      <c r="Y128" s="79"/>
    </row>
    <row r="129" s="2" customFormat="1" customHeight="1" spans="21:25">
      <c r="U129" s="78"/>
      <c r="X129" s="79"/>
      <c r="Y129" s="79"/>
    </row>
    <row r="130" s="2" customFormat="1" customHeight="1" spans="21:25">
      <c r="U130" s="78"/>
      <c r="X130" s="79"/>
      <c r="Y130" s="79"/>
    </row>
    <row r="131" s="2" customFormat="1" customHeight="1" spans="21:25">
      <c r="U131" s="78"/>
      <c r="X131" s="79"/>
      <c r="Y131" s="79"/>
    </row>
  </sheetData>
  <mergeCells count="29">
    <mergeCell ref="A1:C1"/>
    <mergeCell ref="A2:C2"/>
    <mergeCell ref="A3:C3"/>
    <mergeCell ref="A6:C6"/>
    <mergeCell ref="O6:Q6"/>
    <mergeCell ref="A8:S8"/>
    <mergeCell ref="A9:S9"/>
    <mergeCell ref="G10:H10"/>
    <mergeCell ref="I10:J10"/>
    <mergeCell ref="K10:L10"/>
    <mergeCell ref="A10:A11"/>
    <mergeCell ref="B10:B11"/>
    <mergeCell ref="C10:C11"/>
    <mergeCell ref="D10:D11"/>
    <mergeCell ref="E10:E11"/>
    <mergeCell ref="F10:F11"/>
    <mergeCell ref="M10:M11"/>
    <mergeCell ref="N10:N11"/>
    <mergeCell ref="O10:O11"/>
    <mergeCell ref="P10:P11"/>
    <mergeCell ref="Q10:Q11"/>
    <mergeCell ref="R10:R11"/>
    <mergeCell ref="S10:S11"/>
    <mergeCell ref="T10:T11"/>
    <mergeCell ref="U10:U11"/>
    <mergeCell ref="V10:V11"/>
    <mergeCell ref="W10:W11"/>
    <mergeCell ref="X10:X11"/>
    <mergeCell ref="Y10:Y11"/>
  </mergeCells>
  <conditionalFormatting sqref="B51">
    <cfRule type="expression" dxfId="2337" priority="1" stopIfTrue="1">
      <formula>IF(OR(#REF!="not",#REF!="resign",#REF!="resign",#REF!="end",#REF!="terminated",#REF!="permanent"),"TRUE","FALSE")</formula>
    </cfRule>
  </conditionalFormatting>
  <conditionalFormatting sqref="B52">
    <cfRule type="expression" dxfId="2338" priority="2" stopIfTrue="1">
      <formula>IF(OR(#REF!="not",#REF!="resign",#REF!="resign",#REF!="end",#REF!="terminated",#REF!="permanent"),"TRUE","FALSE")</formula>
    </cfRule>
  </conditionalFormatting>
  <conditionalFormatting sqref="B53">
    <cfRule type="expression" dxfId="2339" priority="3" stopIfTrue="1">
      <formula>IF(OR(#REF!="not",#REF!="resign",#REF!="resign",#REF!="end",#REF!="terminated",#REF!="permanent"),"TRUE","FALSE")</formula>
    </cfRule>
  </conditionalFormatting>
  <conditionalFormatting sqref="B54">
    <cfRule type="expression" dxfId="2340" priority="4" stopIfTrue="1">
      <formula>IF(OR(#REF!="not",#REF!="resign",#REF!="resign",#REF!="end",#REF!="terminated",#REF!="permanent"),"TRUE","FALSE")</formula>
    </cfRule>
  </conditionalFormatting>
  <conditionalFormatting sqref="B55">
    <cfRule type="expression" dxfId="2341" priority="5" stopIfTrue="1">
      <formula>IF(OR(#REF!="not",#REF!="resign",#REF!="resign",#REF!="end",#REF!="terminated",#REF!="permanent"),"TRUE","FALSE")</formula>
    </cfRule>
  </conditionalFormatting>
  <conditionalFormatting sqref="B12">
    <cfRule type="expression" dxfId="2342" priority="6" stopIfTrue="1">
      <formula>IF(OR(#REF!="not",#REF!="resign",#REF!="resign",#REF!="end",#REF!="terminated",#REF!="permanent"),"TRUE","FALSE")</formula>
    </cfRule>
  </conditionalFormatting>
  <conditionalFormatting sqref="B13">
    <cfRule type="expression" dxfId="2343" priority="7" stopIfTrue="1">
      <formula>IF(OR(#REF!="not",#REF!="resign",#REF!="resign",#REF!="end",#REF!="terminated",#REF!="permanent"),"TRUE","FALSE")</formula>
    </cfRule>
  </conditionalFormatting>
  <conditionalFormatting sqref="B14">
    <cfRule type="expression" dxfId="2344" priority="8" stopIfTrue="1">
      <formula>IF(OR(#REF!="not",#REF!="resign",#REF!="resign",#REF!="end",#REF!="terminated",#REF!="permanent"),"TRUE","FALSE")</formula>
    </cfRule>
  </conditionalFormatting>
  <conditionalFormatting sqref="N12:N14">
    <cfRule type="expression" dxfId="2345" priority="9" stopIfTrue="1">
      <formula>NOT(ISERROR(SEARCH("warning",N12)))</formula>
    </cfRule>
  </conditionalFormatting>
  <hyperlinks>
    <hyperlink ref="X24" location="" display="Asjhari.Madjid@protelindo.net"/>
    <hyperlink ref="X25" location="" display="Alia.Rakhmani@protelindo.net"/>
    <hyperlink ref="X28" location="" display="Jhon.Saragih@protelindo.net"/>
    <hyperlink ref="X29" location="" display="Ipan.Sopian@protelindo.net"/>
    <hyperlink ref="X30" location="" display="Satriya@protelindo.net"/>
    <hyperlink ref="X31" location="" display="PERYS.SALOMO@GMAIL.COM"/>
    <hyperlink ref="X32" location="" display="Muksin@protelindo.net"/>
    <hyperlink ref="X33" location="" display="Monang.Sirait@protelindo.net"/>
    <hyperlink ref="X35" location="" display="Bachtiar.Anwari@protelindo.net"/>
    <hyperlink ref="X36" location="" display="Wahyudin@protelindo.net"/>
    <hyperlink ref="X34" location="" display="Enden.Suherlan@protelindo.net"/>
    <hyperlink ref="X37" location="" display="namrilia@yahoo.com"/>
    <hyperlink ref="X38" location="" display="Muhammad.Taftazani@protelindo.net"/>
    <hyperlink ref="X43" location="" display="Christian.Tulung@protelindo.net"/>
    <hyperlink ref="X39" location="" display="Prita.Pertiwi@protelindo.net"/>
    <hyperlink ref="X45" location="" display="Isman.AbdulBarry@protelindo.net"/>
    <hyperlink ref="X44" location="" display="Sion.FeminaMunthe@protelindo.net"/>
    <hyperlink ref="X46" location="" display="Agus.Kurniawan@protelindo.net"/>
    <hyperlink ref="X47" r:id="rId2" display="Andry.Wicaksono@protelindo.net"/>
    <hyperlink ref="X49" location="" display="Endah.Gratiawati@protelindo.net"/>
    <hyperlink ref="X50" location="" display="Etty.Barasa@protelindo.net"/>
    <hyperlink ref="X51" location="" display="Nurmala.Wirawanto@protelindo.net"/>
    <hyperlink ref="X53" location="" display="Andri.Pujadi@protelindo.net"/>
    <hyperlink ref="X52" location="" display="Mustanir@protelindo.net"/>
    <hyperlink ref="X54" r:id="rId3" display="Ibnu.Hasan@protelindo.net"/>
    <hyperlink ref="X55" r:id="rId4" display="yoga.yuliantoro@gmail.com"/>
    <hyperlink ref="X12" r:id="rId5" display="holmes.pasaribu@protelindo.net"/>
    <hyperlink ref="X14" r:id="rId6" display="shbawono@gmail.com"/>
    <hyperlink ref="X13" r:id="rId7" display="ouzie354@gmail.com"/>
  </hyperlinks>
  <printOptions horizontalCentered="1"/>
  <pageMargins left="0" right="0" top="0" bottom="0" header="0.5" footer="0.5"/>
  <pageSetup paperSize="9" scale="32" orientation="landscape"/>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BA10"/>
  <sheetViews>
    <sheetView topLeftCell="B3" workbookViewId="0">
      <pane xSplit="3" ySplit="2" topLeftCell="E5" activePane="bottomRight" state="frozen"/>
      <selection/>
      <selection pane="topRight"/>
      <selection pane="bottomLeft"/>
      <selection pane="bottomRight" activeCell="AD3" sqref="AD3:AD4"/>
    </sheetView>
  </sheetViews>
  <sheetFormatPr defaultColWidth="9" defaultRowHeight="12.75"/>
  <cols>
    <col min="1" max="1" width="9.14166666666667" style="874" customWidth="1"/>
    <col min="2" max="2" width="10.8583333333333" style="874" customWidth="1"/>
    <col min="3" max="3" width="9.56666666666667" style="874" customWidth="1"/>
    <col min="4" max="4" width="27.2833333333333" style="874" customWidth="1"/>
    <col min="5" max="5" width="25.5666666666667" style="874" customWidth="1"/>
    <col min="6" max="6" width="5.70833333333333" style="874" customWidth="1"/>
    <col min="7" max="7" width="7.56666666666667" style="874" customWidth="1"/>
    <col min="8" max="8" width="11.8583333333333" style="874" customWidth="1"/>
    <col min="9" max="9" width="10.8583333333333" style="874" customWidth="1"/>
    <col min="10" max="10" width="25" style="874" customWidth="1"/>
    <col min="11" max="11" width="13.2833333333333" style="874" customWidth="1"/>
    <col min="12" max="12" width="9.70833333333333" style="874" customWidth="1"/>
    <col min="13" max="17" width="8.56666666666667" style="874" customWidth="1"/>
    <col min="18" max="18" width="8.425" style="874" customWidth="1"/>
    <col min="19" max="19" width="8.56666666666667" style="874" customWidth="1"/>
    <col min="20" max="21" width="8.425" style="874" customWidth="1"/>
    <col min="22" max="22" width="9.14166666666667" style="874" customWidth="1"/>
    <col min="23" max="24" width="8.56666666666667" style="874" customWidth="1"/>
    <col min="25" max="26" width="8.14166666666667" style="874" customWidth="1"/>
    <col min="27" max="27" width="8.425" style="874" customWidth="1"/>
    <col min="28" max="28" width="10.8583333333333" style="874" customWidth="1"/>
    <col min="29" max="29" width="9.14166666666667" style="874" customWidth="1"/>
    <col min="30" max="30" width="7.56666666666667" style="874" customWidth="1"/>
    <col min="31" max="31" width="10.5666666666667" style="874" customWidth="1"/>
    <col min="32" max="32" width="9.425" style="874" customWidth="1"/>
    <col min="33" max="33" width="11.425" style="874" customWidth="1"/>
    <col min="34" max="34" width="9.28333333333333" style="874" customWidth="1"/>
    <col min="35" max="35" width="11.1416666666667" style="874" customWidth="1"/>
    <col min="36" max="36" width="8.85833333333333" style="874" customWidth="1"/>
    <col min="37" max="37" width="6.85833333333333" style="874" customWidth="1"/>
    <col min="38" max="38" width="4" style="874" customWidth="1"/>
    <col min="39" max="39" width="24.8583333333333" style="874" customWidth="1"/>
    <col min="40" max="40" width="53.5666666666667" style="874" customWidth="1"/>
    <col min="41" max="41" width="49.8583333333333" style="874" customWidth="1"/>
    <col min="42" max="42" width="13" style="874" customWidth="1"/>
    <col min="43" max="43" width="23" style="874" customWidth="1"/>
    <col min="44" max="44" width="19.2833333333333" style="874" customWidth="1"/>
    <col min="45" max="45" width="16.425" style="874" customWidth="1"/>
    <col min="46" max="46" width="10.425" style="874" customWidth="1"/>
    <col min="47" max="47" width="22.7083333333333" style="874" customWidth="1"/>
    <col min="48" max="49" width="32.5666666666667" style="874" customWidth="1"/>
    <col min="50" max="50" width="23.2833333333333" style="874" customWidth="1"/>
    <col min="51" max="51" width="10.1416666666667" style="874" customWidth="1"/>
    <col min="52" max="16384" width="9.14166666666667" style="874"/>
  </cols>
  <sheetData>
    <row r="3" ht="16.5" customHeight="1" spans="2:49">
      <c r="B3" s="1040" t="s">
        <v>0</v>
      </c>
      <c r="C3" s="1040" t="s">
        <v>1</v>
      </c>
      <c r="D3" s="1040" t="s">
        <v>2</v>
      </c>
      <c r="E3" s="1040" t="s">
        <v>3</v>
      </c>
      <c r="F3" s="1040" t="s">
        <v>4</v>
      </c>
      <c r="G3" s="1040" t="s">
        <v>5</v>
      </c>
      <c r="H3" s="908" t="s">
        <v>6</v>
      </c>
      <c r="I3" s="908" t="s">
        <v>7</v>
      </c>
      <c r="J3" s="1040" t="s">
        <v>8</v>
      </c>
      <c r="K3" s="1286" t="s">
        <v>9</v>
      </c>
      <c r="L3" s="1287"/>
      <c r="M3" s="1286" t="s">
        <v>10</v>
      </c>
      <c r="N3" s="1288"/>
      <c r="O3" s="1288"/>
      <c r="P3" s="1288"/>
      <c r="Q3" s="1288"/>
      <c r="R3" s="1288"/>
      <c r="S3" s="1288"/>
      <c r="T3" s="1288"/>
      <c r="U3" s="1287"/>
      <c r="V3" s="1286" t="s">
        <v>11</v>
      </c>
      <c r="W3" s="1287"/>
      <c r="X3" s="1286" t="s">
        <v>10</v>
      </c>
      <c r="Y3" s="1287"/>
      <c r="Z3" s="1040" t="s">
        <v>14</v>
      </c>
      <c r="AA3" s="1040" t="s">
        <v>15</v>
      </c>
      <c r="AB3" s="1318" t="s">
        <v>16</v>
      </c>
      <c r="AC3" s="1318" t="s">
        <v>17</v>
      </c>
      <c r="AD3" s="1298" t="s">
        <v>18</v>
      </c>
      <c r="AE3" s="1318" t="s">
        <v>19</v>
      </c>
      <c r="AF3" s="1318" t="s">
        <v>20</v>
      </c>
      <c r="AG3" s="1318" t="s">
        <v>21</v>
      </c>
      <c r="AH3" s="1318" t="s">
        <v>22</v>
      </c>
      <c r="AI3" s="1318" t="s">
        <v>23</v>
      </c>
      <c r="AJ3" s="1318" t="s">
        <v>24</v>
      </c>
      <c r="AK3" s="1298" t="s">
        <v>25</v>
      </c>
      <c r="AL3" s="908" t="s">
        <v>26</v>
      </c>
      <c r="AM3" s="1040" t="s">
        <v>27</v>
      </c>
      <c r="AN3" s="1040" t="s">
        <v>15</v>
      </c>
      <c r="AO3" s="1040" t="s">
        <v>28</v>
      </c>
      <c r="AP3" s="1301" t="s">
        <v>29</v>
      </c>
      <c r="AQ3" s="1097" t="s">
        <v>30</v>
      </c>
      <c r="AR3" s="1097" t="s">
        <v>31</v>
      </c>
      <c r="AS3" s="1097" t="s">
        <v>32</v>
      </c>
      <c r="AT3" s="1097" t="s">
        <v>33</v>
      </c>
      <c r="AU3" s="1097" t="s">
        <v>34</v>
      </c>
      <c r="AV3" s="1301" t="s">
        <v>35</v>
      </c>
      <c r="AW3" s="964" t="s">
        <v>36</v>
      </c>
    </row>
    <row r="4" ht="13.5" spans="2:49">
      <c r="B4" s="909"/>
      <c r="C4" s="910"/>
      <c r="D4" s="910"/>
      <c r="E4" s="910"/>
      <c r="F4" s="910"/>
      <c r="G4" s="910"/>
      <c r="H4" s="909"/>
      <c r="I4" s="909"/>
      <c r="J4" s="1284"/>
      <c r="K4" s="1289" t="s">
        <v>37</v>
      </c>
      <c r="L4" s="1289" t="s">
        <v>38</v>
      </c>
      <c r="M4" s="1289">
        <v>1</v>
      </c>
      <c r="N4" s="1289">
        <v>2</v>
      </c>
      <c r="O4" s="1289">
        <v>3</v>
      </c>
      <c r="P4" s="1289">
        <v>4</v>
      </c>
      <c r="Q4" s="1289">
        <v>5</v>
      </c>
      <c r="R4" s="1289">
        <v>6</v>
      </c>
      <c r="S4" s="1289">
        <v>7</v>
      </c>
      <c r="T4" s="1289">
        <v>8</v>
      </c>
      <c r="U4" s="1289">
        <v>9</v>
      </c>
      <c r="V4" s="1289" t="s">
        <v>37</v>
      </c>
      <c r="W4" s="1289" t="s">
        <v>38</v>
      </c>
      <c r="X4" s="1559" t="s">
        <v>39</v>
      </c>
      <c r="Y4" s="1559" t="s">
        <v>56</v>
      </c>
      <c r="Z4" s="910"/>
      <c r="AA4" s="910"/>
      <c r="AB4" s="1319"/>
      <c r="AC4" s="1319"/>
      <c r="AD4" s="944"/>
      <c r="AE4" s="1319"/>
      <c r="AF4" s="1319"/>
      <c r="AG4" s="1319"/>
      <c r="AH4" s="1319"/>
      <c r="AI4" s="1319"/>
      <c r="AJ4" s="1322"/>
      <c r="AK4" s="954"/>
      <c r="AL4" s="909"/>
      <c r="AM4" s="909"/>
      <c r="AN4" s="909"/>
      <c r="AO4" s="1284"/>
      <c r="AP4" s="1302"/>
      <c r="AQ4" s="1098"/>
      <c r="AR4" s="1323"/>
      <c r="AS4" s="1098"/>
      <c r="AT4" s="1098"/>
      <c r="AU4" s="1098"/>
      <c r="AV4" s="1302"/>
      <c r="AW4" s="966"/>
    </row>
    <row r="5" s="873" customFormat="1" ht="13.5" spans="2:49">
      <c r="B5" s="1532" t="s">
        <v>39</v>
      </c>
      <c r="C5" s="14" t="s">
        <v>4584</v>
      </c>
      <c r="D5" s="973" t="s">
        <v>4585</v>
      </c>
      <c r="E5" s="975" t="s">
        <v>4586</v>
      </c>
      <c r="F5" s="976" t="s">
        <v>125</v>
      </c>
      <c r="G5" s="977" t="s">
        <v>44</v>
      </c>
      <c r="H5" s="976" t="s">
        <v>3528</v>
      </c>
      <c r="I5" s="976"/>
      <c r="J5" s="976" t="s">
        <v>508</v>
      </c>
      <c r="K5" s="980">
        <v>42996</v>
      </c>
      <c r="L5" s="980">
        <v>43100</v>
      </c>
      <c r="M5" s="980">
        <v>43281</v>
      </c>
      <c r="N5" s="980"/>
      <c r="O5" s="980"/>
      <c r="P5" s="980"/>
      <c r="Q5" s="980"/>
      <c r="R5" s="980"/>
      <c r="S5" s="980"/>
      <c r="T5" s="980"/>
      <c r="U5" s="980"/>
      <c r="V5" s="980"/>
      <c r="W5" s="980"/>
      <c r="X5" s="980"/>
      <c r="Y5" s="980"/>
      <c r="Z5" s="640">
        <f ca="1">SUM(M5-NOW())</f>
        <v>8.61546296296001</v>
      </c>
      <c r="AA5" s="121" t="str">
        <f ca="1">IF(Z5&lt;=40,"WARNING","ACTIVE")</f>
        <v>WARNING</v>
      </c>
      <c r="AB5" s="1000">
        <v>3700000</v>
      </c>
      <c r="AC5" s="1000">
        <v>500000</v>
      </c>
      <c r="AD5" s="1001"/>
      <c r="AE5" s="1001"/>
      <c r="AF5" s="1001"/>
      <c r="AG5" s="1001">
        <v>400000</v>
      </c>
      <c r="AH5" s="1001"/>
      <c r="AI5" s="1001">
        <v>500000</v>
      </c>
      <c r="AJ5" s="1001"/>
      <c r="AK5" s="1001" t="s">
        <v>0</v>
      </c>
      <c r="AL5" s="1001" t="s">
        <v>48</v>
      </c>
      <c r="AM5" s="1001" t="s">
        <v>48</v>
      </c>
      <c r="AN5" s="976" t="s">
        <v>583</v>
      </c>
      <c r="AO5" s="976" t="s">
        <v>4587</v>
      </c>
      <c r="AP5" s="1533" t="s">
        <v>4588</v>
      </c>
      <c r="AQ5" s="1011" t="s">
        <v>4589</v>
      </c>
      <c r="AR5" s="1011" t="s">
        <v>4590</v>
      </c>
      <c r="AS5" s="1011" t="s">
        <v>4591</v>
      </c>
      <c r="AT5" s="1011"/>
      <c r="AU5" s="1011"/>
      <c r="AV5" s="1011" t="s">
        <v>4592</v>
      </c>
      <c r="AW5" s="980"/>
    </row>
    <row r="6" s="873" customFormat="1"/>
    <row r="7" s="873" customFormat="1"/>
    <row r="8" s="873" customFormat="1" ht="13.5"/>
    <row r="9" s="873" customFormat="1" ht="13.5" spans="2:2">
      <c r="B9" s="1315" t="s">
        <v>4593</v>
      </c>
    </row>
    <row r="10" s="1022" customFormat="1" ht="21" spans="2:53">
      <c r="B10" s="1269">
        <v>1</v>
      </c>
      <c r="C10" s="32" t="s">
        <v>4594</v>
      </c>
      <c r="D10" s="1316" t="s">
        <v>4595</v>
      </c>
      <c r="E10" s="979" t="s">
        <v>4596</v>
      </c>
      <c r="F10" s="1269" t="s">
        <v>43</v>
      </c>
      <c r="G10" s="1317" t="s">
        <v>60</v>
      </c>
      <c r="H10" s="1269" t="s">
        <v>361</v>
      </c>
      <c r="I10" s="1269" t="s">
        <v>4597</v>
      </c>
      <c r="J10" s="1269" t="s">
        <v>208</v>
      </c>
      <c r="K10" s="1246">
        <v>42522</v>
      </c>
      <c r="L10" s="1246">
        <v>42581</v>
      </c>
      <c r="M10" s="1246">
        <v>42613</v>
      </c>
      <c r="N10" s="1246">
        <v>42674</v>
      </c>
      <c r="O10" s="1246">
        <v>42735</v>
      </c>
      <c r="P10" s="1246">
        <v>42825</v>
      </c>
      <c r="Q10" s="1246">
        <v>42855</v>
      </c>
      <c r="R10" s="1246">
        <v>42916</v>
      </c>
      <c r="S10" s="1246">
        <v>43008</v>
      </c>
      <c r="T10" s="1246">
        <v>43100</v>
      </c>
      <c r="U10" s="1246">
        <v>43251</v>
      </c>
      <c r="V10" s="1246">
        <v>43252</v>
      </c>
      <c r="W10" s="1246">
        <v>43281</v>
      </c>
      <c r="X10" s="1246"/>
      <c r="Y10" s="1246"/>
      <c r="Z10" s="641">
        <f ca="1">SUM(W10-NOW())</f>
        <v>8.61546296296001</v>
      </c>
      <c r="AA10" s="187" t="str">
        <f ca="1">IF(Z10&lt;=40,"WARNING","ACTIVE")</f>
        <v>WARNING</v>
      </c>
      <c r="AB10" s="1320">
        <v>6000000</v>
      </c>
      <c r="AC10" s="1320">
        <v>500000</v>
      </c>
      <c r="AD10" s="1321"/>
      <c r="AE10" s="1321"/>
      <c r="AF10" s="1321"/>
      <c r="AG10" s="1321">
        <v>500000</v>
      </c>
      <c r="AH10" s="1321"/>
      <c r="AI10" s="1321">
        <v>1125000</v>
      </c>
      <c r="AJ10" s="1321"/>
      <c r="AK10" s="1321" t="s">
        <v>112</v>
      </c>
      <c r="AL10" s="1321" t="s">
        <v>113</v>
      </c>
      <c r="AM10" s="1321" t="s">
        <v>49</v>
      </c>
      <c r="AN10" s="1269"/>
      <c r="AO10" s="1269" t="s">
        <v>4598</v>
      </c>
      <c r="AP10" s="1279"/>
      <c r="AQ10" s="1279"/>
      <c r="AR10" s="1279"/>
      <c r="AS10" s="1279"/>
      <c r="AT10" s="1279"/>
      <c r="AU10" s="1279" t="s">
        <v>4599</v>
      </c>
      <c r="AV10" s="1279" t="s">
        <v>4600</v>
      </c>
      <c r="AW10" s="1246" t="s">
        <v>4601</v>
      </c>
      <c r="AY10" s="1314"/>
      <c r="BA10" s="1324"/>
    </row>
  </sheetData>
  <mergeCells count="37">
    <mergeCell ref="K3:L3"/>
    <mergeCell ref="M3:U3"/>
    <mergeCell ref="V3:W3"/>
    <mergeCell ref="X3:Y3"/>
    <mergeCell ref="B3:B4"/>
    <mergeCell ref="C3:C4"/>
    <mergeCell ref="D3:D4"/>
    <mergeCell ref="E3:E4"/>
    <mergeCell ref="F3:F4"/>
    <mergeCell ref="G3:G4"/>
    <mergeCell ref="H3:H4"/>
    <mergeCell ref="I3:I4"/>
    <mergeCell ref="J3:J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 ref="AW3:AW4"/>
  </mergeCells>
  <conditionalFormatting sqref="AA3:AA4">
    <cfRule type="expression" dxfId="809" priority="1" stopIfTrue="1">
      <formula>NOT(ISERROR(SEARCH("warning",AA3)))</formula>
    </cfRule>
  </conditionalFormatting>
  <conditionalFormatting sqref="AW5;P5:U5">
    <cfRule type="expression" dxfId="810" priority="2" stopIfTrue="1">
      <formula>IF(OR(#REF!="not",#REF!="resign",#REF!="permanent",#REF!="terminated"),"true","false")</formula>
    </cfRule>
  </conditionalFormatting>
  <conditionalFormatting sqref="AA5">
    <cfRule type="expression" dxfId="811" priority="3" stopIfTrue="1">
      <formula>NOT(ISERROR(SEARCH("warning",AA5)))</formula>
    </cfRule>
  </conditionalFormatting>
  <conditionalFormatting sqref="M5">
    <cfRule type="expression" dxfId="812" priority="4" stopIfTrue="1">
      <formula>IF(OR(#REF!="not",#REF!="resign",#REF!="permanent",#REF!="terminated"),"true","false")</formula>
    </cfRule>
  </conditionalFormatting>
  <conditionalFormatting sqref="AW10;P10:U10">
    <cfRule type="expression" dxfId="813" priority="5" stopIfTrue="1">
      <formula>IF(OR(#REF!="not",#REF!="resign",#REF!="permanent",#REF!="terminated"),"true","false")</formula>
    </cfRule>
  </conditionalFormatting>
  <conditionalFormatting sqref="BA10">
    <cfRule type="expression" dxfId="814" priority="6" stopIfTrue="1">
      <formula>IF(OR(#REF!="not",#REF!="resign",#REF!="resign",#REF!="end",#REF!="terminated",#REF!="permanent"),"TRUE","FALSE")</formula>
    </cfRule>
  </conditionalFormatting>
  <conditionalFormatting sqref="AA10">
    <cfRule type="expression" dxfId="815" priority="7" stopIfTrue="1">
      <formula>NOT(ISERROR(SEARCH("warning",AA10)))</formula>
    </cfRule>
  </conditionalFormatting>
  <conditionalFormatting sqref="W10">
    <cfRule type="expression" dxfId="816" priority="8" stopIfTrue="1">
      <formula>IF(OR(#REF!="not",#REF!="resign",#REF!="permanent",#REF!="terminated"),"true","false")</formula>
    </cfRule>
  </conditionalFormatting>
  <hyperlinks>
    <hyperlink ref="AV5" location="" display="wewwa1850@gmail.com"/>
  </hyperlinks>
  <pageMargins left="0.699305555555556" right="0.699305555555556"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BY73"/>
  <sheetViews>
    <sheetView topLeftCell="B3" workbookViewId="0">
      <pane xSplit="3" ySplit="2" topLeftCell="Z5" activePane="bottomRight" state="frozen"/>
      <selection/>
      <selection pane="topRight"/>
      <selection pane="bottomLeft"/>
      <selection pane="bottomRight" activeCell="AI3" sqref="AI3"/>
    </sheetView>
  </sheetViews>
  <sheetFormatPr defaultColWidth="9" defaultRowHeight="12.75"/>
  <cols>
    <col min="1" max="1" width="9.14166666666667" style="874"/>
    <col min="2" max="2" width="4.14166666666667" style="874" customWidth="1"/>
    <col min="3" max="3" width="10.425" style="874" customWidth="1"/>
    <col min="4" max="4" width="31.425" style="874" customWidth="1"/>
    <col min="5" max="5" width="28.8583333333333" style="874" customWidth="1"/>
    <col min="6" max="6" width="3.56666666666667" style="874" customWidth="1"/>
    <col min="7" max="7" width="6.85833333333333" style="874" customWidth="1"/>
    <col min="8" max="8" width="7.425" style="874" customWidth="1"/>
    <col min="9" max="9" width="14" style="874" customWidth="1"/>
    <col min="10" max="10" width="6.56666666666667" style="874" customWidth="1"/>
    <col min="11" max="11" width="15.7083333333333" style="874" customWidth="1"/>
    <col min="12" max="12" width="13.1416666666667" style="874" customWidth="1"/>
    <col min="13" max="13" width="8.56666666666667" style="874" customWidth="1"/>
    <col min="14" max="14" width="9.70833333333333" style="874" customWidth="1"/>
    <col min="15" max="21" width="8.56666666666667" style="874" customWidth="1"/>
    <col min="22" max="23" width="8.28333333333333" style="874" customWidth="1"/>
    <col min="24" max="24" width="8.425" style="874" customWidth="1"/>
    <col min="25" max="25" width="8.56666666666667" style="874" customWidth="1"/>
    <col min="26" max="27" width="8.425" style="874" customWidth="1"/>
    <col min="28" max="28" width="8.56666666666667" style="874" customWidth="1"/>
    <col min="29" max="29" width="8.425" style="874" customWidth="1"/>
    <col min="30" max="30" width="8.14166666666667" style="874" customWidth="1"/>
    <col min="31" max="32" width="8.425" style="874" customWidth="1"/>
    <col min="33" max="33" width="8.56666666666667" style="874" customWidth="1"/>
    <col min="34" max="34" width="8.425" style="874" customWidth="1"/>
    <col min="35" max="36" width="8.56666666666667" style="874" customWidth="1"/>
    <col min="37" max="37" width="8.14166666666667" style="874" customWidth="1"/>
    <col min="38" max="38" width="8.425" style="874" customWidth="1"/>
    <col min="39" max="39" width="13.425" style="874" customWidth="1"/>
    <col min="40" max="40" width="9.14166666666667" style="874" customWidth="1"/>
    <col min="41" max="41" width="10.7083333333333" style="874" customWidth="1"/>
    <col min="42" max="42" width="7.425" style="874" customWidth="1"/>
    <col min="43" max="43" width="16.8583333333333" style="874" customWidth="1"/>
    <col min="44" max="44" width="16.1416666666667" style="874" customWidth="1"/>
    <col min="45" max="45" width="16.5666666666667" style="874" customWidth="1"/>
    <col min="46" max="46" width="16.2833333333333" style="874" customWidth="1"/>
    <col min="47" max="47" width="10.5666666666667" style="874" customWidth="1"/>
    <col min="48" max="48" width="4.28333333333333" style="874" customWidth="1"/>
    <col min="49" max="49" width="9" style="874" customWidth="1"/>
    <col min="50" max="50" width="21.7083333333333" style="874" customWidth="1"/>
    <col min="51" max="51" width="33.1416666666667" style="874" customWidth="1"/>
    <col min="52" max="52" width="42.425" style="874" customWidth="1"/>
    <col min="53" max="53" width="16.425" style="874" customWidth="1"/>
    <col min="54" max="54" width="24.8583333333333" style="874" customWidth="1"/>
    <col min="55" max="55" width="16.5666666666667" style="874" customWidth="1"/>
    <col min="56" max="56" width="17.425" style="874" customWidth="1"/>
    <col min="57" max="57" width="23.425" style="874" customWidth="1"/>
    <col min="58" max="58" width="15" style="874" customWidth="1"/>
    <col min="59" max="59" width="31.5666666666667" style="874" customWidth="1"/>
    <col min="60" max="60" width="24.425" style="874" customWidth="1"/>
    <col min="61" max="61" width="9.425" style="874" customWidth="1"/>
    <col min="62" max="62" width="10.1416666666667" style="874" customWidth="1"/>
    <col min="63" max="16384" width="9.14166666666667" style="874"/>
  </cols>
  <sheetData>
    <row r="3" ht="16.5" customHeight="1" spans="2:61">
      <c r="B3" s="1040" t="s">
        <v>0</v>
      </c>
      <c r="C3" s="1040" t="s">
        <v>1</v>
      </c>
      <c r="D3" s="1040" t="s">
        <v>2</v>
      </c>
      <c r="E3" s="1040" t="s">
        <v>3</v>
      </c>
      <c r="F3" s="1040" t="s">
        <v>4</v>
      </c>
      <c r="G3" s="1040" t="s">
        <v>5</v>
      </c>
      <c r="H3" s="1040" t="s">
        <v>27</v>
      </c>
      <c r="I3" s="908" t="s">
        <v>6</v>
      </c>
      <c r="J3" s="908" t="s">
        <v>7</v>
      </c>
      <c r="K3" s="1040" t="s">
        <v>8</v>
      </c>
      <c r="L3" s="1040" t="s">
        <v>4602</v>
      </c>
      <c r="M3" s="1286" t="s">
        <v>9</v>
      </c>
      <c r="N3" s="1287"/>
      <c r="O3" s="1286" t="s">
        <v>10</v>
      </c>
      <c r="P3" s="1288"/>
      <c r="Q3" s="1288"/>
      <c r="R3" s="1288"/>
      <c r="S3" s="1288"/>
      <c r="T3" s="1288"/>
      <c r="U3" s="1288"/>
      <c r="V3" s="1288"/>
      <c r="W3" s="1287"/>
      <c r="X3" s="1286" t="s">
        <v>11</v>
      </c>
      <c r="Y3" s="1287"/>
      <c r="Z3" s="1292" t="s">
        <v>10</v>
      </c>
      <c r="AA3" s="1288"/>
      <c r="AB3" s="1288"/>
      <c r="AC3" s="1288"/>
      <c r="AD3" s="1287"/>
      <c r="AE3" s="1294" t="s">
        <v>12</v>
      </c>
      <c r="AF3" s="1295"/>
      <c r="AG3" s="1286" t="s">
        <v>13</v>
      </c>
      <c r="AH3" s="1287"/>
      <c r="AI3" s="1297" t="s">
        <v>10</v>
      </c>
      <c r="AJ3" s="1297"/>
      <c r="AK3" s="1040" t="s">
        <v>14</v>
      </c>
      <c r="AL3" s="1040" t="s">
        <v>15</v>
      </c>
      <c r="AM3" s="1298" t="s">
        <v>16</v>
      </c>
      <c r="AN3" s="1298" t="s">
        <v>17</v>
      </c>
      <c r="AO3" s="1298" t="s">
        <v>4555</v>
      </c>
      <c r="AP3" s="1298" t="s">
        <v>3507</v>
      </c>
      <c r="AQ3" s="1298" t="s">
        <v>4603</v>
      </c>
      <c r="AR3" s="1298" t="s">
        <v>4604</v>
      </c>
      <c r="AS3" s="1298" t="s">
        <v>4605</v>
      </c>
      <c r="AT3" s="1298" t="s">
        <v>4606</v>
      </c>
      <c r="AU3" s="1040" t="s">
        <v>25</v>
      </c>
      <c r="AV3" s="908" t="s">
        <v>26</v>
      </c>
      <c r="AW3" s="1040" t="s">
        <v>27</v>
      </c>
      <c r="AX3" s="1040" t="s">
        <v>4607</v>
      </c>
      <c r="AY3" s="1040" t="s">
        <v>15</v>
      </c>
      <c r="AZ3" s="1040" t="s">
        <v>28</v>
      </c>
      <c r="BA3" s="1301" t="s">
        <v>29</v>
      </c>
      <c r="BB3" s="1097" t="s">
        <v>30</v>
      </c>
      <c r="BC3" s="1097" t="s">
        <v>31</v>
      </c>
      <c r="BD3" s="1097" t="s">
        <v>32</v>
      </c>
      <c r="BE3" s="1097" t="s">
        <v>33</v>
      </c>
      <c r="BF3" s="1097" t="s">
        <v>34</v>
      </c>
      <c r="BG3" s="1301" t="s">
        <v>35</v>
      </c>
      <c r="BH3" s="964" t="s">
        <v>36</v>
      </c>
      <c r="BI3" s="1018" t="s">
        <v>4608</v>
      </c>
    </row>
    <row r="4" ht="13.5" spans="2:61">
      <c r="B4" s="909"/>
      <c r="C4" s="910"/>
      <c r="D4" s="910"/>
      <c r="E4" s="910"/>
      <c r="F4" s="910"/>
      <c r="G4" s="910"/>
      <c r="H4" s="910"/>
      <c r="I4" s="909"/>
      <c r="J4" s="909"/>
      <c r="K4" s="1284"/>
      <c r="L4" s="909"/>
      <c r="M4" s="1289" t="s">
        <v>37</v>
      </c>
      <c r="N4" s="1289" t="s">
        <v>38</v>
      </c>
      <c r="O4" s="1289">
        <v>1</v>
      </c>
      <c r="P4" s="1289">
        <v>2</v>
      </c>
      <c r="Q4" s="1289">
        <v>3</v>
      </c>
      <c r="R4" s="1289">
        <v>4</v>
      </c>
      <c r="S4" s="1289">
        <v>5</v>
      </c>
      <c r="T4" s="1289">
        <v>6</v>
      </c>
      <c r="U4" s="1289">
        <v>7</v>
      </c>
      <c r="V4" s="1289">
        <v>8</v>
      </c>
      <c r="W4" s="1289">
        <v>9</v>
      </c>
      <c r="X4" s="1289" t="s">
        <v>37</v>
      </c>
      <c r="Y4" s="1289" t="s">
        <v>38</v>
      </c>
      <c r="Z4" s="1293">
        <v>1</v>
      </c>
      <c r="AA4" s="1293">
        <v>2</v>
      </c>
      <c r="AB4" s="1293">
        <v>3</v>
      </c>
      <c r="AC4" s="1293">
        <v>4</v>
      </c>
      <c r="AD4" s="1293">
        <v>5</v>
      </c>
      <c r="AE4" s="1296" t="s">
        <v>37</v>
      </c>
      <c r="AF4" s="1296" t="s">
        <v>38</v>
      </c>
      <c r="AG4" s="1289" t="s">
        <v>37</v>
      </c>
      <c r="AH4" s="1289" t="s">
        <v>38</v>
      </c>
      <c r="AI4" s="1293">
        <v>1</v>
      </c>
      <c r="AJ4" s="1293"/>
      <c r="AK4" s="910"/>
      <c r="AL4" s="910"/>
      <c r="AM4" s="944"/>
      <c r="AN4" s="944"/>
      <c r="AO4" s="944"/>
      <c r="AP4" s="944"/>
      <c r="AQ4" s="944"/>
      <c r="AR4" s="944"/>
      <c r="AS4" s="944"/>
      <c r="AT4" s="944"/>
      <c r="AU4" s="909"/>
      <c r="AV4" s="909"/>
      <c r="AW4" s="909"/>
      <c r="AX4" s="909"/>
      <c r="AY4" s="1284"/>
      <c r="AZ4" s="1284"/>
      <c r="BA4" s="1302"/>
      <c r="BB4" s="1098"/>
      <c r="BC4" s="1303"/>
      <c r="BD4" s="1098"/>
      <c r="BE4" s="1098"/>
      <c r="BF4" s="1098"/>
      <c r="BG4" s="1302"/>
      <c r="BH4" s="966"/>
      <c r="BI4" s="1019"/>
    </row>
    <row r="5" s="1021" customFormat="1" ht="21.75" spans="2:62">
      <c r="B5" s="1560" t="s">
        <v>39</v>
      </c>
      <c r="C5" s="164" t="s">
        <v>4609</v>
      </c>
      <c r="D5" s="164" t="s">
        <v>4610</v>
      </c>
      <c r="E5" s="975">
        <v>25969</v>
      </c>
      <c r="F5" s="978" t="s">
        <v>43</v>
      </c>
      <c r="G5" s="978" t="s">
        <v>254</v>
      </c>
      <c r="H5" s="978" t="s">
        <v>254</v>
      </c>
      <c r="I5" s="925" t="s">
        <v>3528</v>
      </c>
      <c r="J5" s="925" t="s">
        <v>4611</v>
      </c>
      <c r="K5" s="925" t="s">
        <v>4612</v>
      </c>
      <c r="L5" s="1285">
        <v>42005</v>
      </c>
      <c r="M5" s="981">
        <v>41593</v>
      </c>
      <c r="N5" s="981">
        <v>42004</v>
      </c>
      <c r="O5" s="981">
        <v>42185</v>
      </c>
      <c r="P5" s="981">
        <v>42338</v>
      </c>
      <c r="Q5" s="981"/>
      <c r="R5" s="981"/>
      <c r="S5" s="981"/>
      <c r="T5" s="981"/>
      <c r="U5" s="981"/>
      <c r="V5" s="981"/>
      <c r="W5" s="981"/>
      <c r="X5" s="981">
        <v>42339</v>
      </c>
      <c r="Y5" s="981">
        <v>42369</v>
      </c>
      <c r="Z5" s="981">
        <v>42551</v>
      </c>
      <c r="AA5" s="988">
        <v>42643</v>
      </c>
      <c r="AB5" s="988">
        <v>42704</v>
      </c>
      <c r="AC5" s="988">
        <v>42688</v>
      </c>
      <c r="AD5" s="988"/>
      <c r="AE5" s="988">
        <v>42689</v>
      </c>
      <c r="AF5" s="988">
        <v>42766</v>
      </c>
      <c r="AG5" s="988">
        <v>42767</v>
      </c>
      <c r="AH5" s="988">
        <v>42916</v>
      </c>
      <c r="AI5" s="988">
        <v>43281</v>
      </c>
      <c r="AJ5" s="989"/>
      <c r="AK5" s="640">
        <f ca="1">SUM(AI5-NOW())</f>
        <v>8.61546296296001</v>
      </c>
      <c r="AL5" s="121" t="str">
        <f ca="1" t="shared" ref="AL5:AL7" si="0">IF(AK5&lt;=40,"WARNING","ACTIVE")</f>
        <v>WARNING</v>
      </c>
      <c r="AM5" s="1002">
        <v>8626056</v>
      </c>
      <c r="AN5" s="1002">
        <v>550000</v>
      </c>
      <c r="AO5" s="1002"/>
      <c r="AP5" s="1002">
        <v>500000</v>
      </c>
      <c r="AQ5" s="1002">
        <v>100000</v>
      </c>
      <c r="AR5" s="1002">
        <v>1000000</v>
      </c>
      <c r="AS5" s="1002"/>
      <c r="AT5" s="1002"/>
      <c r="AU5" s="1009" t="s">
        <v>48</v>
      </c>
      <c r="AV5" s="1010" t="s">
        <v>48</v>
      </c>
      <c r="AW5" s="1010" t="s">
        <v>48</v>
      </c>
      <c r="AX5" s="1010"/>
      <c r="AY5" s="925" t="s">
        <v>4613</v>
      </c>
      <c r="AZ5" s="285" t="s">
        <v>4614</v>
      </c>
      <c r="BA5" s="961" t="s">
        <v>4615</v>
      </c>
      <c r="BB5" s="1012" t="s">
        <v>4616</v>
      </c>
      <c r="BC5" s="1009"/>
      <c r="BD5" s="1009" t="s">
        <v>4617</v>
      </c>
      <c r="BE5" s="1009" t="s">
        <v>4618</v>
      </c>
      <c r="BF5" s="1015" t="s">
        <v>4619</v>
      </c>
      <c r="BG5" s="961" t="s">
        <v>4620</v>
      </c>
      <c r="BH5" s="1016"/>
      <c r="BI5" s="1305" t="s">
        <v>4621</v>
      </c>
      <c r="BJ5" s="1306"/>
    </row>
    <row r="6" s="1021" customFormat="1" ht="21" customHeight="1" spans="2:63">
      <c r="B6" s="1560" t="s">
        <v>56</v>
      </c>
      <c r="C6" s="164" t="s">
        <v>4622</v>
      </c>
      <c r="D6" s="164" t="s">
        <v>4623</v>
      </c>
      <c r="E6" s="975" t="s">
        <v>4624</v>
      </c>
      <c r="F6" s="978" t="s">
        <v>125</v>
      </c>
      <c r="G6" s="978" t="s">
        <v>60</v>
      </c>
      <c r="H6" s="978" t="s">
        <v>60</v>
      </c>
      <c r="I6" s="925" t="s">
        <v>3528</v>
      </c>
      <c r="J6" s="925" t="s">
        <v>4611</v>
      </c>
      <c r="K6" s="925" t="s">
        <v>4625</v>
      </c>
      <c r="L6" s="1285"/>
      <c r="M6" s="981">
        <v>42475</v>
      </c>
      <c r="N6" s="981">
        <v>42657</v>
      </c>
      <c r="O6" s="981">
        <v>42643</v>
      </c>
      <c r="P6" s="981">
        <v>42735</v>
      </c>
      <c r="Q6" s="981">
        <v>42916</v>
      </c>
      <c r="R6" s="981">
        <v>43008</v>
      </c>
      <c r="S6" s="981">
        <v>43083</v>
      </c>
      <c r="T6" s="981">
        <v>43173</v>
      </c>
      <c r="U6" s="981">
        <v>43204</v>
      </c>
      <c r="V6" s="981"/>
      <c r="W6" s="981"/>
      <c r="X6" s="981">
        <v>43205</v>
      </c>
      <c r="Y6" s="981">
        <v>43281</v>
      </c>
      <c r="Z6" s="984">
        <v>43357</v>
      </c>
      <c r="AA6" s="988"/>
      <c r="AB6" s="988"/>
      <c r="AC6" s="988"/>
      <c r="AD6" s="988"/>
      <c r="AE6" s="988"/>
      <c r="AF6" s="988"/>
      <c r="AG6" s="988"/>
      <c r="AH6" s="988"/>
      <c r="AI6" s="988"/>
      <c r="AJ6" s="988"/>
      <c r="AK6" s="640">
        <f ca="1">SUM(Y6-NOW())</f>
        <v>8.61546296296001</v>
      </c>
      <c r="AL6" s="121" t="str">
        <f ca="1" t="shared" si="0"/>
        <v>WARNING</v>
      </c>
      <c r="AM6" s="1002">
        <v>8000000</v>
      </c>
      <c r="AN6" s="1002">
        <v>700000</v>
      </c>
      <c r="AO6" s="1002"/>
      <c r="AP6" s="1002">
        <v>500000</v>
      </c>
      <c r="AQ6" s="1002">
        <v>500000</v>
      </c>
      <c r="AR6" s="1002"/>
      <c r="AS6" s="1002"/>
      <c r="AT6" s="1002">
        <v>1200000</v>
      </c>
      <c r="AU6" s="1002">
        <v>1000000</v>
      </c>
      <c r="AV6" s="1010" t="s">
        <v>48</v>
      </c>
      <c r="AW6" s="1010" t="s">
        <v>48</v>
      </c>
      <c r="AX6" s="1010"/>
      <c r="AY6" s="925" t="s">
        <v>4626</v>
      </c>
      <c r="AZ6" s="285" t="s">
        <v>4627</v>
      </c>
      <c r="BA6" s="961" t="s">
        <v>4628</v>
      </c>
      <c r="BB6" s="1012" t="s">
        <v>4629</v>
      </c>
      <c r="BC6" s="1009" t="s">
        <v>4630</v>
      </c>
      <c r="BD6" s="1009" t="s">
        <v>4631</v>
      </c>
      <c r="BE6" s="1009" t="s">
        <v>4632</v>
      </c>
      <c r="BF6" s="1015" t="s">
        <v>4633</v>
      </c>
      <c r="BG6" s="961" t="s">
        <v>4634</v>
      </c>
      <c r="BH6" s="1016"/>
      <c r="BI6" s="1305" t="s">
        <v>4635</v>
      </c>
      <c r="BJ6" s="1306"/>
      <c r="BK6" s="1307"/>
    </row>
    <row r="7" s="1282" customFormat="1" ht="21" customHeight="1" spans="2:62">
      <c r="B7" s="1560" t="s">
        <v>68</v>
      </c>
      <c r="C7" s="164" t="s">
        <v>4636</v>
      </c>
      <c r="D7" s="164" t="s">
        <v>4637</v>
      </c>
      <c r="E7" s="975" t="s">
        <v>4638</v>
      </c>
      <c r="F7" s="978" t="s">
        <v>43</v>
      </c>
      <c r="G7" s="978" t="s">
        <v>254</v>
      </c>
      <c r="H7" s="978" t="s">
        <v>254</v>
      </c>
      <c r="I7" s="925" t="s">
        <v>3528</v>
      </c>
      <c r="J7" s="925" t="s">
        <v>4611</v>
      </c>
      <c r="K7" s="925" t="s">
        <v>4639</v>
      </c>
      <c r="L7" s="1285"/>
      <c r="M7" s="981">
        <v>42917</v>
      </c>
      <c r="N7" s="981">
        <v>43008</v>
      </c>
      <c r="O7" s="981">
        <v>43039</v>
      </c>
      <c r="P7" s="981">
        <v>43100</v>
      </c>
      <c r="Q7" s="981">
        <v>43190</v>
      </c>
      <c r="R7" s="983">
        <v>43281</v>
      </c>
      <c r="S7" s="983">
        <v>43465</v>
      </c>
      <c r="T7" s="981"/>
      <c r="U7" s="981"/>
      <c r="V7" s="981"/>
      <c r="W7" s="981"/>
      <c r="X7" s="981"/>
      <c r="Y7" s="981"/>
      <c r="Z7" s="981"/>
      <c r="AA7" s="988"/>
      <c r="AB7" s="988"/>
      <c r="AC7" s="988"/>
      <c r="AD7" s="988"/>
      <c r="AE7" s="988"/>
      <c r="AF7" s="988"/>
      <c r="AG7" s="988"/>
      <c r="AH7" s="988"/>
      <c r="AI7" s="988"/>
      <c r="AJ7" s="988"/>
      <c r="AK7" s="640">
        <f ca="1">SUM(R7-NOW())</f>
        <v>8.61546296296001</v>
      </c>
      <c r="AL7" s="121" t="str">
        <f ca="1" t="shared" si="0"/>
        <v>WARNING</v>
      </c>
      <c r="AM7" s="1002">
        <v>4500000</v>
      </c>
      <c r="AN7" s="1002">
        <v>250000</v>
      </c>
      <c r="AO7" s="1002" t="s">
        <v>583</v>
      </c>
      <c r="AP7" s="1002">
        <v>500000</v>
      </c>
      <c r="AQ7" s="1002"/>
      <c r="AR7" s="1002"/>
      <c r="AS7" s="1002"/>
      <c r="AT7" s="1002"/>
      <c r="AU7" s="1009" t="s">
        <v>4640</v>
      </c>
      <c r="AV7" s="1010" t="s">
        <v>113</v>
      </c>
      <c r="AW7" s="1010" t="s">
        <v>113</v>
      </c>
      <c r="AX7" s="1010"/>
      <c r="AY7" s="925"/>
      <c r="AZ7" s="285" t="s">
        <v>4641</v>
      </c>
      <c r="BA7" s="1537" t="s">
        <v>4642</v>
      </c>
      <c r="BB7" s="1012" t="s">
        <v>4643</v>
      </c>
      <c r="BC7" s="1009" t="s">
        <v>4644</v>
      </c>
      <c r="BD7" s="1538" t="s">
        <v>4645</v>
      </c>
      <c r="BE7" s="1009"/>
      <c r="BF7" s="1015"/>
      <c r="BG7" s="130" t="s">
        <v>4646</v>
      </c>
      <c r="BH7" s="164"/>
      <c r="BI7" s="1305" t="s">
        <v>4635</v>
      </c>
      <c r="BJ7" s="1308"/>
    </row>
    <row r="8" s="873" customFormat="1" ht="14.1" customHeight="1" spans="2:61">
      <c r="B8" s="1560" t="s">
        <v>78</v>
      </c>
      <c r="C8" s="164" t="s">
        <v>4647</v>
      </c>
      <c r="D8" s="164" t="s">
        <v>4648</v>
      </c>
      <c r="E8" s="975" t="s">
        <v>4649</v>
      </c>
      <c r="F8" s="978" t="s">
        <v>43</v>
      </c>
      <c r="G8" s="978" t="s">
        <v>254</v>
      </c>
      <c r="H8" s="978" t="s">
        <v>254</v>
      </c>
      <c r="I8" s="925" t="s">
        <v>3528</v>
      </c>
      <c r="J8" s="925" t="s">
        <v>4611</v>
      </c>
      <c r="K8" s="925" t="s">
        <v>1241</v>
      </c>
      <c r="L8" s="1285"/>
      <c r="M8" s="981">
        <v>43185</v>
      </c>
      <c r="N8" s="981">
        <v>43281</v>
      </c>
      <c r="O8" s="983">
        <v>43373</v>
      </c>
      <c r="P8" s="981"/>
      <c r="Q8" s="981"/>
      <c r="R8" s="981"/>
      <c r="S8" s="981"/>
      <c r="T8" s="981"/>
      <c r="U8" s="981"/>
      <c r="V8" s="981"/>
      <c r="W8" s="981"/>
      <c r="X8" s="981"/>
      <c r="Y8" s="981"/>
      <c r="Z8" s="981"/>
      <c r="AA8" s="988"/>
      <c r="AB8" s="988"/>
      <c r="AC8" s="988"/>
      <c r="AD8" s="988"/>
      <c r="AE8" s="988"/>
      <c r="AF8" s="988"/>
      <c r="AG8" s="988"/>
      <c r="AH8" s="988"/>
      <c r="AI8" s="988"/>
      <c r="AJ8" s="988"/>
      <c r="AK8" s="640">
        <f ca="1">SUM(N8-NOW())</f>
        <v>8.61546296296001</v>
      </c>
      <c r="AL8" s="121" t="str">
        <f ca="1" t="shared" ref="AL8" si="1">IF(AK8&lt;=40,"WARNING","ACTIVE")</f>
        <v>WARNING</v>
      </c>
      <c r="AM8" s="1002">
        <v>11000000</v>
      </c>
      <c r="AN8" s="1002">
        <v>1000000</v>
      </c>
      <c r="AO8" s="1002"/>
      <c r="AP8" s="1002">
        <v>500000</v>
      </c>
      <c r="AQ8" s="1002">
        <v>500000</v>
      </c>
      <c r="AR8" s="1002"/>
      <c r="AS8" s="1002"/>
      <c r="AT8" s="1002">
        <v>2000000</v>
      </c>
      <c r="AU8" s="1299">
        <v>1500000</v>
      </c>
      <c r="AV8" s="1010" t="s">
        <v>113</v>
      </c>
      <c r="AW8" s="1010" t="s">
        <v>113</v>
      </c>
      <c r="AX8" s="1010"/>
      <c r="AY8" s="925"/>
      <c r="AZ8" s="285" t="s">
        <v>4650</v>
      </c>
      <c r="BA8" s="1537" t="s">
        <v>4651</v>
      </c>
      <c r="BB8" s="1012" t="s">
        <v>4652</v>
      </c>
      <c r="BC8" s="1009" t="s">
        <v>4653</v>
      </c>
      <c r="BD8" s="1538" t="s">
        <v>4654</v>
      </c>
      <c r="BE8" s="1009"/>
      <c r="BF8" s="1015"/>
      <c r="BG8" s="127" t="s">
        <v>4655</v>
      </c>
      <c r="BH8" s="164"/>
      <c r="BI8" s="1305"/>
    </row>
    <row r="9" s="1192" customFormat="1" ht="21" spans="2:77">
      <c r="B9" s="1560" t="s">
        <v>92</v>
      </c>
      <c r="C9" s="837" t="s">
        <v>4656</v>
      </c>
      <c r="D9" s="1162" t="s">
        <v>4657</v>
      </c>
      <c r="E9" s="1043" t="s">
        <v>4658</v>
      </c>
      <c r="F9" s="1043" t="s">
        <v>125</v>
      </c>
      <c r="G9" s="1043" t="s">
        <v>44</v>
      </c>
      <c r="H9" s="1043" t="s">
        <v>44</v>
      </c>
      <c r="I9" s="1049" t="s">
        <v>3528</v>
      </c>
      <c r="J9" s="1049" t="s">
        <v>4659</v>
      </c>
      <c r="K9" s="1049" t="s">
        <v>4660</v>
      </c>
      <c r="L9" s="1169"/>
      <c r="M9" s="1169">
        <v>42927</v>
      </c>
      <c r="N9" s="1169">
        <v>43008</v>
      </c>
      <c r="O9" s="1169">
        <v>43100</v>
      </c>
      <c r="P9" s="1169">
        <v>43131</v>
      </c>
      <c r="Q9" s="1169">
        <v>43190</v>
      </c>
      <c r="R9" s="1169">
        <v>43220</v>
      </c>
      <c r="S9" s="1169">
        <v>43251</v>
      </c>
      <c r="T9" s="1290">
        <v>43343</v>
      </c>
      <c r="U9" s="1169"/>
      <c r="V9" s="1169"/>
      <c r="W9" s="1169"/>
      <c r="X9" s="1169"/>
      <c r="Y9" s="1169"/>
      <c r="Z9" s="1169"/>
      <c r="AA9" s="1169"/>
      <c r="AB9" s="1169"/>
      <c r="AC9" s="1169"/>
      <c r="AD9" s="1169"/>
      <c r="AE9" s="1169"/>
      <c r="AF9" s="1169"/>
      <c r="AG9" s="1169"/>
      <c r="AH9" s="1169"/>
      <c r="AI9" s="1169"/>
      <c r="AJ9" s="1169"/>
      <c r="AK9" s="640">
        <f ca="1">SUM(T9-NOW())</f>
        <v>70.61546296296</v>
      </c>
      <c r="AL9" s="121" t="str">
        <f ca="1" t="shared" ref="AL9" si="2">IF(AK9&lt;=40,"WARNING","ACTIVE")</f>
        <v>ACTIVE</v>
      </c>
      <c r="AM9" s="1077">
        <v>4200000</v>
      </c>
      <c r="AN9" s="1077">
        <v>150000</v>
      </c>
      <c r="AO9" s="1078" t="s">
        <v>583</v>
      </c>
      <c r="AP9" s="1078">
        <v>500000</v>
      </c>
      <c r="AQ9" s="1078">
        <v>100000</v>
      </c>
      <c r="AR9" s="1078"/>
      <c r="AS9" s="1077" t="s">
        <v>583</v>
      </c>
      <c r="AT9" s="1078" t="s">
        <v>583</v>
      </c>
      <c r="AU9" s="1078">
        <v>500000</v>
      </c>
      <c r="AV9" s="1049" t="s">
        <v>48</v>
      </c>
      <c r="AW9" s="1078" t="s">
        <v>48</v>
      </c>
      <c r="AX9" s="1049"/>
      <c r="AY9" s="1078"/>
      <c r="AZ9" s="1102" t="s">
        <v>4661</v>
      </c>
      <c r="BA9" s="961" t="s">
        <v>4662</v>
      </c>
      <c r="BB9" s="1012" t="s">
        <v>4663</v>
      </c>
      <c r="BC9" s="1009" t="s">
        <v>4664</v>
      </c>
      <c r="BD9" s="1009"/>
      <c r="BE9" s="1009"/>
      <c r="BF9" s="1015"/>
      <c r="BG9" s="130" t="s">
        <v>4665</v>
      </c>
      <c r="BH9" s="1187"/>
      <c r="BI9" s="1232"/>
      <c r="BJ9" s="1309"/>
      <c r="BK9" s="1310"/>
      <c r="BL9" s="1311"/>
      <c r="BW9" s="1233" t="s">
        <v>4665</v>
      </c>
      <c r="BX9" s="1234" t="s">
        <v>3479</v>
      </c>
      <c r="BY9" s="1189"/>
    </row>
    <row r="10" s="873" customFormat="1" ht="14.1" customHeight="1"/>
    <row r="11" s="873" customFormat="1" ht="14.1" customHeight="1"/>
    <row r="12" s="873" customFormat="1" ht="14.1" customHeight="1"/>
    <row r="13" s="873" customFormat="1" ht="14.1" customHeight="1"/>
    <row r="14" s="873" customFormat="1" ht="14.1" customHeight="1"/>
    <row r="15" s="873" customFormat="1" ht="14.1" customHeight="1"/>
    <row r="16" s="873" customFormat="1" ht="14.1" customHeight="1"/>
    <row r="17" s="873" customFormat="1" ht="14.1" customHeight="1"/>
    <row r="18" s="873" customFormat="1" ht="14.1" customHeight="1"/>
    <row r="19" s="873" customFormat="1" ht="14.1" customHeight="1"/>
    <row r="20" s="873" customFormat="1" ht="14.1" customHeight="1" spans="2:3">
      <c r="B20" s="1036" t="s">
        <v>2552</v>
      </c>
      <c r="C20" s="1037"/>
    </row>
    <row r="21" s="873" customFormat="1" ht="14.1" customHeight="1" spans="2:61">
      <c r="B21" s="1561" t="s">
        <v>121</v>
      </c>
      <c r="C21" s="168" t="s">
        <v>4666</v>
      </c>
      <c r="D21" s="168" t="s">
        <v>4667</v>
      </c>
      <c r="E21" s="979" t="s">
        <v>4668</v>
      </c>
      <c r="F21" s="922" t="s">
        <v>43</v>
      </c>
      <c r="G21" s="922" t="s">
        <v>254</v>
      </c>
      <c r="H21" s="922" t="s">
        <v>254</v>
      </c>
      <c r="I21" s="927" t="s">
        <v>361</v>
      </c>
      <c r="J21" s="927" t="s">
        <v>4611</v>
      </c>
      <c r="K21" s="927" t="s">
        <v>1069</v>
      </c>
      <c r="L21" s="948"/>
      <c r="M21" s="934">
        <v>42172</v>
      </c>
      <c r="N21" s="934">
        <v>42263</v>
      </c>
      <c r="O21" s="934">
        <v>42369</v>
      </c>
      <c r="P21" s="934">
        <v>42551</v>
      </c>
      <c r="Q21" s="934">
        <v>42643</v>
      </c>
      <c r="R21" s="934">
        <v>42855</v>
      </c>
      <c r="S21" s="934">
        <v>42902</v>
      </c>
      <c r="T21" s="934"/>
      <c r="U21" s="934"/>
      <c r="V21" s="934"/>
      <c r="W21" s="934"/>
      <c r="X21" s="934">
        <v>42903</v>
      </c>
      <c r="Y21" s="934">
        <v>42916</v>
      </c>
      <c r="Z21" s="934">
        <v>42978</v>
      </c>
      <c r="AA21" s="989"/>
      <c r="AB21" s="989"/>
      <c r="AC21" s="989"/>
      <c r="AD21" s="989"/>
      <c r="AE21" s="989"/>
      <c r="AF21" s="989"/>
      <c r="AG21" s="989"/>
      <c r="AH21" s="989"/>
      <c r="AI21" s="989"/>
      <c r="AJ21" s="989"/>
      <c r="AK21" s="640">
        <f ca="1">SUM(Z21-NOW())</f>
        <v>-294.38453703704</v>
      </c>
      <c r="AL21" s="187" t="str">
        <f ca="1" t="shared" ref="AL21:AL29" si="3">IF(AK21&lt;=40,"WARNING","ACTIVE")</f>
        <v>WARNING</v>
      </c>
      <c r="AM21" s="1006">
        <v>29700000</v>
      </c>
      <c r="AN21" s="1006" t="s">
        <v>4669</v>
      </c>
      <c r="AO21" s="1006" t="s">
        <v>4669</v>
      </c>
      <c r="AP21" s="1006" t="s">
        <v>4669</v>
      </c>
      <c r="AQ21" s="1006" t="s">
        <v>4669</v>
      </c>
      <c r="AR21" s="1006" t="s">
        <v>4669</v>
      </c>
      <c r="AS21" s="1006" t="s">
        <v>4669</v>
      </c>
      <c r="AT21" s="1006"/>
      <c r="AU21" s="963" t="s">
        <v>4669</v>
      </c>
      <c r="AV21" s="957" t="s">
        <v>4669</v>
      </c>
      <c r="AW21" s="957" t="s">
        <v>4670</v>
      </c>
      <c r="AX21" s="957"/>
      <c r="AY21" s="927" t="s">
        <v>4671</v>
      </c>
      <c r="AZ21" s="290" t="s">
        <v>4672</v>
      </c>
      <c r="BA21" s="962" t="s">
        <v>4673</v>
      </c>
      <c r="BB21" s="1014" t="s">
        <v>4674</v>
      </c>
      <c r="BC21" s="963" t="s">
        <v>4675</v>
      </c>
      <c r="BD21" s="963" t="s">
        <v>4676</v>
      </c>
      <c r="BE21" s="963" t="s">
        <v>4677</v>
      </c>
      <c r="BF21" s="1013">
        <v>0</v>
      </c>
      <c r="BG21" s="962" t="s">
        <v>4678</v>
      </c>
      <c r="BH21" s="168" t="s">
        <v>4679</v>
      </c>
      <c r="BI21" s="1312">
        <v>42978</v>
      </c>
    </row>
    <row r="22" s="1022" customFormat="1" ht="14.1" customHeight="1" spans="2:61">
      <c r="B22" s="1561" t="s">
        <v>194</v>
      </c>
      <c r="C22" s="168" t="s">
        <v>4680</v>
      </c>
      <c r="D22" s="168" t="s">
        <v>4681</v>
      </c>
      <c r="E22" s="979" t="s">
        <v>733</v>
      </c>
      <c r="F22" s="922" t="s">
        <v>43</v>
      </c>
      <c r="G22" s="922" t="s">
        <v>60</v>
      </c>
      <c r="H22" s="922" t="s">
        <v>60</v>
      </c>
      <c r="I22" s="927" t="s">
        <v>4682</v>
      </c>
      <c r="J22" s="927" t="s">
        <v>4683</v>
      </c>
      <c r="K22" s="927" t="s">
        <v>993</v>
      </c>
      <c r="L22" s="948"/>
      <c r="M22" s="934">
        <v>42644</v>
      </c>
      <c r="N22" s="934">
        <v>42766</v>
      </c>
      <c r="O22" s="934">
        <v>42825</v>
      </c>
      <c r="P22" s="934">
        <v>42886</v>
      </c>
      <c r="Q22" s="934">
        <v>42947</v>
      </c>
      <c r="R22" s="934">
        <v>43039</v>
      </c>
      <c r="S22" s="934"/>
      <c r="T22" s="934"/>
      <c r="U22" s="934"/>
      <c r="V22" s="934"/>
      <c r="W22" s="934"/>
      <c r="X22" s="934"/>
      <c r="Y22" s="934"/>
      <c r="Z22" s="934"/>
      <c r="AA22" s="989"/>
      <c r="AB22" s="989"/>
      <c r="AC22" s="989"/>
      <c r="AD22" s="989"/>
      <c r="AE22" s="989"/>
      <c r="AF22" s="989"/>
      <c r="AG22" s="989"/>
      <c r="AH22" s="989"/>
      <c r="AI22" s="989"/>
      <c r="AJ22" s="989"/>
      <c r="AK22" s="641">
        <f ca="1">SUM(R22-NOW())</f>
        <v>-233.38453703704</v>
      </c>
      <c r="AL22" s="187" t="str">
        <f ca="1" t="shared" si="3"/>
        <v>WARNING</v>
      </c>
      <c r="AM22" s="1006">
        <v>7500000</v>
      </c>
      <c r="AN22" s="1006">
        <v>550000</v>
      </c>
      <c r="AO22" s="1006">
        <v>3000000</v>
      </c>
      <c r="AP22" s="1006">
        <v>500000</v>
      </c>
      <c r="AQ22" s="1006">
        <v>250000</v>
      </c>
      <c r="AR22" s="1006"/>
      <c r="AS22" s="1006"/>
      <c r="AT22" s="1006">
        <v>2000000</v>
      </c>
      <c r="AU22" s="963" t="s">
        <v>4684</v>
      </c>
      <c r="AV22" s="957" t="s">
        <v>48</v>
      </c>
      <c r="AW22" s="957" t="s">
        <v>48</v>
      </c>
      <c r="AX22" s="957"/>
      <c r="AY22" s="927" t="s">
        <v>4685</v>
      </c>
      <c r="AZ22" s="290" t="s">
        <v>4686</v>
      </c>
      <c r="BA22" s="962" t="s">
        <v>4687</v>
      </c>
      <c r="BB22" s="1014" t="s">
        <v>4688</v>
      </c>
      <c r="BC22" s="963" t="s">
        <v>4689</v>
      </c>
      <c r="BD22" s="963" t="s">
        <v>4690</v>
      </c>
      <c r="BE22" s="963"/>
      <c r="BF22" s="1013"/>
      <c r="BG22" s="962" t="s">
        <v>4691</v>
      </c>
      <c r="BH22" s="1304" t="s">
        <v>4692</v>
      </c>
      <c r="BI22" s="1313"/>
    </row>
    <row r="23" s="873" customFormat="1" ht="14.1" customHeight="1" spans="2:61">
      <c r="B23" s="1560" t="s">
        <v>121</v>
      </c>
      <c r="C23" s="168" t="s">
        <v>4693</v>
      </c>
      <c r="D23" s="168" t="s">
        <v>4694</v>
      </c>
      <c r="E23" s="979" t="s">
        <v>4695</v>
      </c>
      <c r="F23" s="922" t="s">
        <v>125</v>
      </c>
      <c r="G23" s="922" t="s">
        <v>44</v>
      </c>
      <c r="H23" s="922" t="s">
        <v>44</v>
      </c>
      <c r="I23" s="927" t="s">
        <v>361</v>
      </c>
      <c r="J23" s="927" t="s">
        <v>4611</v>
      </c>
      <c r="K23" s="927" t="s">
        <v>508</v>
      </c>
      <c r="L23" s="948"/>
      <c r="M23" s="934">
        <v>42286</v>
      </c>
      <c r="N23" s="934">
        <v>42369</v>
      </c>
      <c r="O23" s="934">
        <v>42551</v>
      </c>
      <c r="P23" s="934">
        <v>42643</v>
      </c>
      <c r="Q23" s="934">
        <v>42855</v>
      </c>
      <c r="R23" s="934">
        <v>42916</v>
      </c>
      <c r="S23" s="934">
        <v>42978</v>
      </c>
      <c r="T23" s="934"/>
      <c r="U23" s="934"/>
      <c r="V23" s="934"/>
      <c r="W23" s="934"/>
      <c r="X23" s="934"/>
      <c r="Y23" s="934"/>
      <c r="Z23" s="934"/>
      <c r="AA23" s="989"/>
      <c r="AB23" s="989"/>
      <c r="AC23" s="989"/>
      <c r="AD23" s="989"/>
      <c r="AE23" s="989"/>
      <c r="AF23" s="989"/>
      <c r="AG23" s="989"/>
      <c r="AH23" s="989"/>
      <c r="AI23" s="989"/>
      <c r="AJ23" s="989"/>
      <c r="AK23" s="641">
        <v>-22.5742211805555</v>
      </c>
      <c r="AL23" s="187" t="s">
        <v>2569</v>
      </c>
      <c r="AM23" s="1006">
        <v>3300000</v>
      </c>
      <c r="AN23" s="1006">
        <v>250000</v>
      </c>
      <c r="AO23" s="1006"/>
      <c r="AP23" s="1006">
        <v>500000</v>
      </c>
      <c r="AQ23" s="1006">
        <v>100000</v>
      </c>
      <c r="AR23" s="1006"/>
      <c r="AS23" s="1006"/>
      <c r="AT23" s="1006"/>
      <c r="AU23" s="963" t="s">
        <v>4696</v>
      </c>
      <c r="AV23" s="957" t="s">
        <v>48</v>
      </c>
      <c r="AW23" s="957" t="s">
        <v>4670</v>
      </c>
      <c r="AX23" s="957"/>
      <c r="AY23" s="927" t="s">
        <v>4697</v>
      </c>
      <c r="AZ23" s="290" t="s">
        <v>4698</v>
      </c>
      <c r="BA23" s="962" t="s">
        <v>4699</v>
      </c>
      <c r="BB23" s="1014" t="s">
        <v>4700</v>
      </c>
      <c r="BC23" s="963" t="s">
        <v>4701</v>
      </c>
      <c r="BD23" s="963" t="s">
        <v>4702</v>
      </c>
      <c r="BE23" s="963">
        <v>0</v>
      </c>
      <c r="BF23" s="1013" t="s">
        <v>4703</v>
      </c>
      <c r="BG23" s="962" t="s">
        <v>4704</v>
      </c>
      <c r="BH23" s="168" t="s">
        <v>2828</v>
      </c>
      <c r="BI23" s="1312">
        <v>42978</v>
      </c>
    </row>
    <row r="24" s="873" customFormat="1" ht="14.1" customHeight="1" spans="2:61">
      <c r="B24" s="1560" t="s">
        <v>157</v>
      </c>
      <c r="C24" s="168" t="s">
        <v>4705</v>
      </c>
      <c r="D24" s="168" t="s">
        <v>4706</v>
      </c>
      <c r="E24" s="979" t="s">
        <v>4707</v>
      </c>
      <c r="F24" s="922" t="s">
        <v>125</v>
      </c>
      <c r="G24" s="922" t="s">
        <v>44</v>
      </c>
      <c r="H24" s="922" t="s">
        <v>44</v>
      </c>
      <c r="I24" s="927" t="s">
        <v>1269</v>
      </c>
      <c r="J24" s="927" t="s">
        <v>4611</v>
      </c>
      <c r="K24" s="927" t="s">
        <v>953</v>
      </c>
      <c r="L24" s="948"/>
      <c r="M24" s="934">
        <v>42644</v>
      </c>
      <c r="N24" s="934">
        <v>42855</v>
      </c>
      <c r="O24" s="934">
        <v>42916</v>
      </c>
      <c r="P24" s="934">
        <v>42978</v>
      </c>
      <c r="Q24" s="934"/>
      <c r="R24" s="934"/>
      <c r="S24" s="934"/>
      <c r="T24" s="934"/>
      <c r="U24" s="934"/>
      <c r="V24" s="934"/>
      <c r="W24" s="934"/>
      <c r="X24" s="934"/>
      <c r="Y24" s="934"/>
      <c r="Z24" s="934"/>
      <c r="AA24" s="989"/>
      <c r="AB24" s="989"/>
      <c r="AC24" s="989"/>
      <c r="AD24" s="989"/>
      <c r="AE24" s="989"/>
      <c r="AF24" s="989"/>
      <c r="AG24" s="989"/>
      <c r="AH24" s="989"/>
      <c r="AI24" s="989"/>
      <c r="AJ24" s="989"/>
      <c r="AK24" s="641">
        <v>-22.5742214120401</v>
      </c>
      <c r="AL24" s="187" t="s">
        <v>2569</v>
      </c>
      <c r="AM24" s="1006">
        <v>11300000</v>
      </c>
      <c r="AN24" s="1006">
        <v>250000</v>
      </c>
      <c r="AO24" s="1006"/>
      <c r="AP24" s="1006">
        <v>500000</v>
      </c>
      <c r="AQ24" s="1006">
        <v>250000</v>
      </c>
      <c r="AR24" s="1006">
        <v>500000</v>
      </c>
      <c r="AS24" s="1006">
        <v>2000000</v>
      </c>
      <c r="AT24" s="1006"/>
      <c r="AU24" s="963" t="s">
        <v>0</v>
      </c>
      <c r="AV24" s="957" t="s">
        <v>48</v>
      </c>
      <c r="AW24" s="957" t="s">
        <v>48</v>
      </c>
      <c r="AX24" s="957"/>
      <c r="AY24" s="927"/>
      <c r="AZ24" s="290" t="s">
        <v>4708</v>
      </c>
      <c r="BA24" s="962" t="s">
        <v>4709</v>
      </c>
      <c r="BB24" s="1014" t="s">
        <v>4710</v>
      </c>
      <c r="BC24" s="963" t="s">
        <v>4711</v>
      </c>
      <c r="BD24" s="963" t="s">
        <v>4712</v>
      </c>
      <c r="BE24" s="963"/>
      <c r="BF24" s="1013" t="s">
        <v>4713</v>
      </c>
      <c r="BG24" s="962" t="s">
        <v>4714</v>
      </c>
      <c r="BH24" s="168" t="s">
        <v>2828</v>
      </c>
      <c r="BI24" s="1313">
        <v>42978</v>
      </c>
    </row>
    <row r="25" s="873" customFormat="1" ht="14.1" customHeight="1" spans="2:61">
      <c r="B25" s="1560" t="s">
        <v>181</v>
      </c>
      <c r="C25" s="168" t="s">
        <v>4715</v>
      </c>
      <c r="D25" s="168" t="s">
        <v>4716</v>
      </c>
      <c r="E25" s="979" t="s">
        <v>4717</v>
      </c>
      <c r="F25" s="922" t="s">
        <v>125</v>
      </c>
      <c r="G25" s="922" t="s">
        <v>44</v>
      </c>
      <c r="H25" s="922" t="s">
        <v>44</v>
      </c>
      <c r="I25" s="927" t="s">
        <v>1269</v>
      </c>
      <c r="J25" s="927" t="s">
        <v>4611</v>
      </c>
      <c r="K25" s="927" t="s">
        <v>4565</v>
      </c>
      <c r="L25" s="948"/>
      <c r="M25" s="934">
        <v>42644</v>
      </c>
      <c r="N25" s="934">
        <v>42855</v>
      </c>
      <c r="O25" s="934">
        <v>42916</v>
      </c>
      <c r="P25" s="934">
        <v>42978</v>
      </c>
      <c r="Q25" s="934"/>
      <c r="R25" s="934"/>
      <c r="S25" s="934"/>
      <c r="T25" s="934"/>
      <c r="U25" s="934"/>
      <c r="V25" s="934"/>
      <c r="W25" s="934"/>
      <c r="X25" s="934"/>
      <c r="Y25" s="934"/>
      <c r="Z25" s="934"/>
      <c r="AA25" s="989"/>
      <c r="AB25" s="989"/>
      <c r="AC25" s="989"/>
      <c r="AD25" s="989"/>
      <c r="AE25" s="989"/>
      <c r="AF25" s="989"/>
      <c r="AG25" s="989"/>
      <c r="AH25" s="989"/>
      <c r="AI25" s="989"/>
      <c r="AJ25" s="989"/>
      <c r="AK25" s="641">
        <v>-22.5742214120401</v>
      </c>
      <c r="AL25" s="187" t="s">
        <v>2569</v>
      </c>
      <c r="AM25" s="1006">
        <v>7150000</v>
      </c>
      <c r="AN25" s="1006">
        <v>550000</v>
      </c>
      <c r="AO25" s="1006"/>
      <c r="AP25" s="1006">
        <v>500000</v>
      </c>
      <c r="AQ25" s="1006">
        <v>250000</v>
      </c>
      <c r="AR25" s="1006"/>
      <c r="AS25" s="1006">
        <v>2000000</v>
      </c>
      <c r="AT25" s="1006"/>
      <c r="AU25" s="963" t="s">
        <v>4684</v>
      </c>
      <c r="AV25" s="957" t="s">
        <v>48</v>
      </c>
      <c r="AW25" s="957" t="s">
        <v>48</v>
      </c>
      <c r="AX25" s="957"/>
      <c r="AY25" s="927"/>
      <c r="AZ25" s="290" t="s">
        <v>4718</v>
      </c>
      <c r="BA25" s="962" t="s">
        <v>4719</v>
      </c>
      <c r="BB25" s="1014" t="s">
        <v>4720</v>
      </c>
      <c r="BC25" s="963" t="s">
        <v>4721</v>
      </c>
      <c r="BD25" s="963" t="s">
        <v>4722</v>
      </c>
      <c r="BE25" s="963"/>
      <c r="BF25" s="1013" t="s">
        <v>4713</v>
      </c>
      <c r="BG25" s="962" t="s">
        <v>4723</v>
      </c>
      <c r="BH25" s="168" t="s">
        <v>2828</v>
      </c>
      <c r="BI25" s="1313">
        <v>42978</v>
      </c>
    </row>
    <row r="26" s="873" customFormat="1" ht="14.1" customHeight="1" spans="2:60">
      <c r="B26" s="1560" t="s">
        <v>78</v>
      </c>
      <c r="C26" s="168" t="s">
        <v>4724</v>
      </c>
      <c r="D26" s="168" t="s">
        <v>4725</v>
      </c>
      <c r="E26" s="979" t="s">
        <v>4726</v>
      </c>
      <c r="F26" s="922" t="s">
        <v>43</v>
      </c>
      <c r="G26" s="922" t="s">
        <v>254</v>
      </c>
      <c r="H26" s="922" t="s">
        <v>254</v>
      </c>
      <c r="I26" s="927" t="s">
        <v>361</v>
      </c>
      <c r="J26" s="927" t="s">
        <v>4611</v>
      </c>
      <c r="K26" s="927" t="s">
        <v>4565</v>
      </c>
      <c r="L26" s="948">
        <v>42082</v>
      </c>
      <c r="M26" s="934">
        <v>41663</v>
      </c>
      <c r="N26" s="934">
        <v>41820</v>
      </c>
      <c r="O26" s="934">
        <v>42004</v>
      </c>
      <c r="P26" s="934">
        <v>42369</v>
      </c>
      <c r="Q26" s="934">
        <v>42392</v>
      </c>
      <c r="R26" s="934"/>
      <c r="S26" s="934"/>
      <c r="T26" s="934"/>
      <c r="U26" s="934"/>
      <c r="V26" s="934"/>
      <c r="W26" s="934"/>
      <c r="X26" s="934">
        <v>42393</v>
      </c>
      <c r="Y26" s="934">
        <v>42551</v>
      </c>
      <c r="Z26" s="934">
        <v>42643</v>
      </c>
      <c r="AA26" s="989">
        <v>42758</v>
      </c>
      <c r="AB26" s="989"/>
      <c r="AC26" s="989"/>
      <c r="AD26" s="989"/>
      <c r="AE26" s="989">
        <v>42759</v>
      </c>
      <c r="AF26" s="989">
        <v>42855</v>
      </c>
      <c r="AG26" s="989">
        <v>42856</v>
      </c>
      <c r="AH26" s="989">
        <v>42916</v>
      </c>
      <c r="AI26" s="934">
        <v>42978</v>
      </c>
      <c r="AJ26" s="934">
        <v>43100</v>
      </c>
      <c r="AK26" s="641">
        <f ca="1">SUM(AJ26-NOW())</f>
        <v>-172.38453703704</v>
      </c>
      <c r="AL26" s="187" t="str">
        <f ca="1" t="shared" si="3"/>
        <v>WARNING</v>
      </c>
      <c r="AM26" s="1006">
        <v>7150000</v>
      </c>
      <c r="AN26" s="1006">
        <v>500000</v>
      </c>
      <c r="AO26" s="1006"/>
      <c r="AP26" s="1006"/>
      <c r="AQ26" s="1006"/>
      <c r="AR26" s="1006">
        <v>2000000</v>
      </c>
      <c r="AS26" s="1006"/>
      <c r="AT26" s="1006"/>
      <c r="AU26" s="963" t="s">
        <v>48</v>
      </c>
      <c r="AV26" s="957" t="s">
        <v>48</v>
      </c>
      <c r="AW26" s="957" t="s">
        <v>48</v>
      </c>
      <c r="AX26" s="957"/>
      <c r="AY26" s="927" t="s">
        <v>4727</v>
      </c>
      <c r="AZ26" s="290" t="s">
        <v>4728</v>
      </c>
      <c r="BA26" s="962" t="s">
        <v>4729</v>
      </c>
      <c r="BB26" s="1014" t="s">
        <v>4730</v>
      </c>
      <c r="BC26" s="963" t="s">
        <v>4731</v>
      </c>
      <c r="BD26" s="963" t="s">
        <v>4732</v>
      </c>
      <c r="BE26" s="963" t="s">
        <v>2574</v>
      </c>
      <c r="BF26" s="1013" t="s">
        <v>4733</v>
      </c>
      <c r="BG26" s="962" t="s">
        <v>4734</v>
      </c>
      <c r="BH26" s="168" t="s">
        <v>4735</v>
      </c>
    </row>
    <row r="27" s="873" customFormat="1" ht="14.1" customHeight="1" spans="2:61">
      <c r="B27" s="1560" t="s">
        <v>92</v>
      </c>
      <c r="C27" s="168" t="s">
        <v>4736</v>
      </c>
      <c r="D27" s="168" t="s">
        <v>4737</v>
      </c>
      <c r="E27" s="979" t="s">
        <v>4738</v>
      </c>
      <c r="F27" s="922" t="s">
        <v>125</v>
      </c>
      <c r="G27" s="922" t="s">
        <v>44</v>
      </c>
      <c r="H27" s="922" t="s">
        <v>44</v>
      </c>
      <c r="I27" s="927" t="s">
        <v>361</v>
      </c>
      <c r="J27" s="927" t="s">
        <v>4611</v>
      </c>
      <c r="K27" s="927" t="s">
        <v>4739</v>
      </c>
      <c r="L27" s="948"/>
      <c r="M27" s="934">
        <v>42285</v>
      </c>
      <c r="N27" s="934">
        <v>42369</v>
      </c>
      <c r="O27" s="934">
        <v>42460</v>
      </c>
      <c r="P27" s="934">
        <v>42551</v>
      </c>
      <c r="Q27" s="934">
        <v>42643</v>
      </c>
      <c r="R27" s="934">
        <v>42825</v>
      </c>
      <c r="S27" s="934">
        <v>42916</v>
      </c>
      <c r="T27" s="934">
        <v>42978</v>
      </c>
      <c r="U27" s="934">
        <v>43015</v>
      </c>
      <c r="V27" s="934"/>
      <c r="W27" s="934"/>
      <c r="X27" s="934">
        <v>43016</v>
      </c>
      <c r="Y27" s="934">
        <v>43039</v>
      </c>
      <c r="Z27" s="934"/>
      <c r="AA27" s="989"/>
      <c r="AB27" s="989"/>
      <c r="AC27" s="989"/>
      <c r="AD27" s="989"/>
      <c r="AE27" s="989"/>
      <c r="AF27" s="989"/>
      <c r="AG27" s="989"/>
      <c r="AH27" s="989"/>
      <c r="AI27" s="989"/>
      <c r="AJ27" s="989"/>
      <c r="AK27" s="641">
        <f ca="1">SUM(Y27-NOW())</f>
        <v>-233.38453703704</v>
      </c>
      <c r="AL27" s="187" t="str">
        <f ca="1" t="shared" si="3"/>
        <v>WARNING</v>
      </c>
      <c r="AM27" s="1006">
        <v>10300000</v>
      </c>
      <c r="AN27" s="1006">
        <v>500000</v>
      </c>
      <c r="AO27" s="1006"/>
      <c r="AP27" s="1006">
        <v>500000</v>
      </c>
      <c r="AQ27" s="1006">
        <v>100000</v>
      </c>
      <c r="AR27" s="1006"/>
      <c r="AS27" s="1006"/>
      <c r="AT27" s="1006"/>
      <c r="AU27" s="963" t="s">
        <v>112</v>
      </c>
      <c r="AV27" s="957" t="s">
        <v>48</v>
      </c>
      <c r="AW27" s="957" t="s">
        <v>4670</v>
      </c>
      <c r="AX27" s="957"/>
      <c r="AY27" s="927" t="s">
        <v>4740</v>
      </c>
      <c r="AZ27" s="290" t="s">
        <v>4741</v>
      </c>
      <c r="BA27" s="962" t="s">
        <v>4742</v>
      </c>
      <c r="BB27" s="1014" t="s">
        <v>4743</v>
      </c>
      <c r="BC27" s="963" t="s">
        <v>4744</v>
      </c>
      <c r="BD27" s="963" t="s">
        <v>4745</v>
      </c>
      <c r="BE27" s="963" t="s">
        <v>4746</v>
      </c>
      <c r="BF27" s="1013" t="s">
        <v>4747</v>
      </c>
      <c r="BG27" s="962" t="s">
        <v>4748</v>
      </c>
      <c r="BH27" s="168" t="s">
        <v>4749</v>
      </c>
      <c r="BI27" s="1313">
        <v>43039</v>
      </c>
    </row>
    <row r="28" s="873" customFormat="1" ht="14.1" customHeight="1" spans="2:61">
      <c r="B28" s="1560" t="s">
        <v>135</v>
      </c>
      <c r="C28" s="168" t="s">
        <v>4750</v>
      </c>
      <c r="D28" s="168" t="s">
        <v>4751</v>
      </c>
      <c r="E28" s="979" t="s">
        <v>4752</v>
      </c>
      <c r="F28" s="922" t="s">
        <v>125</v>
      </c>
      <c r="G28" s="922" t="s">
        <v>404</v>
      </c>
      <c r="H28" s="922" t="s">
        <v>404</v>
      </c>
      <c r="I28" s="927" t="s">
        <v>361</v>
      </c>
      <c r="J28" s="927" t="s">
        <v>4611</v>
      </c>
      <c r="K28" s="927" t="s">
        <v>4753</v>
      </c>
      <c r="L28" s="948"/>
      <c r="M28" s="934">
        <v>42737</v>
      </c>
      <c r="N28" s="934">
        <v>42794</v>
      </c>
      <c r="O28" s="934">
        <v>42855</v>
      </c>
      <c r="P28" s="934">
        <v>42947</v>
      </c>
      <c r="Q28" s="934">
        <v>43069</v>
      </c>
      <c r="R28" s="934"/>
      <c r="S28" s="934"/>
      <c r="T28" s="934"/>
      <c r="U28" s="934"/>
      <c r="V28" s="934"/>
      <c r="W28" s="934"/>
      <c r="X28" s="934"/>
      <c r="Y28" s="934"/>
      <c r="Z28" s="934"/>
      <c r="AA28" s="989"/>
      <c r="AB28" s="989"/>
      <c r="AC28" s="989"/>
      <c r="AD28" s="989"/>
      <c r="AE28" s="989"/>
      <c r="AF28" s="989"/>
      <c r="AG28" s="989"/>
      <c r="AH28" s="989"/>
      <c r="AI28" s="989"/>
      <c r="AJ28" s="989"/>
      <c r="AK28" s="641">
        <f ca="1">SUM(Q28-NOW())</f>
        <v>-203.38453703704</v>
      </c>
      <c r="AL28" s="187" t="str">
        <f ca="1" t="shared" si="3"/>
        <v>WARNING</v>
      </c>
      <c r="AM28" s="1006">
        <v>5060000</v>
      </c>
      <c r="AN28" s="1006">
        <v>250000</v>
      </c>
      <c r="AO28" s="1006" t="s">
        <v>583</v>
      </c>
      <c r="AP28" s="1006">
        <v>500000</v>
      </c>
      <c r="AQ28" s="1006"/>
      <c r="AR28" s="1006"/>
      <c r="AS28" s="1006"/>
      <c r="AT28" s="1006">
        <v>300000</v>
      </c>
      <c r="AU28" s="1300">
        <v>550000</v>
      </c>
      <c r="AV28" s="957" t="s">
        <v>113</v>
      </c>
      <c r="AW28" s="957" t="s">
        <v>113</v>
      </c>
      <c r="AX28" s="957"/>
      <c r="AY28" s="927" t="s">
        <v>4754</v>
      </c>
      <c r="AZ28" s="290" t="s">
        <v>4755</v>
      </c>
      <c r="BA28" s="962"/>
      <c r="BB28" s="1014" t="s">
        <v>4756</v>
      </c>
      <c r="BC28" s="963" t="s">
        <v>4757</v>
      </c>
      <c r="BD28" s="963" t="s">
        <v>4758</v>
      </c>
      <c r="BE28" s="963">
        <v>14012268328</v>
      </c>
      <c r="BF28" s="1013" t="s">
        <v>192</v>
      </c>
      <c r="BG28" s="962" t="s">
        <v>4759</v>
      </c>
      <c r="BH28" s="1017" t="s">
        <v>4760</v>
      </c>
      <c r="BI28" s="1313">
        <v>43069</v>
      </c>
    </row>
    <row r="29" s="1022" customFormat="1" ht="14.1" customHeight="1" spans="2:60">
      <c r="B29" s="1561" t="s">
        <v>39</v>
      </c>
      <c r="C29" s="168" t="s">
        <v>989</v>
      </c>
      <c r="D29" s="168" t="s">
        <v>990</v>
      </c>
      <c r="E29" s="979" t="s">
        <v>991</v>
      </c>
      <c r="F29" s="922" t="s">
        <v>43</v>
      </c>
      <c r="G29" s="922" t="s">
        <v>44</v>
      </c>
      <c r="H29" s="922" t="s">
        <v>44</v>
      </c>
      <c r="I29" s="927" t="s">
        <v>361</v>
      </c>
      <c r="J29" s="927" t="s">
        <v>992</v>
      </c>
      <c r="K29" s="927" t="s">
        <v>993</v>
      </c>
      <c r="L29" s="948"/>
      <c r="M29" s="934">
        <v>41988</v>
      </c>
      <c r="N29" s="934">
        <v>42169</v>
      </c>
      <c r="O29" s="934">
        <v>42338</v>
      </c>
      <c r="P29" s="934">
        <v>42369</v>
      </c>
      <c r="Q29" s="934">
        <v>42551</v>
      </c>
      <c r="R29" s="934">
        <v>42643</v>
      </c>
      <c r="S29" s="934">
        <v>42718</v>
      </c>
      <c r="T29" s="934"/>
      <c r="U29" s="934"/>
      <c r="V29" s="934"/>
      <c r="W29" s="934"/>
      <c r="X29" s="934">
        <v>42719</v>
      </c>
      <c r="Y29" s="934">
        <v>42825</v>
      </c>
      <c r="Z29" s="934">
        <v>42916</v>
      </c>
      <c r="AA29" s="989">
        <v>43083</v>
      </c>
      <c r="AB29" s="989"/>
      <c r="AC29" s="989"/>
      <c r="AD29" s="989"/>
      <c r="AE29" s="989">
        <v>43084</v>
      </c>
      <c r="AF29" s="989">
        <v>43099</v>
      </c>
      <c r="AG29" s="989"/>
      <c r="AH29" s="989"/>
      <c r="AI29" s="989"/>
      <c r="AJ29" s="989"/>
      <c r="AK29" s="641">
        <f ca="1">SUM(AF29-NOW())</f>
        <v>-173.38453703704</v>
      </c>
      <c r="AL29" s="187" t="str">
        <f ca="1" t="shared" si="3"/>
        <v>WARNING</v>
      </c>
      <c r="AM29" s="1006">
        <v>8000000</v>
      </c>
      <c r="AN29" s="1006">
        <v>500000</v>
      </c>
      <c r="AO29" s="1006"/>
      <c r="AP29" s="1006">
        <v>500000</v>
      </c>
      <c r="AQ29" s="1006">
        <v>100000</v>
      </c>
      <c r="AR29" s="1006"/>
      <c r="AS29" s="1006"/>
      <c r="AT29" s="1006"/>
      <c r="AU29" s="963" t="s">
        <v>4761</v>
      </c>
      <c r="AV29" s="957" t="s">
        <v>48</v>
      </c>
      <c r="AW29" s="957" t="s">
        <v>48</v>
      </c>
      <c r="AX29" s="957"/>
      <c r="AY29" s="927" t="s">
        <v>4762</v>
      </c>
      <c r="AZ29" s="290" t="s">
        <v>997</v>
      </c>
      <c r="BA29" s="962" t="s">
        <v>998</v>
      </c>
      <c r="BB29" s="1014" t="s">
        <v>999</v>
      </c>
      <c r="BC29" s="963" t="s">
        <v>1000</v>
      </c>
      <c r="BD29" s="963" t="s">
        <v>1001</v>
      </c>
      <c r="BE29" s="963" t="s">
        <v>1002</v>
      </c>
      <c r="BF29" s="1013" t="s">
        <v>1003</v>
      </c>
      <c r="BG29" s="962" t="s">
        <v>1004</v>
      </c>
      <c r="BH29" s="1017" t="s">
        <v>1005</v>
      </c>
    </row>
    <row r="30" s="873" customFormat="1" ht="14.1" customHeight="1" spans="2:61">
      <c r="B30" s="1560" t="s">
        <v>56</v>
      </c>
      <c r="C30" s="168" t="s">
        <v>4763</v>
      </c>
      <c r="D30" s="168" t="s">
        <v>4764</v>
      </c>
      <c r="E30" s="979" t="s">
        <v>4765</v>
      </c>
      <c r="F30" s="922" t="s">
        <v>125</v>
      </c>
      <c r="G30" s="922" t="s">
        <v>60</v>
      </c>
      <c r="H30" s="922" t="s">
        <v>60</v>
      </c>
      <c r="I30" s="927" t="s">
        <v>361</v>
      </c>
      <c r="J30" s="927" t="s">
        <v>4611</v>
      </c>
      <c r="K30" s="927" t="s">
        <v>4766</v>
      </c>
      <c r="L30" s="948"/>
      <c r="M30" s="934">
        <v>41988</v>
      </c>
      <c r="N30" s="934">
        <v>42169</v>
      </c>
      <c r="O30" s="934">
        <v>42338</v>
      </c>
      <c r="P30" s="934">
        <v>42369</v>
      </c>
      <c r="Q30" s="934">
        <v>42643</v>
      </c>
      <c r="R30" s="934">
        <v>42551</v>
      </c>
      <c r="S30" s="934">
        <v>42643</v>
      </c>
      <c r="T30" s="934">
        <v>42718</v>
      </c>
      <c r="U30" s="934"/>
      <c r="V30" s="934"/>
      <c r="W30" s="934"/>
      <c r="X30" s="934">
        <v>42719</v>
      </c>
      <c r="Y30" s="934">
        <v>42886</v>
      </c>
      <c r="Z30" s="934">
        <v>42978</v>
      </c>
      <c r="AA30" s="934">
        <v>43083</v>
      </c>
      <c r="AB30" s="989"/>
      <c r="AC30" s="989"/>
      <c r="AD30" s="989"/>
      <c r="AE30" s="989">
        <v>43084</v>
      </c>
      <c r="AF30" s="934">
        <v>43100</v>
      </c>
      <c r="AG30" s="989"/>
      <c r="AH30" s="989"/>
      <c r="AI30" s="989"/>
      <c r="AJ30" s="989"/>
      <c r="AK30" s="641">
        <v>-17.4234233796305</v>
      </c>
      <c r="AL30" s="187" t="s">
        <v>2569</v>
      </c>
      <c r="AM30" s="1006">
        <v>7128000</v>
      </c>
      <c r="AN30" s="1006">
        <v>500000</v>
      </c>
      <c r="AO30" s="1006"/>
      <c r="AP30" s="1006">
        <v>500000</v>
      </c>
      <c r="AQ30" s="1006"/>
      <c r="AR30" s="1006"/>
      <c r="AS30" s="1006"/>
      <c r="AT30" s="1006"/>
      <c r="AU30" s="963" t="s">
        <v>4761</v>
      </c>
      <c r="AV30" s="957" t="s">
        <v>48</v>
      </c>
      <c r="AW30" s="957" t="s">
        <v>48</v>
      </c>
      <c r="AX30" s="957"/>
      <c r="AY30" s="927" t="s">
        <v>4767</v>
      </c>
      <c r="AZ30" s="290" t="s">
        <v>4768</v>
      </c>
      <c r="BA30" s="962" t="s">
        <v>4769</v>
      </c>
      <c r="BB30" s="1014" t="s">
        <v>4770</v>
      </c>
      <c r="BC30" s="963" t="s">
        <v>4771</v>
      </c>
      <c r="BD30" s="963" t="s">
        <v>4772</v>
      </c>
      <c r="BE30" s="963" t="s">
        <v>4773</v>
      </c>
      <c r="BF30" s="1013" t="s">
        <v>4774</v>
      </c>
      <c r="BG30" s="962" t="s">
        <v>4775</v>
      </c>
      <c r="BH30" s="1017" t="s">
        <v>2986</v>
      </c>
      <c r="BI30" s="1305" t="s">
        <v>4776</v>
      </c>
    </row>
    <row r="31" s="873" customFormat="1" ht="14.1" customHeight="1" spans="2:61">
      <c r="B31" s="1560" t="s">
        <v>135</v>
      </c>
      <c r="C31" s="168" t="s">
        <v>4777</v>
      </c>
      <c r="D31" s="168" t="s">
        <v>4778</v>
      </c>
      <c r="E31" s="979" t="s">
        <v>4779</v>
      </c>
      <c r="F31" s="922" t="s">
        <v>125</v>
      </c>
      <c r="G31" s="922" t="s">
        <v>404</v>
      </c>
      <c r="H31" s="922" t="s">
        <v>404</v>
      </c>
      <c r="I31" s="927" t="s">
        <v>3528</v>
      </c>
      <c r="J31" s="927" t="s">
        <v>4611</v>
      </c>
      <c r="K31" s="927" t="s">
        <v>4766</v>
      </c>
      <c r="L31" s="948"/>
      <c r="M31" s="934">
        <v>43040</v>
      </c>
      <c r="N31" s="934">
        <v>43100</v>
      </c>
      <c r="O31" s="934"/>
      <c r="P31" s="934"/>
      <c r="Q31" s="934"/>
      <c r="R31" s="934"/>
      <c r="S31" s="934"/>
      <c r="T31" s="934"/>
      <c r="U31" s="934"/>
      <c r="V31" s="934"/>
      <c r="W31" s="934"/>
      <c r="X31" s="934"/>
      <c r="Y31" s="934"/>
      <c r="Z31" s="934"/>
      <c r="AA31" s="989"/>
      <c r="AB31" s="989"/>
      <c r="AC31" s="989"/>
      <c r="AD31" s="989"/>
      <c r="AE31" s="989"/>
      <c r="AF31" s="989"/>
      <c r="AG31" s="989"/>
      <c r="AH31" s="989"/>
      <c r="AI31" s="989"/>
      <c r="AJ31" s="989"/>
      <c r="AK31" s="641">
        <v>-17.4234233796305</v>
      </c>
      <c r="AL31" s="187" t="s">
        <v>2569</v>
      </c>
      <c r="AM31" s="1006">
        <v>5000000</v>
      </c>
      <c r="AN31" s="1006">
        <v>500000</v>
      </c>
      <c r="AO31" s="1006"/>
      <c r="AP31" s="1006">
        <v>500000</v>
      </c>
      <c r="AQ31" s="1006"/>
      <c r="AR31" s="1006"/>
      <c r="AS31" s="1006">
        <v>500000</v>
      </c>
      <c r="AT31" s="1006">
        <v>500000</v>
      </c>
      <c r="AU31" s="1300">
        <v>500000</v>
      </c>
      <c r="AV31" s="957" t="s">
        <v>113</v>
      </c>
      <c r="AW31" s="957" t="s">
        <v>113</v>
      </c>
      <c r="AX31" s="957"/>
      <c r="AY31" s="927"/>
      <c r="AZ31" s="290" t="s">
        <v>4780</v>
      </c>
      <c r="BA31" s="1541" t="s">
        <v>4781</v>
      </c>
      <c r="BB31" s="1014" t="s">
        <v>4782</v>
      </c>
      <c r="BC31" s="963" t="s">
        <v>4783</v>
      </c>
      <c r="BD31" s="1542" t="s">
        <v>4784</v>
      </c>
      <c r="BE31" s="963"/>
      <c r="BF31" s="1013"/>
      <c r="BG31" s="229" t="s">
        <v>4785</v>
      </c>
      <c r="BH31" s="1017" t="s">
        <v>2986</v>
      </c>
      <c r="BI31" s="1305" t="s">
        <v>4776</v>
      </c>
    </row>
    <row r="32" s="1022" customFormat="1" ht="21" customHeight="1" spans="2:62">
      <c r="B32" s="1561" t="s">
        <v>56</v>
      </c>
      <c r="C32" s="168" t="s">
        <v>4786</v>
      </c>
      <c r="D32" s="168" t="s">
        <v>4787</v>
      </c>
      <c r="E32" s="979" t="s">
        <v>4788</v>
      </c>
      <c r="F32" s="922" t="s">
        <v>125</v>
      </c>
      <c r="G32" s="922" t="s">
        <v>44</v>
      </c>
      <c r="H32" s="922" t="s">
        <v>44</v>
      </c>
      <c r="I32" s="927" t="s">
        <v>361</v>
      </c>
      <c r="J32" s="927" t="s">
        <v>4611</v>
      </c>
      <c r="K32" s="927" t="s">
        <v>4789</v>
      </c>
      <c r="L32" s="948"/>
      <c r="M32" s="934">
        <v>42186</v>
      </c>
      <c r="N32" s="934">
        <v>42369</v>
      </c>
      <c r="O32" s="934">
        <v>42460</v>
      </c>
      <c r="P32" s="934">
        <v>42551</v>
      </c>
      <c r="Q32" s="934">
        <v>42643</v>
      </c>
      <c r="R32" s="934">
        <v>42886</v>
      </c>
      <c r="S32" s="934">
        <v>42916</v>
      </c>
      <c r="T32" s="934"/>
      <c r="U32" s="934"/>
      <c r="V32" s="934"/>
      <c r="W32" s="934"/>
      <c r="X32" s="934">
        <v>42917</v>
      </c>
      <c r="Y32" s="934">
        <v>42978</v>
      </c>
      <c r="Z32" s="934">
        <v>43100</v>
      </c>
      <c r="AA32" s="934">
        <v>43190</v>
      </c>
      <c r="AB32" s="989"/>
      <c r="AC32" s="989"/>
      <c r="AD32" s="989"/>
      <c r="AE32" s="989"/>
      <c r="AF32" s="989"/>
      <c r="AG32" s="989"/>
      <c r="AH32" s="989"/>
      <c r="AI32" s="989"/>
      <c r="AJ32" s="989"/>
      <c r="AK32" s="641">
        <f ca="1">SUM(AA32-NOW())</f>
        <v>-82.38453703704</v>
      </c>
      <c r="AL32" s="187" t="str">
        <f ca="1">IF(AK32&lt;=40,"WARNING","ACTIVE")</f>
        <v>WARNING</v>
      </c>
      <c r="AM32" s="1006">
        <v>22000000</v>
      </c>
      <c r="AN32" s="1006" t="s">
        <v>4669</v>
      </c>
      <c r="AO32" s="1006" t="s">
        <v>4669</v>
      </c>
      <c r="AP32" s="1006" t="s">
        <v>4669</v>
      </c>
      <c r="AQ32" s="1006" t="s">
        <v>4669</v>
      </c>
      <c r="AR32" s="1006" t="s">
        <v>4669</v>
      </c>
      <c r="AS32" s="1006" t="s">
        <v>4669</v>
      </c>
      <c r="AT32" s="1006"/>
      <c r="AU32" s="963" t="s">
        <v>4669</v>
      </c>
      <c r="AV32" s="957" t="s">
        <v>4669</v>
      </c>
      <c r="AW32" s="957" t="s">
        <v>4670</v>
      </c>
      <c r="AX32" s="957"/>
      <c r="AY32" s="927"/>
      <c r="AZ32" s="290" t="s">
        <v>4790</v>
      </c>
      <c r="BA32" s="962">
        <v>0.0989838699680084</v>
      </c>
      <c r="BB32" s="1014" t="s">
        <v>4791</v>
      </c>
      <c r="BC32" s="963" t="s">
        <v>4792</v>
      </c>
      <c r="BD32" s="963" t="s">
        <v>4793</v>
      </c>
      <c r="BE32" s="963">
        <v>0</v>
      </c>
      <c r="BF32" s="1013" t="s">
        <v>4794</v>
      </c>
      <c r="BG32" s="962" t="s">
        <v>4795</v>
      </c>
      <c r="BH32" s="168" t="s">
        <v>4508</v>
      </c>
      <c r="BI32" s="1313" t="s">
        <v>4635</v>
      </c>
      <c r="BJ32" s="1314"/>
    </row>
    <row r="33" s="1022" customFormat="1" ht="21" customHeight="1" spans="2:62">
      <c r="B33" s="1561" t="s">
        <v>78</v>
      </c>
      <c r="C33" s="168" t="s">
        <v>4796</v>
      </c>
      <c r="D33" s="168" t="s">
        <v>4797</v>
      </c>
      <c r="E33" s="979" t="s">
        <v>4798</v>
      </c>
      <c r="F33" s="922" t="s">
        <v>43</v>
      </c>
      <c r="G33" s="922" t="s">
        <v>60</v>
      </c>
      <c r="H33" s="922" t="s">
        <v>60</v>
      </c>
      <c r="I33" s="927" t="s">
        <v>920</v>
      </c>
      <c r="J33" s="927" t="s">
        <v>4611</v>
      </c>
      <c r="K33" s="927" t="s">
        <v>4799</v>
      </c>
      <c r="L33" s="948"/>
      <c r="M33" s="934">
        <v>42644</v>
      </c>
      <c r="N33" s="934">
        <v>42855</v>
      </c>
      <c r="O33" s="934">
        <v>42916</v>
      </c>
      <c r="P33" s="934">
        <v>42978</v>
      </c>
      <c r="Q33" s="934">
        <v>43100</v>
      </c>
      <c r="R33" s="934">
        <v>43190</v>
      </c>
      <c r="S33" s="1291">
        <v>43281</v>
      </c>
      <c r="T33" s="934"/>
      <c r="U33" s="934"/>
      <c r="V33" s="934"/>
      <c r="W33" s="934"/>
      <c r="X33" s="934"/>
      <c r="Y33" s="934"/>
      <c r="Z33" s="934"/>
      <c r="AA33" s="989"/>
      <c r="AB33" s="989"/>
      <c r="AC33" s="989"/>
      <c r="AD33" s="989"/>
      <c r="AE33" s="989"/>
      <c r="AF33" s="989"/>
      <c r="AG33" s="989"/>
      <c r="AH33" s="989"/>
      <c r="AI33" s="989"/>
      <c r="AJ33" s="989"/>
      <c r="AK33" s="641">
        <f ca="1">SUM(R33-NOW())</f>
        <v>-82.38453703704</v>
      </c>
      <c r="AL33" s="187" t="str">
        <f ca="1">IF(AK33&lt;=40,"WARNING","ACTIVE")</f>
        <v>WARNING</v>
      </c>
      <c r="AM33" s="1006">
        <v>16000000</v>
      </c>
      <c r="AN33" s="1006">
        <v>1000000</v>
      </c>
      <c r="AO33" s="1006"/>
      <c r="AP33" s="1006">
        <v>500000</v>
      </c>
      <c r="AQ33" s="1006">
        <v>250000</v>
      </c>
      <c r="AR33" s="1006"/>
      <c r="AS33" s="1006">
        <v>2734310</v>
      </c>
      <c r="AT33" s="1006"/>
      <c r="AU33" s="963" t="s">
        <v>0</v>
      </c>
      <c r="AV33" s="957" t="s">
        <v>48</v>
      </c>
      <c r="AW33" s="957" t="s">
        <v>48</v>
      </c>
      <c r="AX33" s="957"/>
      <c r="AY33" s="927"/>
      <c r="AZ33" s="290" t="s">
        <v>4800</v>
      </c>
      <c r="BA33" s="962" t="s">
        <v>4801</v>
      </c>
      <c r="BB33" s="1014" t="s">
        <v>4802</v>
      </c>
      <c r="BC33" s="963" t="s">
        <v>4803</v>
      </c>
      <c r="BD33" s="963" t="s">
        <v>4804</v>
      </c>
      <c r="BE33" s="963" t="s">
        <v>4805</v>
      </c>
      <c r="BF33" s="1013"/>
      <c r="BG33" s="962" t="s">
        <v>4806</v>
      </c>
      <c r="BH33" s="1017" t="s">
        <v>4807</v>
      </c>
      <c r="BI33" s="1313" t="s">
        <v>4635</v>
      </c>
      <c r="BJ33" s="1314"/>
    </row>
    <row r="34" s="1022" customFormat="1" ht="21" customHeight="1" spans="2:62">
      <c r="B34" s="1560" t="s">
        <v>56</v>
      </c>
      <c r="C34" s="168" t="s">
        <v>4786</v>
      </c>
      <c r="D34" s="168" t="s">
        <v>4787</v>
      </c>
      <c r="E34" s="979" t="s">
        <v>4808</v>
      </c>
      <c r="F34" s="922" t="s">
        <v>125</v>
      </c>
      <c r="G34" s="922" t="s">
        <v>44</v>
      </c>
      <c r="H34" s="922" t="s">
        <v>44</v>
      </c>
      <c r="I34" s="927" t="s">
        <v>3528</v>
      </c>
      <c r="J34" s="927" t="s">
        <v>4611</v>
      </c>
      <c r="K34" s="927" t="s">
        <v>4809</v>
      </c>
      <c r="L34" s="948" t="s">
        <v>583</v>
      </c>
      <c r="M34" s="934">
        <v>43192</v>
      </c>
      <c r="N34" s="934">
        <v>43281</v>
      </c>
      <c r="O34" s="934" t="s">
        <v>583</v>
      </c>
      <c r="P34" s="934" t="s">
        <v>583</v>
      </c>
      <c r="Q34" s="934" t="s">
        <v>583</v>
      </c>
      <c r="R34" s="934" t="s">
        <v>583</v>
      </c>
      <c r="S34" s="934" t="s">
        <v>583</v>
      </c>
      <c r="T34" s="934"/>
      <c r="U34" s="934"/>
      <c r="V34" s="934"/>
      <c r="W34" s="934"/>
      <c r="X34" s="934"/>
      <c r="Y34" s="934"/>
      <c r="Z34" s="934"/>
      <c r="AA34" s="934"/>
      <c r="AB34" s="989"/>
      <c r="AC34" s="989"/>
      <c r="AD34" s="989"/>
      <c r="AE34" s="989"/>
      <c r="AF34" s="989"/>
      <c r="AG34" s="989"/>
      <c r="AH34" s="989"/>
      <c r="AI34" s="989"/>
      <c r="AJ34" s="989"/>
      <c r="AK34" s="641">
        <v>80.5906560185176</v>
      </c>
      <c r="AL34" s="187" t="s">
        <v>745</v>
      </c>
      <c r="AM34" s="1006">
        <v>15000000</v>
      </c>
      <c r="AN34" s="1006"/>
      <c r="AO34" s="1006"/>
      <c r="AP34" s="1006"/>
      <c r="AQ34" s="1006"/>
      <c r="AR34" s="1006"/>
      <c r="AS34" s="1006"/>
      <c r="AT34" s="1006"/>
      <c r="AU34" s="963" t="s">
        <v>112</v>
      </c>
      <c r="AV34" s="957" t="s">
        <v>112</v>
      </c>
      <c r="AW34" s="957" t="s">
        <v>113</v>
      </c>
      <c r="AX34" s="957"/>
      <c r="AY34" s="927"/>
      <c r="AZ34" s="290" t="s">
        <v>4790</v>
      </c>
      <c r="BA34" s="962"/>
      <c r="BB34" s="1014" t="s">
        <v>4791</v>
      </c>
      <c r="BC34" s="963" t="s">
        <v>4792</v>
      </c>
      <c r="BD34" s="963" t="s">
        <v>4793</v>
      </c>
      <c r="BE34" s="963">
        <v>0</v>
      </c>
      <c r="BF34" s="1013" t="s">
        <v>4794</v>
      </c>
      <c r="BG34" s="962" t="s">
        <v>4795</v>
      </c>
      <c r="BH34" s="168" t="s">
        <v>2114</v>
      </c>
      <c r="BI34" s="1313"/>
      <c r="BJ34" s="1314"/>
    </row>
    <row r="35" s="873" customFormat="1"/>
    <row r="36" s="873" customFormat="1"/>
    <row r="37" s="873" customFormat="1"/>
    <row r="38" s="873" customFormat="1"/>
    <row r="39" s="873" customFormat="1"/>
    <row r="40" s="873" customFormat="1"/>
    <row r="41" s="873" customFormat="1"/>
    <row r="42" s="873" customFormat="1"/>
    <row r="43" s="873" customFormat="1"/>
    <row r="44" s="873" customFormat="1"/>
    <row r="45" s="873" customFormat="1"/>
    <row r="46" s="873" customFormat="1"/>
    <row r="47" s="873" customFormat="1"/>
    <row r="48" s="873" customFormat="1"/>
    <row r="49" s="873" customFormat="1"/>
    <row r="50" s="873" customFormat="1"/>
    <row r="51" s="873" customFormat="1"/>
    <row r="52" s="873" customFormat="1"/>
    <row r="53" s="873" customFormat="1"/>
    <row r="54" s="873" customFormat="1"/>
    <row r="55" s="873" customFormat="1"/>
    <row r="56" s="873" customFormat="1"/>
    <row r="57" s="873" customFormat="1"/>
    <row r="58" s="873" customFormat="1"/>
    <row r="59" s="873" customFormat="1"/>
    <row r="60" s="873" customFormat="1"/>
    <row r="61" s="873" customFormat="1"/>
    <row r="62" s="873" customFormat="1"/>
    <row r="63" s="873" customFormat="1"/>
    <row r="64" s="873" customFormat="1"/>
    <row r="65" s="873" customFormat="1"/>
    <row r="66" s="873" customFormat="1"/>
    <row r="67" s="873" customFormat="1"/>
    <row r="68" s="873" customFormat="1"/>
    <row r="69" s="873" customFormat="1"/>
    <row r="70" s="873" customFormat="1"/>
    <row r="71" s="873" customFormat="1"/>
    <row r="72" s="873" customFormat="1"/>
    <row r="73" s="873" customFormat="1"/>
  </sheetData>
  <mergeCells count="42">
    <mergeCell ref="M3:N3"/>
    <mergeCell ref="O3:W3"/>
    <mergeCell ref="X3:Y3"/>
    <mergeCell ref="Z3:AD3"/>
    <mergeCell ref="AE3:AF3"/>
    <mergeCell ref="AG3:AH3"/>
    <mergeCell ref="B3:B4"/>
    <mergeCell ref="C3:C4"/>
    <mergeCell ref="D3:D4"/>
    <mergeCell ref="E3:E4"/>
    <mergeCell ref="F3:F4"/>
    <mergeCell ref="G3:G4"/>
    <mergeCell ref="H3:H4"/>
    <mergeCell ref="I3:I4"/>
    <mergeCell ref="J3:J4"/>
    <mergeCell ref="K3:K4"/>
    <mergeCell ref="L3:L4"/>
    <mergeCell ref="AK3:AK4"/>
    <mergeCell ref="AL3:AL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 ref="BD3:BD4"/>
    <mergeCell ref="BE3:BE4"/>
    <mergeCell ref="BF3:BF4"/>
    <mergeCell ref="BG3:BG4"/>
    <mergeCell ref="BH3:BH4"/>
    <mergeCell ref="BI3:BI4"/>
  </mergeCells>
  <conditionalFormatting sqref="BC26:BC29;E26:E29;E21;BC21;BC5:BC6">
    <cfRule type="expression" dxfId="817" priority="1" stopIfTrue="1">
      <formula>IF(OR(#REF!="not",#REF!="resign",#REF!="resign",#REF!="end",#REF!="terminated",#REF!="permanent"),"TRUE","FALSE")</formula>
    </cfRule>
  </conditionalFormatting>
  <conditionalFormatting sqref="AL3:AL4">
    <cfRule type="expression" dxfId="818" priority="2" stopIfTrue="1">
      <formula>NOT(ISERROR(SEARCH("warning",AL3)))</formula>
    </cfRule>
  </conditionalFormatting>
  <conditionalFormatting sqref="BC7;E5:E6">
    <cfRule type="expression" dxfId="819" priority="3" stopIfTrue="1">
      <formula>IF(OR(#REF!="not",#REF!="resign",#REF!="resign",#REF!="end",#REF!="terminated",#REF!="permanent"),"TRUE","FALSE")</formula>
    </cfRule>
  </conditionalFormatting>
  <conditionalFormatting sqref="E22;BC22">
    <cfRule type="expression" dxfId="820" priority="4" stopIfTrue="1">
      <formula>IF(OR(#REF!="not",#REF!="resign",#REF!="resign",#REF!="end",#REF!="terminated",#REF!="permanent"),"TRUE","FALSE")</formula>
    </cfRule>
  </conditionalFormatting>
  <conditionalFormatting sqref="BC23:BC25;E23:E25">
    <cfRule type="expression" dxfId="821" priority="5" stopIfTrue="1">
      <formula>IF(OR(#REF!="not",#REF!="resign",#REF!="resign",#REF!="end",#REF!="terminated",#REF!="permanent"),"TRUE","FALSE")</formula>
    </cfRule>
  </conditionalFormatting>
  <conditionalFormatting sqref="BC30;E30">
    <cfRule type="expression" dxfId="822" priority="6" stopIfTrue="1">
      <formula>IF(OR(#REF!="not",#REF!="resign",#REF!="resign",#REF!="end",#REF!="terminated",#REF!="permanent"),"TRUE","FALSE")</formula>
    </cfRule>
  </conditionalFormatting>
  <conditionalFormatting sqref="AL30:AL31">
    <cfRule type="expression" dxfId="823" priority="7" stopIfTrue="1">
      <formula>NOT(ISERROR(SEARCH("warning",AL30)))</formula>
    </cfRule>
  </conditionalFormatting>
  <conditionalFormatting sqref="E31;BC31">
    <cfRule type="expression" dxfId="824" priority="8" stopIfTrue="1">
      <formula>IF(OR(#REF!="not",#REF!="resign",#REF!="resign",#REF!="end",#REF!="terminated",#REF!="permanent"),"TRUE","FALSE")</formula>
    </cfRule>
  </conditionalFormatting>
  <conditionalFormatting sqref="E7">
    <cfRule type="expression" dxfId="825" priority="9" stopIfTrue="1">
      <formula>IF(OR(#REF!="not",#REF!="resign",#REF!="resign",#REF!="end",#REF!="terminated",#REF!="permanent"),"TRUE","FALSE")</formula>
    </cfRule>
  </conditionalFormatting>
  <conditionalFormatting sqref="BC8">
    <cfRule type="expression" dxfId="826" priority="10" stopIfTrue="1">
      <formula>IF(OR(#REF!="not",#REF!="resign",#REF!="resign",#REF!="end",#REF!="terminated",#REF!="permanent"),"TRUE","FALSE")</formula>
    </cfRule>
  </conditionalFormatting>
  <conditionalFormatting sqref="E8">
    <cfRule type="expression" dxfId="827" priority="11" stopIfTrue="1">
      <formula>IF(OR(#REF!="not",#REF!="resign",#REF!="resign",#REF!="end",#REF!="terminated",#REF!="permanent"),"TRUE","FALSE")</formula>
    </cfRule>
  </conditionalFormatting>
  <conditionalFormatting sqref="AL32">
    <cfRule type="expression" dxfId="828" priority="12" stopIfTrue="1">
      <formula>NOT(ISERROR(SEARCH("warning",AL32)))</formula>
    </cfRule>
  </conditionalFormatting>
  <conditionalFormatting sqref="BC32">
    <cfRule type="expression" dxfId="829" priority="13" stopIfTrue="1">
      <formula>IF(OR(#REF!="not",#REF!="resign",#REF!="resign",#REF!="end",#REF!="terminated",#REF!="permanent"),"TRUE","FALSE")</formula>
    </cfRule>
  </conditionalFormatting>
  <conditionalFormatting sqref="E32">
    <cfRule type="expression" dxfId="830" priority="14" stopIfTrue="1">
      <formula>IF(OR(#REF!="not",#REF!="resign",#REF!="resign",#REF!="end",#REF!="terminated",#REF!="permanent"),"TRUE","FALSE")</formula>
    </cfRule>
  </conditionalFormatting>
  <conditionalFormatting sqref="BC33">
    <cfRule type="expression" dxfId="831" priority="15" stopIfTrue="1">
      <formula>IF(OR(#REF!="not",#REF!="resign",#REF!="resign",#REF!="end",#REF!="terminated",#REF!="permanent"),"TRUE","FALSE")</formula>
    </cfRule>
  </conditionalFormatting>
  <conditionalFormatting sqref="AL33">
    <cfRule type="expression" dxfId="832" priority="16" stopIfTrue="1">
      <formula>NOT(ISERROR(SEARCH("warning",AL33)))</formula>
    </cfRule>
  </conditionalFormatting>
  <conditionalFormatting sqref="E33">
    <cfRule type="expression" dxfId="833" priority="17" stopIfTrue="1">
      <formula>IF(OR(#REF!="not",#REF!="resign",#REF!="resign",#REF!="end",#REF!="terminated",#REF!="permanent"),"TRUE","FALSE")</formula>
    </cfRule>
  </conditionalFormatting>
  <conditionalFormatting sqref="BC34">
    <cfRule type="expression" dxfId="834" priority="18" stopIfTrue="1">
      <formula>IF(OR(#REF!="not",#REF!="resign",#REF!="resign",#REF!="end",#REF!="terminated",#REF!="permanent"),"TRUE","FALSE")</formula>
    </cfRule>
  </conditionalFormatting>
  <conditionalFormatting sqref="AL34">
    <cfRule type="expression" dxfId="835" priority="19" stopIfTrue="1">
      <formula>NOT(ISERROR(SEARCH("warning",AL34)))</formula>
    </cfRule>
  </conditionalFormatting>
  <conditionalFormatting sqref="E34">
    <cfRule type="expression" dxfId="836" priority="20" stopIfTrue="1">
      <formula>IF(OR(#REF!="not",#REF!="resign",#REF!="resign",#REF!="end",#REF!="terminated",#REF!="permanent"),"TRUE","FALSE")</formula>
    </cfRule>
  </conditionalFormatting>
  <hyperlinks>
    <hyperlink ref="BG7" location="" display="kuspakacy@yahoo.com"/>
    <hyperlink ref="BG31" location="" display="cici.santia1@gmail.com"/>
    <hyperlink ref="BG8" r:id="rId4" display="ahmadfaisal.faisal@gmail.com"/>
    <hyperlink ref="BG9" r:id="rId5" display="adniinggar23@gmail.com"/>
  </hyperlinks>
  <pageMargins left="0.699305555555556" right="0.699305555555556"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AX19"/>
  <sheetViews>
    <sheetView topLeftCell="B3" workbookViewId="0">
      <pane xSplit="3" ySplit="2" topLeftCell="O5" activePane="bottomRight" state="frozen"/>
      <selection/>
      <selection pane="topRight"/>
      <selection pane="bottomLeft"/>
      <selection pane="bottomRight" activeCell="AA5" sqref="AA5"/>
    </sheetView>
  </sheetViews>
  <sheetFormatPr defaultColWidth="9" defaultRowHeight="10.5"/>
  <cols>
    <col min="1" max="1" width="9.14166666666667" style="1154"/>
    <col min="2" max="2" width="5.425" style="1154" customWidth="1"/>
    <col min="3" max="3" width="11.7083333333333" style="1154" customWidth="1"/>
    <col min="4" max="4" width="19.5666666666667" style="1154" customWidth="1"/>
    <col min="5" max="5" width="18.425" style="1154" customWidth="1"/>
    <col min="6" max="6" width="3.56666666666667" style="1154" customWidth="1"/>
    <col min="7" max="7" width="6.14166666666667" style="1154" customWidth="1"/>
    <col min="8" max="8" width="7.70833333333333" style="1154" customWidth="1"/>
    <col min="9" max="9" width="16" style="1154" customWidth="1"/>
    <col min="10" max="10" width="12.7083333333333" style="1154" customWidth="1"/>
    <col min="11" max="11" width="21.2833333333333" style="1154" customWidth="1"/>
    <col min="12" max="12" width="10.2833333333333" style="1154" customWidth="1"/>
    <col min="13" max="13" width="10.1416666666667" style="1154" customWidth="1"/>
    <col min="14" max="14" width="8.56666666666667" style="1154" customWidth="1"/>
    <col min="15" max="15" width="7.425" style="1154" customWidth="1"/>
    <col min="16" max="16" width="8" style="1154" customWidth="1"/>
    <col min="17" max="17" width="8.28333333333333" style="1154" customWidth="1"/>
    <col min="18" max="18" width="8.425" style="1154" customWidth="1"/>
    <col min="19" max="19" width="8.28333333333333" style="1154" customWidth="1"/>
    <col min="20" max="20" width="4.425" style="1154" customWidth="1"/>
    <col min="21" max="21" width="4.425" style="1155" customWidth="1"/>
    <col min="22" max="25" width="4.425" style="1154" customWidth="1"/>
    <col min="26" max="26" width="8.14166666666667" style="1156" customWidth="1"/>
    <col min="27" max="27" width="7.28333333333333" style="1156" customWidth="1"/>
    <col min="28" max="28" width="9.56666666666667" style="1156" customWidth="1"/>
    <col min="29" max="29" width="9.14166666666667" style="1156" customWidth="1"/>
    <col min="30" max="30" width="10.7083333333333" style="1156" customWidth="1"/>
    <col min="31" max="31" width="10" style="1156" customWidth="1"/>
    <col min="32" max="32" width="11.425" style="1156" customWidth="1"/>
    <col min="33" max="33" width="6.28333333333333" style="1157" customWidth="1"/>
    <col min="34" max="34" width="9.70833333333333" style="1158" customWidth="1"/>
    <col min="35" max="35" width="3.28333333333333" style="1154" customWidth="1"/>
    <col min="36" max="36" width="4" style="1154" customWidth="1"/>
    <col min="37" max="37" width="7.425" style="1154" customWidth="1"/>
    <col min="38" max="38" width="26.5666666666667" style="1154" customWidth="1"/>
    <col min="39" max="39" width="6.28333333333333" style="1154" customWidth="1"/>
    <col min="40" max="40" width="24" style="1154" customWidth="1"/>
    <col min="41" max="41" width="14.8583333333333" style="1154" customWidth="1"/>
    <col min="42" max="42" width="15.2833333333333" style="1154" customWidth="1"/>
    <col min="43" max="43" width="15.5666666666667" style="1154" customWidth="1"/>
    <col min="44" max="44" width="16.2833333333333" style="1154" customWidth="1"/>
    <col min="45" max="46" width="9.14166666666667" style="1154"/>
    <col min="47" max="47" width="22.2833333333333" style="1154" customWidth="1"/>
    <col min="48" max="48" width="17.5666666666667" style="1154" customWidth="1"/>
    <col min="49" max="16384" width="9.14166666666667" style="1154"/>
  </cols>
  <sheetData>
    <row r="2" ht="11.25"/>
    <row r="3" ht="15" customHeight="1" spans="2:48">
      <c r="B3" s="1159" t="s">
        <v>0</v>
      </c>
      <c r="C3" s="1159" t="s">
        <v>1</v>
      </c>
      <c r="D3" s="1159" t="s">
        <v>2</v>
      </c>
      <c r="E3" s="1159" t="s">
        <v>3</v>
      </c>
      <c r="F3" s="1159" t="s">
        <v>4</v>
      </c>
      <c r="G3" s="1159" t="s">
        <v>5</v>
      </c>
      <c r="H3" s="1159" t="s">
        <v>27</v>
      </c>
      <c r="I3" s="1165" t="s">
        <v>6</v>
      </c>
      <c r="J3" s="1165" t="s">
        <v>7</v>
      </c>
      <c r="K3" s="1159" t="s">
        <v>8</v>
      </c>
      <c r="L3" s="929" t="s">
        <v>9</v>
      </c>
      <c r="M3" s="930"/>
      <c r="N3" s="929" t="s">
        <v>10</v>
      </c>
      <c r="O3" s="982"/>
      <c r="P3" s="982"/>
      <c r="Q3" s="982"/>
      <c r="R3" s="982"/>
      <c r="S3" s="930"/>
      <c r="T3" s="929" t="s">
        <v>11</v>
      </c>
      <c r="U3" s="930"/>
      <c r="V3" s="929" t="s">
        <v>4810</v>
      </c>
      <c r="W3" s="930"/>
      <c r="X3" s="939" t="s">
        <v>4811</v>
      </c>
      <c r="Y3" s="940"/>
      <c r="Z3" s="908" t="s">
        <v>14</v>
      </c>
      <c r="AA3" s="908" t="s">
        <v>15</v>
      </c>
      <c r="AB3" s="943" t="s">
        <v>16</v>
      </c>
      <c r="AC3" s="943" t="s">
        <v>17</v>
      </c>
      <c r="AD3" s="943" t="s">
        <v>4555</v>
      </c>
      <c r="AE3" s="943" t="s">
        <v>4812</v>
      </c>
      <c r="AF3" s="943" t="s">
        <v>3506</v>
      </c>
      <c r="AG3" s="943" t="s">
        <v>3507</v>
      </c>
      <c r="AH3" s="943" t="s">
        <v>3503</v>
      </c>
      <c r="AI3" s="908" t="s">
        <v>25</v>
      </c>
      <c r="AJ3" s="908" t="s">
        <v>26</v>
      </c>
      <c r="AK3" s="908" t="s">
        <v>27</v>
      </c>
      <c r="AL3" s="908" t="s">
        <v>15</v>
      </c>
      <c r="AM3" s="908" t="s">
        <v>3509</v>
      </c>
      <c r="AN3" s="908" t="s">
        <v>28</v>
      </c>
      <c r="AO3" s="1097" t="s">
        <v>29</v>
      </c>
      <c r="AP3" s="1097" t="s">
        <v>30</v>
      </c>
      <c r="AQ3" s="1097" t="s">
        <v>31</v>
      </c>
      <c r="AR3" s="1097" t="s">
        <v>32</v>
      </c>
      <c r="AS3" s="1097" t="s">
        <v>33</v>
      </c>
      <c r="AT3" s="1097" t="s">
        <v>34</v>
      </c>
      <c r="AU3" s="1097" t="s">
        <v>35</v>
      </c>
      <c r="AV3" s="1112" t="s">
        <v>36</v>
      </c>
    </row>
    <row r="4" ht="12" spans="2:48">
      <c r="B4" s="1160"/>
      <c r="C4" s="1161"/>
      <c r="D4" s="1161"/>
      <c r="E4" s="1161"/>
      <c r="F4" s="1161"/>
      <c r="G4" s="1161"/>
      <c r="H4" s="1161"/>
      <c r="I4" s="1167"/>
      <c r="J4" s="1167"/>
      <c r="K4" s="1167"/>
      <c r="L4" s="931" t="s">
        <v>37</v>
      </c>
      <c r="M4" s="931" t="s">
        <v>38</v>
      </c>
      <c r="N4" s="931">
        <v>1</v>
      </c>
      <c r="O4" s="931">
        <v>2</v>
      </c>
      <c r="P4" s="931">
        <v>3</v>
      </c>
      <c r="Q4" s="931">
        <v>4</v>
      </c>
      <c r="R4" s="931">
        <v>5</v>
      </c>
      <c r="S4" s="931">
        <v>6</v>
      </c>
      <c r="T4" s="931" t="s">
        <v>37</v>
      </c>
      <c r="U4" s="931" t="s">
        <v>38</v>
      </c>
      <c r="V4" s="931">
        <v>1</v>
      </c>
      <c r="W4" s="931">
        <v>2</v>
      </c>
      <c r="X4" s="1064" t="s">
        <v>37</v>
      </c>
      <c r="Y4" s="1064" t="s">
        <v>4813</v>
      </c>
      <c r="Z4" s="910"/>
      <c r="AA4" s="910"/>
      <c r="AB4" s="944"/>
      <c r="AC4" s="944"/>
      <c r="AD4" s="944"/>
      <c r="AE4" s="1069"/>
      <c r="AF4" s="1090"/>
      <c r="AG4" s="944"/>
      <c r="AH4" s="1091"/>
      <c r="AI4" s="909"/>
      <c r="AJ4" s="909"/>
      <c r="AK4" s="909"/>
      <c r="AL4" s="909"/>
      <c r="AM4" s="909"/>
      <c r="AN4" s="909"/>
      <c r="AO4" s="1098"/>
      <c r="AP4" s="1098"/>
      <c r="AQ4" s="1098"/>
      <c r="AR4" s="1098"/>
      <c r="AS4" s="1098"/>
      <c r="AT4" s="1098"/>
      <c r="AU4" s="1098"/>
      <c r="AV4" s="1113"/>
    </row>
    <row r="5" s="1025" customFormat="1" ht="32.25" spans="2:50">
      <c r="B5" s="1551" t="s">
        <v>39</v>
      </c>
      <c r="C5" s="837" t="s">
        <v>4814</v>
      </c>
      <c r="D5" s="837" t="s">
        <v>4815</v>
      </c>
      <c r="E5" s="1043" t="s">
        <v>4816</v>
      </c>
      <c r="F5" s="1043" t="s">
        <v>43</v>
      </c>
      <c r="G5" s="1043" t="s">
        <v>96</v>
      </c>
      <c r="H5" s="1043" t="s">
        <v>96</v>
      </c>
      <c r="I5" s="1049" t="s">
        <v>3528</v>
      </c>
      <c r="J5" s="1049" t="s">
        <v>4817</v>
      </c>
      <c r="K5" s="1049" t="s">
        <v>4818</v>
      </c>
      <c r="L5" s="1050">
        <v>42769</v>
      </c>
      <c r="M5" s="1050">
        <v>42825</v>
      </c>
      <c r="N5" s="1050">
        <v>42886</v>
      </c>
      <c r="O5" s="1050">
        <v>42916</v>
      </c>
      <c r="P5" s="1050">
        <v>43008</v>
      </c>
      <c r="Q5" s="1050">
        <v>43100</v>
      </c>
      <c r="R5" s="936">
        <v>43190</v>
      </c>
      <c r="S5" s="936">
        <v>43465</v>
      </c>
      <c r="T5" s="1050"/>
      <c r="U5" s="1050"/>
      <c r="V5" s="1050"/>
      <c r="W5" s="1050"/>
      <c r="X5" s="1050"/>
      <c r="Y5" s="1050"/>
      <c r="Z5" s="640">
        <f ca="1">SUM(S5-NOW())</f>
        <v>192.61546296296</v>
      </c>
      <c r="AA5" s="121" t="str">
        <f ca="1">IF(Z5&lt;=40,"WARNING","ACTIVE")</f>
        <v>ACTIVE</v>
      </c>
      <c r="AB5" s="1077">
        <v>17000000</v>
      </c>
      <c r="AC5" s="1077">
        <v>1000000</v>
      </c>
      <c r="AD5" s="1078"/>
      <c r="AE5" s="1085">
        <v>4500000</v>
      </c>
      <c r="AF5" s="1078">
        <v>250000</v>
      </c>
      <c r="AG5" s="1079"/>
      <c r="AH5" s="1079"/>
      <c r="AI5" s="1049" t="s">
        <v>0</v>
      </c>
      <c r="AJ5" s="1078" t="s">
        <v>48</v>
      </c>
      <c r="AK5" s="1078" t="s">
        <v>48</v>
      </c>
      <c r="AL5" s="1049" t="s">
        <v>4819</v>
      </c>
      <c r="AM5" s="1101"/>
      <c r="AN5" s="1102" t="s">
        <v>4820</v>
      </c>
      <c r="AO5" s="1103" t="s">
        <v>4821</v>
      </c>
      <c r="AP5" s="1103" t="s">
        <v>4822</v>
      </c>
      <c r="AQ5" s="1536" t="s">
        <v>4823</v>
      </c>
      <c r="AR5" s="1103" t="s">
        <v>4824</v>
      </c>
      <c r="AS5" s="1103"/>
      <c r="AT5" s="1103"/>
      <c r="AU5" s="1230" t="s">
        <v>4825</v>
      </c>
      <c r="AV5" s="1050" t="s">
        <v>4826</v>
      </c>
      <c r="AW5" s="906"/>
      <c r="AX5" s="871"/>
    </row>
    <row r="6" s="1153" customFormat="1" spans="21:34">
      <c r="U6" s="1176"/>
      <c r="Z6" s="1157"/>
      <c r="AA6" s="1157"/>
      <c r="AB6" s="1157"/>
      <c r="AC6" s="1157"/>
      <c r="AD6" s="1157"/>
      <c r="AE6" s="1157"/>
      <c r="AF6" s="1157"/>
      <c r="AG6" s="1157"/>
      <c r="AH6" s="1188"/>
    </row>
    <row r="7" s="1153" customFormat="1" spans="21:34">
      <c r="U7" s="1176"/>
      <c r="Z7" s="1157"/>
      <c r="AA7" s="1157"/>
      <c r="AB7" s="1157"/>
      <c r="AC7" s="1157"/>
      <c r="AD7" s="1157"/>
      <c r="AE7" s="1157"/>
      <c r="AF7" s="1157"/>
      <c r="AG7" s="1157"/>
      <c r="AH7" s="1188"/>
    </row>
    <row r="8" s="1153" customFormat="1" spans="21:34">
      <c r="U8" s="1176"/>
      <c r="Z8" s="1157"/>
      <c r="AA8" s="1157"/>
      <c r="AB8" s="1157"/>
      <c r="AC8" s="1157"/>
      <c r="AD8" s="1157"/>
      <c r="AE8" s="1157"/>
      <c r="AF8" s="1157"/>
      <c r="AG8" s="1157"/>
      <c r="AH8" s="1188"/>
    </row>
    <row r="9" s="1153" customFormat="1" spans="21:34">
      <c r="U9" s="1176"/>
      <c r="Z9" s="1157"/>
      <c r="AA9" s="1157"/>
      <c r="AB9" s="1157"/>
      <c r="AC9" s="1157"/>
      <c r="AD9" s="1157"/>
      <c r="AE9" s="1157"/>
      <c r="AF9" s="1157"/>
      <c r="AG9" s="1157"/>
      <c r="AH9" s="1188"/>
    </row>
    <row r="10" s="1153" customFormat="1" ht="11.25" spans="21:34">
      <c r="U10" s="1176"/>
      <c r="Z10" s="1157"/>
      <c r="AA10" s="1157"/>
      <c r="AB10" s="1157"/>
      <c r="AC10" s="1157"/>
      <c r="AD10" s="1157"/>
      <c r="AE10" s="1157"/>
      <c r="AF10" s="1157"/>
      <c r="AG10" s="1157"/>
      <c r="AH10" s="1188"/>
    </row>
    <row r="11" s="1153" customFormat="1" ht="11.25" spans="2:34">
      <c r="B11" s="1163" t="s">
        <v>2552</v>
      </c>
      <c r="C11" s="1164"/>
      <c r="U11" s="1176"/>
      <c r="Z11" s="1157"/>
      <c r="AA11" s="1157"/>
      <c r="AB11" s="1157"/>
      <c r="AC11" s="1157"/>
      <c r="AD11" s="1157"/>
      <c r="AE11" s="1157"/>
      <c r="AF11" s="1157"/>
      <c r="AG11" s="1157"/>
      <c r="AH11" s="1188"/>
    </row>
    <row r="12" s="1153" customFormat="1" spans="21:34">
      <c r="U12" s="1176"/>
      <c r="Z12" s="1157"/>
      <c r="AA12" s="1157"/>
      <c r="AB12" s="1157"/>
      <c r="AC12" s="1157"/>
      <c r="AD12" s="1157"/>
      <c r="AE12" s="1157"/>
      <c r="AF12" s="1157"/>
      <c r="AG12" s="1157"/>
      <c r="AH12" s="1188"/>
    </row>
    <row r="13" s="1153" customFormat="1" spans="21:34">
      <c r="U13" s="1176"/>
      <c r="Z13" s="1157"/>
      <c r="AA13" s="1157"/>
      <c r="AB13" s="1157"/>
      <c r="AC13" s="1157"/>
      <c r="AD13" s="1157"/>
      <c r="AE13" s="1157"/>
      <c r="AF13" s="1157"/>
      <c r="AG13" s="1157"/>
      <c r="AH13" s="1188"/>
    </row>
    <row r="14" s="1153" customFormat="1" spans="21:34">
      <c r="U14" s="1176"/>
      <c r="Z14" s="1157"/>
      <c r="AA14" s="1157"/>
      <c r="AB14" s="1157"/>
      <c r="AC14" s="1157"/>
      <c r="AD14" s="1157"/>
      <c r="AE14" s="1157"/>
      <c r="AF14" s="1157"/>
      <c r="AG14" s="1157"/>
      <c r="AH14" s="1188"/>
    </row>
    <row r="15" s="1153" customFormat="1" spans="21:34">
      <c r="U15" s="1176"/>
      <c r="Z15" s="1157"/>
      <c r="AA15" s="1157"/>
      <c r="AB15" s="1157"/>
      <c r="AC15" s="1157"/>
      <c r="AD15" s="1157"/>
      <c r="AE15" s="1157"/>
      <c r="AF15" s="1157"/>
      <c r="AG15" s="1157"/>
      <c r="AH15" s="1188"/>
    </row>
    <row r="16" s="1153" customFormat="1" spans="21:34">
      <c r="U16" s="1176"/>
      <c r="Z16" s="1157"/>
      <c r="AA16" s="1157"/>
      <c r="AB16" s="1157"/>
      <c r="AC16" s="1157"/>
      <c r="AD16" s="1157"/>
      <c r="AE16" s="1157"/>
      <c r="AF16" s="1157"/>
      <c r="AG16" s="1157"/>
      <c r="AH16" s="1188"/>
    </row>
    <row r="17" s="1153" customFormat="1" spans="21:34">
      <c r="U17" s="1176"/>
      <c r="Z17" s="1157"/>
      <c r="AA17" s="1157"/>
      <c r="AB17" s="1157"/>
      <c r="AC17" s="1157"/>
      <c r="AD17" s="1157"/>
      <c r="AE17" s="1157"/>
      <c r="AF17" s="1157"/>
      <c r="AG17" s="1157"/>
      <c r="AH17" s="1188"/>
    </row>
    <row r="18" s="1153" customFormat="1" spans="21:34">
      <c r="U18" s="1176"/>
      <c r="Z18" s="1157"/>
      <c r="AA18" s="1157"/>
      <c r="AB18" s="1157"/>
      <c r="AC18" s="1157"/>
      <c r="AD18" s="1157"/>
      <c r="AE18" s="1157"/>
      <c r="AF18" s="1157"/>
      <c r="AG18" s="1157"/>
      <c r="AH18" s="1188"/>
    </row>
    <row r="19" s="1153" customFormat="1" spans="21:34">
      <c r="U19" s="1176"/>
      <c r="Z19" s="1157"/>
      <c r="AA19" s="1157"/>
      <c r="AB19" s="1157"/>
      <c r="AC19" s="1157"/>
      <c r="AD19" s="1157"/>
      <c r="AE19" s="1157"/>
      <c r="AF19" s="1157"/>
      <c r="AG19" s="1157"/>
      <c r="AH19" s="1188"/>
    </row>
  </sheetData>
  <mergeCells count="38">
    <mergeCell ref="L3:M3"/>
    <mergeCell ref="N3:S3"/>
    <mergeCell ref="T3:U3"/>
    <mergeCell ref="V3:W3"/>
    <mergeCell ref="X3:Y3"/>
    <mergeCell ref="B3:B4"/>
    <mergeCell ref="C3:C4"/>
    <mergeCell ref="D3:D4"/>
    <mergeCell ref="E3:E4"/>
    <mergeCell ref="F3:F4"/>
    <mergeCell ref="G3:G4"/>
    <mergeCell ref="H3:H4"/>
    <mergeCell ref="I3:I4"/>
    <mergeCell ref="J3:J4"/>
    <mergeCell ref="K3:K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s>
  <conditionalFormatting sqref="Q1:Q2;Q6:Q1048576">
    <cfRule type="expression" dxfId="837" priority="1" stopIfTrue="1">
      <formula>NOT(ISERROR(SEARCH("warning",Q1)))</formula>
    </cfRule>
  </conditionalFormatting>
  <conditionalFormatting sqref="AA3:AA4">
    <cfRule type="expression" dxfId="838" priority="2" stopIfTrue="1">
      <formula>NOT(ISERROR(SEARCH("warning",AA3)))</formula>
    </cfRule>
  </conditionalFormatting>
  <pageMargins left="0.699305555555556" right="0.699305555555556" top="0.75" bottom="0.75" header="0.3" footer="0.3"/>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BZ244"/>
  <sheetViews>
    <sheetView zoomScale="70" zoomScaleNormal="70" topLeftCell="B3" workbookViewId="0">
      <pane xSplit="3" ySplit="2" topLeftCell="AL56" activePane="bottomRight" state="frozen"/>
      <selection/>
      <selection pane="topRight"/>
      <selection pane="bottomLeft"/>
      <selection pane="bottomRight" activeCell="AM3" sqref="AM3"/>
    </sheetView>
  </sheetViews>
  <sheetFormatPr defaultColWidth="9" defaultRowHeight="10.5"/>
  <cols>
    <col min="1" max="1" width="9.14166666666667" style="1194"/>
    <col min="2" max="2" width="5.425" style="1194" customWidth="1"/>
    <col min="3" max="3" width="11.7083333333333" style="1194" customWidth="1"/>
    <col min="4" max="4" width="29.1416666666667" style="1194" customWidth="1"/>
    <col min="5" max="5" width="32.425" style="1194" customWidth="1"/>
    <col min="6" max="6" width="3.56666666666667" style="1194" customWidth="1"/>
    <col min="7" max="7" width="6.14166666666667" style="1194" customWidth="1"/>
    <col min="8" max="8" width="7.70833333333333" style="1194" customWidth="1"/>
    <col min="9" max="9" width="16" style="1194" customWidth="1"/>
    <col min="10" max="10" width="12.7083333333333" style="1194" customWidth="1"/>
    <col min="11" max="11" width="21.2833333333333" style="1194" customWidth="1"/>
    <col min="12" max="12" width="10.2833333333333" style="1194" customWidth="1"/>
    <col min="13" max="13" width="10.1416666666667" style="1194" customWidth="1"/>
    <col min="14" max="15" width="9.14166666666667" style="1194" customWidth="1"/>
    <col min="16" max="19" width="8.85833333333333" style="1194" customWidth="1"/>
    <col min="20" max="21" width="9.14166666666667" style="1194" customWidth="1"/>
    <col min="22" max="22" width="8.85833333333333" style="1194" customWidth="1"/>
    <col min="23" max="26" width="9.14166666666667" style="1194" customWidth="1"/>
    <col min="27" max="27" width="8.70833333333333" style="1194" customWidth="1"/>
    <col min="28" max="28" width="8.85833333333333" style="1194" customWidth="1"/>
    <col min="29" max="29" width="8.70833333333333" style="1194" customWidth="1"/>
    <col min="30" max="30" width="8.85833333333333" style="1194" customWidth="1"/>
    <col min="31" max="31" width="8.28333333333333" style="1194" customWidth="1"/>
    <col min="32" max="32" width="7.70833333333333" style="1194" customWidth="1"/>
    <col min="33" max="33" width="8.85833333333333" style="1194" customWidth="1"/>
    <col min="34" max="34" width="8.425" style="1194" customWidth="1"/>
    <col min="35" max="35" width="8.85833333333333" style="1194" customWidth="1"/>
    <col min="36" max="37" width="8.70833333333333" style="1194" customWidth="1"/>
    <col min="38" max="38" width="8.56666666666667" style="1194" customWidth="1"/>
    <col min="39" max="48" width="9.14166666666667" style="1194" customWidth="1"/>
    <col min="49" max="49" width="7.85833333333333" style="1194" customWidth="1"/>
    <col min="50" max="50" width="10" style="1194" customWidth="1"/>
    <col min="51" max="51" width="12.7083333333333" style="1194" customWidth="1"/>
    <col min="52" max="52" width="13" style="1194" customWidth="1"/>
    <col min="53" max="53" width="12" style="1194" customWidth="1"/>
    <col min="54" max="54" width="10.7083333333333" style="1195" customWidth="1"/>
    <col min="55" max="55" width="11.7083333333333" style="1194" customWidth="1"/>
    <col min="56" max="56" width="8.70833333333333" style="1194" customWidth="1"/>
    <col min="57" max="57" width="10.2833333333333" style="1194" customWidth="1"/>
    <col min="58" max="58" width="13.425" style="1194" customWidth="1"/>
    <col min="59" max="59" width="11.2833333333333" style="1194" customWidth="1"/>
    <col min="60" max="60" width="12.7083333333333" style="1194" customWidth="1"/>
    <col min="61" max="61" width="8.56666666666667" style="1194" customWidth="1"/>
    <col min="62" max="62" width="5.28333333333333" style="1194" customWidth="1"/>
    <col min="63" max="63" width="10.5666666666667" style="1194" customWidth="1"/>
    <col min="64" max="64" width="48.1416666666667" style="1194" customWidth="1"/>
    <col min="65" max="65" width="45.5666666666667" style="1194" customWidth="1"/>
    <col min="66" max="66" width="20.7083333333333" style="1196" customWidth="1"/>
    <col min="67" max="67" width="28.5666666666667" style="1196" customWidth="1"/>
    <col min="68" max="68" width="16.2833333333333" style="1196" customWidth="1"/>
    <col min="69" max="69" width="19.2833333333333" style="1196" customWidth="1"/>
    <col min="70" max="70" width="14.1416666666667" style="1196" customWidth="1"/>
    <col min="71" max="71" width="18.7083333333333" style="1196" customWidth="1"/>
    <col min="72" max="72" width="36" style="1196" customWidth="1"/>
    <col min="73" max="73" width="24.8583333333333" style="1197" customWidth="1"/>
    <col min="74" max="74" width="22.2833333333333" style="1198" customWidth="1"/>
    <col min="75" max="75" width="9.14166666666667" style="1158"/>
    <col min="76" max="76" width="9.14166666666667" style="1194"/>
    <col min="77" max="77" width="18.1416666666667" style="1194" customWidth="1"/>
    <col min="78" max="78" width="36.2833333333333" style="1194" customWidth="1"/>
    <col min="79" max="16384" width="9.14166666666667" style="1194"/>
  </cols>
  <sheetData>
    <row r="2" ht="11.25"/>
    <row r="3" ht="15" customHeight="1" spans="2:74">
      <c r="B3" s="1159" t="s">
        <v>0</v>
      </c>
      <c r="C3" s="1159" t="s">
        <v>1</v>
      </c>
      <c r="D3" s="1159" t="s">
        <v>2</v>
      </c>
      <c r="E3" s="1159" t="s">
        <v>3</v>
      </c>
      <c r="F3" s="1159" t="s">
        <v>4</v>
      </c>
      <c r="G3" s="1159" t="s">
        <v>5</v>
      </c>
      <c r="H3" s="1159" t="s">
        <v>27</v>
      </c>
      <c r="I3" s="1165" t="s">
        <v>6</v>
      </c>
      <c r="J3" s="1165" t="s">
        <v>7</v>
      </c>
      <c r="K3" s="1159" t="s">
        <v>8</v>
      </c>
      <c r="L3" s="1166" t="s">
        <v>9</v>
      </c>
      <c r="M3" s="1170"/>
      <c r="N3" s="1166" t="s">
        <v>10</v>
      </c>
      <c r="O3" s="1171"/>
      <c r="P3" s="1171"/>
      <c r="Q3" s="1171"/>
      <c r="R3" s="1171"/>
      <c r="S3" s="1171"/>
      <c r="T3" s="1171"/>
      <c r="U3" s="1171"/>
      <c r="V3" s="1171"/>
      <c r="W3" s="1171"/>
      <c r="X3" s="1171"/>
      <c r="Y3" s="1170"/>
      <c r="Z3" s="1166" t="s">
        <v>11</v>
      </c>
      <c r="AA3" s="1170"/>
      <c r="AB3" s="1213" t="s">
        <v>4810</v>
      </c>
      <c r="AC3" s="1214"/>
      <c r="AD3" s="1214"/>
      <c r="AE3" s="1214"/>
      <c r="AF3" s="1214"/>
      <c r="AG3" s="1214"/>
      <c r="AH3" s="1215"/>
      <c r="AI3" s="1216" t="s">
        <v>4827</v>
      </c>
      <c r="AJ3" s="1217"/>
      <c r="AK3" s="1166" t="s">
        <v>13</v>
      </c>
      <c r="AL3" s="1170"/>
      <c r="AM3" s="1215" t="s">
        <v>10</v>
      </c>
      <c r="AN3" s="1215"/>
      <c r="AO3" s="1215"/>
      <c r="AP3" s="1215"/>
      <c r="AQ3" s="1215"/>
      <c r="AR3" s="1215"/>
      <c r="AS3" s="1215"/>
      <c r="AT3" s="1215"/>
      <c r="AU3" s="1215"/>
      <c r="AV3" s="1215"/>
      <c r="AW3" s="1159" t="s">
        <v>14</v>
      </c>
      <c r="AX3" s="1159" t="s">
        <v>15</v>
      </c>
      <c r="AY3" s="1172" t="s">
        <v>16</v>
      </c>
      <c r="AZ3" s="1172" t="s">
        <v>17</v>
      </c>
      <c r="BA3" s="1172" t="s">
        <v>4555</v>
      </c>
      <c r="BB3" s="1174" t="s">
        <v>3505</v>
      </c>
      <c r="BC3" s="1172" t="s">
        <v>4556</v>
      </c>
      <c r="BD3" s="1172" t="s">
        <v>4557</v>
      </c>
      <c r="BE3" s="1172" t="s">
        <v>4558</v>
      </c>
      <c r="BF3" s="1172" t="s">
        <v>4559</v>
      </c>
      <c r="BG3" s="1172" t="s">
        <v>3507</v>
      </c>
      <c r="BH3" s="1172" t="s">
        <v>22</v>
      </c>
      <c r="BI3" s="1177" t="s">
        <v>25</v>
      </c>
      <c r="BJ3" s="1165" t="s">
        <v>26</v>
      </c>
      <c r="BK3" s="1159" t="s">
        <v>27</v>
      </c>
      <c r="BL3" s="1165" t="s">
        <v>15</v>
      </c>
      <c r="BM3" s="1159" t="s">
        <v>28</v>
      </c>
      <c r="BN3" s="1180" t="s">
        <v>29</v>
      </c>
      <c r="BO3" s="1181" t="s">
        <v>30</v>
      </c>
      <c r="BP3" s="1181" t="s">
        <v>31</v>
      </c>
      <c r="BQ3" s="1180" t="s">
        <v>32</v>
      </c>
      <c r="BR3" s="1181" t="s">
        <v>33</v>
      </c>
      <c r="BS3" s="1181" t="s">
        <v>34</v>
      </c>
      <c r="BT3" s="1180" t="s">
        <v>35</v>
      </c>
      <c r="BU3" s="1184" t="s">
        <v>36</v>
      </c>
      <c r="BV3" s="1231" t="s">
        <v>4828</v>
      </c>
    </row>
    <row r="4" ht="12" spans="2:74">
      <c r="B4" s="1160"/>
      <c r="C4" s="1161"/>
      <c r="D4" s="1161"/>
      <c r="E4" s="1161"/>
      <c r="F4" s="1161"/>
      <c r="G4" s="1161"/>
      <c r="H4" s="1161"/>
      <c r="I4" s="1167"/>
      <c r="J4" s="1167"/>
      <c r="K4" s="1167"/>
      <c r="L4" s="1168" t="s">
        <v>37</v>
      </c>
      <c r="M4" s="1168" t="s">
        <v>38</v>
      </c>
      <c r="N4" s="1168">
        <v>1</v>
      </c>
      <c r="O4" s="1168">
        <v>2</v>
      </c>
      <c r="P4" s="1168">
        <v>3</v>
      </c>
      <c r="Q4" s="1168">
        <v>4</v>
      </c>
      <c r="R4" s="1168">
        <v>5</v>
      </c>
      <c r="S4" s="1168">
        <v>6</v>
      </c>
      <c r="T4" s="1168">
        <v>7</v>
      </c>
      <c r="U4" s="1168">
        <v>8</v>
      </c>
      <c r="V4" s="1168">
        <v>9</v>
      </c>
      <c r="W4" s="1168">
        <v>10</v>
      </c>
      <c r="X4" s="1168">
        <v>11</v>
      </c>
      <c r="Y4" s="1168">
        <v>12</v>
      </c>
      <c r="Z4" s="1168" t="s">
        <v>37</v>
      </c>
      <c r="AA4" s="1168" t="s">
        <v>38</v>
      </c>
      <c r="AB4" s="1168">
        <v>1</v>
      </c>
      <c r="AC4" s="1168">
        <v>2</v>
      </c>
      <c r="AD4" s="1168">
        <v>3</v>
      </c>
      <c r="AE4" s="1168">
        <v>4</v>
      </c>
      <c r="AF4" s="1168">
        <v>5</v>
      </c>
      <c r="AG4" s="1168">
        <v>6</v>
      </c>
      <c r="AH4" s="1168">
        <v>7</v>
      </c>
      <c r="AI4" s="1218" t="s">
        <v>4829</v>
      </c>
      <c r="AJ4" s="1218" t="s">
        <v>38</v>
      </c>
      <c r="AK4" s="1168" t="s">
        <v>4830</v>
      </c>
      <c r="AL4" s="1168" t="s">
        <v>4813</v>
      </c>
      <c r="AM4" s="1219">
        <v>1</v>
      </c>
      <c r="AN4" s="1219">
        <v>2</v>
      </c>
      <c r="AO4" s="1219">
        <v>3</v>
      </c>
      <c r="AP4" s="1219">
        <v>4</v>
      </c>
      <c r="AQ4" s="1219">
        <v>5</v>
      </c>
      <c r="AR4" s="1219">
        <v>6</v>
      </c>
      <c r="AS4" s="1219"/>
      <c r="AT4" s="1219"/>
      <c r="AU4" s="1219"/>
      <c r="AV4" s="1219"/>
      <c r="AW4" s="1161"/>
      <c r="AX4" s="1161"/>
      <c r="AY4" s="1173"/>
      <c r="AZ4" s="1173"/>
      <c r="BA4" s="1173"/>
      <c r="BB4" s="1175"/>
      <c r="BC4" s="1173"/>
      <c r="BD4" s="1173"/>
      <c r="BE4" s="1173"/>
      <c r="BF4" s="1173"/>
      <c r="BG4" s="1173"/>
      <c r="BH4" s="1173"/>
      <c r="BI4" s="1178"/>
      <c r="BJ4" s="1167"/>
      <c r="BK4" s="1167"/>
      <c r="BL4" s="1167"/>
      <c r="BM4" s="1179"/>
      <c r="BN4" s="1182"/>
      <c r="BO4" s="1183"/>
      <c r="BP4" s="1183"/>
      <c r="BQ4" s="1182"/>
      <c r="BR4" s="1183"/>
      <c r="BS4" s="1183"/>
      <c r="BT4" s="1185"/>
      <c r="BU4" s="1186"/>
      <c r="BV4" s="1231"/>
    </row>
    <row r="5" s="1189" customFormat="1" ht="27.75" customHeight="1" spans="2:76">
      <c r="B5" s="1562" t="s">
        <v>39</v>
      </c>
      <c r="C5" s="837" t="s">
        <v>4831</v>
      </c>
      <c r="D5" s="1162" t="s">
        <v>4832</v>
      </c>
      <c r="E5" s="1043" t="s">
        <v>4833</v>
      </c>
      <c r="F5" s="1043" t="s">
        <v>43</v>
      </c>
      <c r="G5" s="1043" t="s">
        <v>254</v>
      </c>
      <c r="H5" s="1043" t="s">
        <v>254</v>
      </c>
      <c r="I5" s="1049" t="s">
        <v>3528</v>
      </c>
      <c r="J5" s="1049" t="s">
        <v>4834</v>
      </c>
      <c r="K5" s="1049" t="s">
        <v>4835</v>
      </c>
      <c r="L5" s="1169">
        <v>42156</v>
      </c>
      <c r="M5" s="1169">
        <v>42369</v>
      </c>
      <c r="N5" s="1169">
        <v>42551</v>
      </c>
      <c r="O5" s="1169">
        <v>42582</v>
      </c>
      <c r="P5" s="1169">
        <v>42613</v>
      </c>
      <c r="Q5" s="1169">
        <v>42674</v>
      </c>
      <c r="R5" s="1169">
        <v>42735</v>
      </c>
      <c r="S5" s="1169">
        <v>42825</v>
      </c>
      <c r="T5" s="1169">
        <v>42886</v>
      </c>
      <c r="U5" s="1169"/>
      <c r="V5" s="1169"/>
      <c r="W5" s="1169"/>
      <c r="X5" s="1169"/>
      <c r="Y5" s="1169"/>
      <c r="Z5" s="1169">
        <v>42887</v>
      </c>
      <c r="AA5" s="1169">
        <v>42916</v>
      </c>
      <c r="AB5" s="1169">
        <v>43100</v>
      </c>
      <c r="AC5" s="1169">
        <v>43251</v>
      </c>
      <c r="AD5" s="1169"/>
      <c r="AE5" s="1169"/>
      <c r="AF5" s="1169"/>
      <c r="AG5" s="1169"/>
      <c r="AH5" s="1169"/>
      <c r="AI5" s="1169">
        <v>43252</v>
      </c>
      <c r="AJ5" s="1169">
        <v>43281</v>
      </c>
      <c r="AK5" s="1169"/>
      <c r="AL5" s="1169"/>
      <c r="AM5" s="1169"/>
      <c r="AN5" s="1169"/>
      <c r="AO5" s="1169"/>
      <c r="AP5" s="1169"/>
      <c r="AQ5" s="1169"/>
      <c r="AR5" s="1169"/>
      <c r="AS5" s="1169"/>
      <c r="AT5" s="1169"/>
      <c r="AU5" s="1169"/>
      <c r="AV5" s="1169"/>
      <c r="AW5" s="640">
        <f ca="1" t="shared" ref="AW5:AW10" si="0">SUM(AJ5-NOW())</f>
        <v>8.61546296296001</v>
      </c>
      <c r="AX5" s="121" t="str">
        <f ca="1" t="shared" ref="AX5:AX36" si="1">IF(AW5&lt;=40,"WARNING","ACTIVE")</f>
        <v>WARNING</v>
      </c>
      <c r="AY5" s="1077">
        <f>1200000+12000000</f>
        <v>13200000</v>
      </c>
      <c r="AZ5" s="1077">
        <v>700000</v>
      </c>
      <c r="BA5" s="1078"/>
      <c r="BB5" s="1085">
        <v>3000000</v>
      </c>
      <c r="BC5" s="1078">
        <v>2965000</v>
      </c>
      <c r="BD5" s="1077"/>
      <c r="BE5" s="1077"/>
      <c r="BF5" s="1078">
        <v>3000000</v>
      </c>
      <c r="BG5" s="1078">
        <v>500000</v>
      </c>
      <c r="BH5" s="1078">
        <v>300000</v>
      </c>
      <c r="BI5" s="1049" t="s">
        <v>0</v>
      </c>
      <c r="BJ5" s="1078" t="s">
        <v>48</v>
      </c>
      <c r="BK5" s="1078" t="s">
        <v>48</v>
      </c>
      <c r="BL5" s="1049" t="s">
        <v>4836</v>
      </c>
      <c r="BM5" s="1102" t="s">
        <v>4837</v>
      </c>
      <c r="BN5" s="1103" t="s">
        <v>4838</v>
      </c>
      <c r="BO5" s="1103" t="s">
        <v>4839</v>
      </c>
      <c r="BP5" s="1536" t="s">
        <v>4840</v>
      </c>
      <c r="BQ5" s="1103" t="s">
        <v>4841</v>
      </c>
      <c r="BR5" s="1103" t="s">
        <v>4842</v>
      </c>
      <c r="BS5" s="1103" t="s">
        <v>4843</v>
      </c>
      <c r="BT5" s="1230" t="s">
        <v>4844</v>
      </c>
      <c r="BU5" s="1187"/>
      <c r="BV5" s="1232" t="s">
        <v>4845</v>
      </c>
      <c r="BW5" s="1233" t="s">
        <v>4846</v>
      </c>
      <c r="BX5" s="1234" t="s">
        <v>3479</v>
      </c>
    </row>
    <row r="6" s="1190" customFormat="1" ht="27.75" customHeight="1" spans="2:78">
      <c r="B6" s="1563" t="s">
        <v>56</v>
      </c>
      <c r="C6" s="838" t="s">
        <v>4847</v>
      </c>
      <c r="D6" s="1199" t="s">
        <v>4848</v>
      </c>
      <c r="E6" s="1044" t="s">
        <v>4849</v>
      </c>
      <c r="F6" s="1044" t="s">
        <v>125</v>
      </c>
      <c r="G6" s="1044" t="s">
        <v>44</v>
      </c>
      <c r="H6" s="1044" t="s">
        <v>44</v>
      </c>
      <c r="I6" s="1051" t="s">
        <v>3053</v>
      </c>
      <c r="J6" s="1051" t="s">
        <v>4834</v>
      </c>
      <c r="K6" s="1051" t="s">
        <v>781</v>
      </c>
      <c r="L6" s="1202">
        <v>42135</v>
      </c>
      <c r="M6" s="1202">
        <v>42257</v>
      </c>
      <c r="N6" s="1202">
        <v>42289</v>
      </c>
      <c r="O6" s="1202">
        <v>42369</v>
      </c>
      <c r="P6" s="1202">
        <v>42429</v>
      </c>
      <c r="Q6" s="1202">
        <v>42460</v>
      </c>
      <c r="R6" s="1202">
        <v>42551</v>
      </c>
      <c r="S6" s="1202">
        <v>42582</v>
      </c>
      <c r="T6" s="1202">
        <v>42613</v>
      </c>
      <c r="U6" s="1202">
        <v>42674</v>
      </c>
      <c r="V6" s="1202">
        <v>42735</v>
      </c>
      <c r="W6" s="1202">
        <v>42794</v>
      </c>
      <c r="X6" s="1202">
        <v>42865</v>
      </c>
      <c r="Y6" s="1202"/>
      <c r="Z6" s="1202">
        <v>42866</v>
      </c>
      <c r="AA6" s="1202">
        <v>42916</v>
      </c>
      <c r="AB6" s="1202">
        <v>43100</v>
      </c>
      <c r="AC6" s="1202">
        <v>43190</v>
      </c>
      <c r="AD6" s="1207">
        <v>43220</v>
      </c>
      <c r="AE6" s="1202"/>
      <c r="AF6" s="1202"/>
      <c r="AG6" s="1202"/>
      <c r="AH6" s="1202"/>
      <c r="AI6" s="1202">
        <v>43221</v>
      </c>
      <c r="AJ6" s="1207">
        <v>43251</v>
      </c>
      <c r="AK6" s="1202"/>
      <c r="AL6" s="1202"/>
      <c r="AM6" s="1202"/>
      <c r="AN6" s="1202"/>
      <c r="AO6" s="1202"/>
      <c r="AP6" s="1202"/>
      <c r="AQ6" s="1202"/>
      <c r="AR6" s="1202"/>
      <c r="AS6" s="1202"/>
      <c r="AT6" s="1202"/>
      <c r="AU6" s="1202"/>
      <c r="AV6" s="1202"/>
      <c r="AW6" s="641">
        <f ca="1" t="shared" si="0"/>
        <v>-21.38453703704</v>
      </c>
      <c r="AX6" s="187" t="str">
        <f ca="1" t="shared" si="1"/>
        <v>WARNING</v>
      </c>
      <c r="AY6" s="1080">
        <v>3300000</v>
      </c>
      <c r="AZ6" s="1080">
        <v>550000</v>
      </c>
      <c r="BA6" s="1081" t="s">
        <v>583</v>
      </c>
      <c r="BB6" s="1088"/>
      <c r="BC6" s="1081"/>
      <c r="BD6" s="1080"/>
      <c r="BE6" s="1080"/>
      <c r="BF6" s="1081"/>
      <c r="BG6" s="1081">
        <v>500000</v>
      </c>
      <c r="BH6" s="1081"/>
      <c r="BI6" s="1051" t="s">
        <v>4850</v>
      </c>
      <c r="BJ6" s="1081" t="s">
        <v>48</v>
      </c>
      <c r="BK6" s="1081" t="s">
        <v>48</v>
      </c>
      <c r="BL6" s="1051" t="s">
        <v>4851</v>
      </c>
      <c r="BM6" s="1104" t="s">
        <v>4852</v>
      </c>
      <c r="BN6" s="1095" t="s">
        <v>4853</v>
      </c>
      <c r="BO6" s="1095" t="s">
        <v>4854</v>
      </c>
      <c r="BP6" s="1545" t="s">
        <v>4855</v>
      </c>
      <c r="BQ6" s="1095" t="s">
        <v>4856</v>
      </c>
      <c r="BR6" s="1095" t="s">
        <v>2574</v>
      </c>
      <c r="BS6" s="1095" t="s">
        <v>4857</v>
      </c>
      <c r="BT6" s="1126" t="s">
        <v>4858</v>
      </c>
      <c r="BU6" s="1205" t="s">
        <v>4859</v>
      </c>
      <c r="BV6" s="1235" t="s">
        <v>4860</v>
      </c>
      <c r="BW6" s="1233" t="e">
        <v>#N/A</v>
      </c>
      <c r="BX6" s="1236" t="s">
        <v>3479</v>
      </c>
      <c r="BZ6" s="1237"/>
    </row>
    <row r="7" s="1189" customFormat="1" ht="41.25" customHeight="1" spans="2:76">
      <c r="B7" s="1562" t="s">
        <v>68</v>
      </c>
      <c r="C7" s="837" t="s">
        <v>4861</v>
      </c>
      <c r="D7" s="1162" t="s">
        <v>4862</v>
      </c>
      <c r="E7" s="1043" t="s">
        <v>4863</v>
      </c>
      <c r="F7" s="1043" t="s">
        <v>43</v>
      </c>
      <c r="G7" s="1043" t="s">
        <v>254</v>
      </c>
      <c r="H7" s="1043" t="s">
        <v>254</v>
      </c>
      <c r="I7" s="1049" t="s">
        <v>3089</v>
      </c>
      <c r="J7" s="1049" t="s">
        <v>4834</v>
      </c>
      <c r="K7" s="1049" t="s">
        <v>4864</v>
      </c>
      <c r="L7" s="1169">
        <v>41883</v>
      </c>
      <c r="M7" s="1169">
        <v>42004</v>
      </c>
      <c r="N7" s="1169">
        <v>42094</v>
      </c>
      <c r="O7" s="1169">
        <v>42216</v>
      </c>
      <c r="P7" s="1169">
        <v>42308</v>
      </c>
      <c r="Q7" s="1169">
        <v>42338</v>
      </c>
      <c r="R7" s="1169">
        <v>42400</v>
      </c>
      <c r="S7" s="1169">
        <v>42460</v>
      </c>
      <c r="T7" s="1169">
        <v>42551</v>
      </c>
      <c r="U7" s="1169">
        <v>42582</v>
      </c>
      <c r="V7" s="1169">
        <v>42613</v>
      </c>
      <c r="W7" s="1169"/>
      <c r="X7" s="1169"/>
      <c r="Y7" s="1169"/>
      <c r="Z7" s="1169">
        <v>42614</v>
      </c>
      <c r="AA7" s="1169">
        <v>42674</v>
      </c>
      <c r="AB7" s="1169">
        <v>42735</v>
      </c>
      <c r="AC7" s="1169">
        <v>42916</v>
      </c>
      <c r="AD7" s="1169">
        <v>42978</v>
      </c>
      <c r="AE7" s="1169"/>
      <c r="AF7" s="1169"/>
      <c r="AG7" s="1169"/>
      <c r="AH7" s="1169"/>
      <c r="AI7" s="1169">
        <v>42979</v>
      </c>
      <c r="AJ7" s="1169">
        <v>43008</v>
      </c>
      <c r="AK7" s="1169">
        <v>43009</v>
      </c>
      <c r="AL7" s="1169">
        <v>43100</v>
      </c>
      <c r="AM7" s="1169">
        <v>43281</v>
      </c>
      <c r="AN7" s="1169"/>
      <c r="AO7" s="1169"/>
      <c r="AP7" s="1169"/>
      <c r="AQ7" s="1169"/>
      <c r="AR7" s="1169"/>
      <c r="AS7" s="1169"/>
      <c r="AT7" s="1169"/>
      <c r="AU7" s="1169"/>
      <c r="AV7" s="1169"/>
      <c r="AW7" s="640">
        <f ca="1">SUM(AM7-NOW())</f>
        <v>8.61546296296001</v>
      </c>
      <c r="AX7" s="121" t="str">
        <f ca="1" t="shared" si="1"/>
        <v>WARNING</v>
      </c>
      <c r="AY7" s="1077">
        <v>29025072</v>
      </c>
      <c r="AZ7" s="1077" t="s">
        <v>0</v>
      </c>
      <c r="BA7" s="1078" t="s">
        <v>0</v>
      </c>
      <c r="BB7" s="1085"/>
      <c r="BC7" s="1078"/>
      <c r="BD7" s="1077"/>
      <c r="BE7" s="1077"/>
      <c r="BF7" s="1078"/>
      <c r="BG7" s="1078" t="s">
        <v>0</v>
      </c>
      <c r="BH7" s="1078"/>
      <c r="BI7" s="1049" t="s">
        <v>0</v>
      </c>
      <c r="BJ7" s="1078" t="s">
        <v>0</v>
      </c>
      <c r="BK7" s="1078" t="s">
        <v>48</v>
      </c>
      <c r="BL7" s="1049" t="s">
        <v>4865</v>
      </c>
      <c r="BM7" s="1102" t="s">
        <v>4866</v>
      </c>
      <c r="BN7" s="1103" t="s">
        <v>4867</v>
      </c>
      <c r="BO7" s="1103" t="s">
        <v>4868</v>
      </c>
      <c r="BP7" s="1536" t="s">
        <v>4869</v>
      </c>
      <c r="BQ7" s="1103" t="s">
        <v>4870</v>
      </c>
      <c r="BR7" s="1103">
        <v>0</v>
      </c>
      <c r="BS7" s="1103" t="s">
        <v>4871</v>
      </c>
      <c r="BT7" s="1230" t="s">
        <v>4872</v>
      </c>
      <c r="BU7" s="1187"/>
      <c r="BV7" s="1232" t="s">
        <v>4845</v>
      </c>
      <c r="BW7" s="1233" t="e">
        <v>#N/A</v>
      </c>
      <c r="BX7" s="1234" t="s">
        <v>3479</v>
      </c>
    </row>
    <row r="8" s="1189" customFormat="1" ht="27.75" customHeight="1" spans="2:76">
      <c r="B8" s="1562" t="s">
        <v>78</v>
      </c>
      <c r="C8" s="837" t="s">
        <v>4873</v>
      </c>
      <c r="D8" s="1162" t="s">
        <v>4874</v>
      </c>
      <c r="E8" s="1043" t="s">
        <v>4875</v>
      </c>
      <c r="F8" s="1043" t="s">
        <v>125</v>
      </c>
      <c r="G8" s="1043" t="s">
        <v>44</v>
      </c>
      <c r="H8" s="1043" t="s">
        <v>44</v>
      </c>
      <c r="I8" s="1049" t="s">
        <v>3528</v>
      </c>
      <c r="J8" s="1049"/>
      <c r="K8" s="1049" t="s">
        <v>4876</v>
      </c>
      <c r="L8" s="1169">
        <v>42324</v>
      </c>
      <c r="M8" s="1169">
        <v>42400</v>
      </c>
      <c r="N8" s="1169">
        <v>42460</v>
      </c>
      <c r="O8" s="1169">
        <v>42551</v>
      </c>
      <c r="P8" s="1169">
        <v>42582</v>
      </c>
      <c r="Q8" s="1169">
        <v>42613</v>
      </c>
      <c r="R8" s="1169">
        <v>42674</v>
      </c>
      <c r="S8" s="1169">
        <v>42735</v>
      </c>
      <c r="T8" s="1169">
        <v>42855</v>
      </c>
      <c r="U8" s="1169">
        <v>42916</v>
      </c>
      <c r="V8" s="1169">
        <v>43054</v>
      </c>
      <c r="W8" s="1169"/>
      <c r="X8" s="1169"/>
      <c r="Y8" s="1169"/>
      <c r="Z8" s="1169">
        <v>43055</v>
      </c>
      <c r="AA8" s="1169">
        <v>43100</v>
      </c>
      <c r="AB8" s="1169">
        <v>43190</v>
      </c>
      <c r="AC8" s="1204">
        <v>43281</v>
      </c>
      <c r="AD8" s="1169"/>
      <c r="AE8" s="1169"/>
      <c r="AF8" s="1169"/>
      <c r="AG8" s="1169"/>
      <c r="AH8" s="1169"/>
      <c r="AI8" s="1169"/>
      <c r="AJ8" s="1169"/>
      <c r="AK8" s="1169"/>
      <c r="AL8" s="1169"/>
      <c r="AM8" s="1169"/>
      <c r="AN8" s="1169"/>
      <c r="AO8" s="1169"/>
      <c r="AP8" s="1169"/>
      <c r="AQ8" s="1169"/>
      <c r="AR8" s="1169"/>
      <c r="AS8" s="1169"/>
      <c r="AT8" s="1169"/>
      <c r="AU8" s="1169"/>
      <c r="AV8" s="1169"/>
      <c r="AW8" s="640">
        <f ca="1">SUM(AC8-NOW())</f>
        <v>8.61546296296001</v>
      </c>
      <c r="AX8" s="121" t="str">
        <f ca="1" t="shared" si="1"/>
        <v>WARNING</v>
      </c>
      <c r="AY8" s="1077">
        <v>7707692</v>
      </c>
      <c r="AZ8" s="1077">
        <v>250000</v>
      </c>
      <c r="BA8" s="1078"/>
      <c r="BB8" s="1085"/>
      <c r="BC8" s="1078"/>
      <c r="BD8" s="1077"/>
      <c r="BE8" s="1077"/>
      <c r="BF8" s="1078"/>
      <c r="BG8" s="1078">
        <v>500000</v>
      </c>
      <c r="BH8" s="1078">
        <v>100000</v>
      </c>
      <c r="BI8" s="1049" t="s">
        <v>0</v>
      </c>
      <c r="BJ8" s="1078" t="s">
        <v>48</v>
      </c>
      <c r="BK8" s="1078" t="s">
        <v>48</v>
      </c>
      <c r="BL8" s="1049"/>
      <c r="BM8" s="1102" t="s">
        <v>4877</v>
      </c>
      <c r="BN8" s="1103"/>
      <c r="BO8" s="1103" t="s">
        <v>4878</v>
      </c>
      <c r="BP8" s="1536" t="s">
        <v>4879</v>
      </c>
      <c r="BQ8" s="1103" t="s">
        <v>4880</v>
      </c>
      <c r="BR8" s="1103">
        <v>0</v>
      </c>
      <c r="BS8" s="1103" t="s">
        <v>4881</v>
      </c>
      <c r="BT8" s="1230" t="s">
        <v>4882</v>
      </c>
      <c r="BU8" s="1187"/>
      <c r="BV8" s="1232" t="s">
        <v>4845</v>
      </c>
      <c r="BW8" s="1233" t="s">
        <v>4883</v>
      </c>
      <c r="BX8" s="1234" t="s">
        <v>3479</v>
      </c>
    </row>
    <row r="9" s="1189" customFormat="1" ht="54.75" customHeight="1" spans="2:76">
      <c r="B9" s="1562" t="s">
        <v>92</v>
      </c>
      <c r="C9" s="837" t="s">
        <v>4884</v>
      </c>
      <c r="D9" s="1162" t="s">
        <v>4885</v>
      </c>
      <c r="E9" s="1043" t="s">
        <v>4886</v>
      </c>
      <c r="F9" s="1043" t="s">
        <v>125</v>
      </c>
      <c r="G9" s="1043" t="s">
        <v>60</v>
      </c>
      <c r="H9" s="1043" t="s">
        <v>60</v>
      </c>
      <c r="I9" s="1049" t="s">
        <v>4887</v>
      </c>
      <c r="J9" s="1049" t="s">
        <v>4834</v>
      </c>
      <c r="K9" s="1049" t="s">
        <v>781</v>
      </c>
      <c r="L9" s="1169">
        <v>42282</v>
      </c>
      <c r="M9" s="1169">
        <v>42369</v>
      </c>
      <c r="N9" s="1169">
        <v>42460</v>
      </c>
      <c r="O9" s="1169">
        <v>42551</v>
      </c>
      <c r="P9" s="1169">
        <v>42582</v>
      </c>
      <c r="Q9" s="1169">
        <v>42613</v>
      </c>
      <c r="R9" s="1169">
        <v>42674</v>
      </c>
      <c r="S9" s="1169">
        <v>42735</v>
      </c>
      <c r="T9" s="1169">
        <v>42825</v>
      </c>
      <c r="U9" s="1169">
        <v>42916</v>
      </c>
      <c r="V9" s="1169">
        <v>43008</v>
      </c>
      <c r="W9" s="1169"/>
      <c r="X9" s="1169"/>
      <c r="Y9" s="1169"/>
      <c r="Z9" s="1169">
        <v>43009</v>
      </c>
      <c r="AA9" s="1169">
        <v>43100</v>
      </c>
      <c r="AB9" s="1169">
        <v>43281</v>
      </c>
      <c r="AC9" s="1169"/>
      <c r="AD9" s="1169"/>
      <c r="AE9" s="1169"/>
      <c r="AF9" s="1169"/>
      <c r="AG9" s="1169"/>
      <c r="AH9" s="1169"/>
      <c r="AI9" s="1169"/>
      <c r="AJ9" s="1169"/>
      <c r="AK9" s="1169"/>
      <c r="AL9" s="1169"/>
      <c r="AM9" s="1169"/>
      <c r="AN9" s="1169"/>
      <c r="AO9" s="1169"/>
      <c r="AP9" s="1169"/>
      <c r="AQ9" s="1169"/>
      <c r="AR9" s="1169"/>
      <c r="AS9" s="1169"/>
      <c r="AT9" s="1169"/>
      <c r="AU9" s="1169"/>
      <c r="AV9" s="1169"/>
      <c r="AW9" s="640">
        <f ca="1">SUM(AB9-NOW())</f>
        <v>8.61546296296001</v>
      </c>
      <c r="AX9" s="121" t="str">
        <f ca="1" t="shared" si="1"/>
        <v>WARNING</v>
      </c>
      <c r="AY9" s="1077">
        <f>750000+4600000</f>
        <v>5350000</v>
      </c>
      <c r="AZ9" s="1077">
        <v>200000</v>
      </c>
      <c r="BA9" s="1078"/>
      <c r="BB9" s="1085"/>
      <c r="BC9" s="1078"/>
      <c r="BD9" s="1077"/>
      <c r="BE9" s="1077"/>
      <c r="BF9" s="1078">
        <v>2500000</v>
      </c>
      <c r="BG9" s="1078">
        <v>600000</v>
      </c>
      <c r="BH9" s="1078">
        <v>100000</v>
      </c>
      <c r="BI9" s="1049" t="s">
        <v>0</v>
      </c>
      <c r="BJ9" s="1078" t="s">
        <v>48</v>
      </c>
      <c r="BK9" s="1078" t="s">
        <v>48</v>
      </c>
      <c r="BL9" s="1049" t="s">
        <v>4888</v>
      </c>
      <c r="BM9" s="1102" t="s">
        <v>4889</v>
      </c>
      <c r="BN9" s="1103">
        <v>81322449242</v>
      </c>
      <c r="BO9" s="1103" t="s">
        <v>4890</v>
      </c>
      <c r="BP9" s="1536" t="s">
        <v>4891</v>
      </c>
      <c r="BQ9" s="1103" t="s">
        <v>4892</v>
      </c>
      <c r="BR9" s="1103" t="s">
        <v>2574</v>
      </c>
      <c r="BS9" s="1103" t="s">
        <v>4893</v>
      </c>
      <c r="BT9" s="1230" t="s">
        <v>4894</v>
      </c>
      <c r="BU9" s="1187"/>
      <c r="BV9" s="1232" t="s">
        <v>4845</v>
      </c>
      <c r="BW9" s="1233" t="e">
        <v>#N/A</v>
      </c>
      <c r="BX9" s="1234" t="s">
        <v>3479</v>
      </c>
    </row>
    <row r="10" s="1189" customFormat="1" ht="27.75" customHeight="1" spans="2:76">
      <c r="B10" s="1562" t="s">
        <v>107</v>
      </c>
      <c r="C10" s="837" t="s">
        <v>4895</v>
      </c>
      <c r="D10" s="1162" t="s">
        <v>4896</v>
      </c>
      <c r="E10" s="1043" t="s">
        <v>4897</v>
      </c>
      <c r="F10" s="1043" t="s">
        <v>125</v>
      </c>
      <c r="G10" s="1043" t="s">
        <v>44</v>
      </c>
      <c r="H10" s="1043" t="s">
        <v>44</v>
      </c>
      <c r="I10" s="1049" t="s">
        <v>3528</v>
      </c>
      <c r="J10" s="1049" t="s">
        <v>4834</v>
      </c>
      <c r="K10" s="1049" t="s">
        <v>4898</v>
      </c>
      <c r="L10" s="1169">
        <v>42156</v>
      </c>
      <c r="M10" s="1169">
        <v>42369</v>
      </c>
      <c r="N10" s="1169">
        <v>42551</v>
      </c>
      <c r="O10" s="1169">
        <v>42582</v>
      </c>
      <c r="P10" s="1169">
        <v>42613</v>
      </c>
      <c r="Q10" s="1169">
        <v>42674</v>
      </c>
      <c r="R10" s="1169">
        <v>42735</v>
      </c>
      <c r="S10" s="1169">
        <v>42825</v>
      </c>
      <c r="T10" s="1169">
        <v>42886</v>
      </c>
      <c r="U10" s="1169"/>
      <c r="V10" s="1169"/>
      <c r="W10" s="1169"/>
      <c r="X10" s="1169"/>
      <c r="Y10" s="1169"/>
      <c r="Z10" s="1169">
        <v>42887</v>
      </c>
      <c r="AA10" s="1169">
        <v>42916</v>
      </c>
      <c r="AB10" s="1169">
        <v>43100</v>
      </c>
      <c r="AC10" s="1169">
        <v>43190</v>
      </c>
      <c r="AD10" s="1169">
        <v>43251</v>
      </c>
      <c r="AE10" s="1169"/>
      <c r="AF10" s="1169"/>
      <c r="AG10" s="1169"/>
      <c r="AH10" s="1169"/>
      <c r="AI10" s="1169">
        <v>43252</v>
      </c>
      <c r="AJ10" s="1169">
        <v>43281</v>
      </c>
      <c r="AK10" s="1169"/>
      <c r="AL10" s="1169"/>
      <c r="AM10" s="1169"/>
      <c r="AN10" s="1169"/>
      <c r="AO10" s="1169"/>
      <c r="AP10" s="1169"/>
      <c r="AQ10" s="1169"/>
      <c r="AR10" s="1169"/>
      <c r="AS10" s="1169"/>
      <c r="AT10" s="1169"/>
      <c r="AU10" s="1169"/>
      <c r="AV10" s="1169"/>
      <c r="AW10" s="640">
        <f ca="1" t="shared" si="0"/>
        <v>8.61546296296001</v>
      </c>
      <c r="AX10" s="121" t="str">
        <f ca="1" t="shared" si="1"/>
        <v>WARNING</v>
      </c>
      <c r="AY10" s="1077">
        <v>9000000</v>
      </c>
      <c r="AZ10" s="1077">
        <v>800000</v>
      </c>
      <c r="BA10" s="1078"/>
      <c r="BB10" s="1085"/>
      <c r="BC10" s="1078">
        <v>2000000</v>
      </c>
      <c r="BD10" s="1077"/>
      <c r="BE10" s="1077"/>
      <c r="BF10" s="1078">
        <v>2025000</v>
      </c>
      <c r="BG10" s="1078">
        <v>1000000</v>
      </c>
      <c r="BH10" s="1078">
        <v>700000</v>
      </c>
      <c r="BI10" s="1225">
        <v>1500000</v>
      </c>
      <c r="BJ10" s="1078" t="s">
        <v>48</v>
      </c>
      <c r="BK10" s="1078" t="s">
        <v>48</v>
      </c>
      <c r="BL10" s="1049"/>
      <c r="BM10" s="1102" t="s">
        <v>4899</v>
      </c>
      <c r="BN10" s="1103" t="s">
        <v>4900</v>
      </c>
      <c r="BO10" s="1103" t="s">
        <v>4901</v>
      </c>
      <c r="BP10" s="1536" t="s">
        <v>4902</v>
      </c>
      <c r="BQ10" s="1103" t="s">
        <v>4903</v>
      </c>
      <c r="BR10" s="1103" t="s">
        <v>4904</v>
      </c>
      <c r="BS10" s="1103" t="s">
        <v>4905</v>
      </c>
      <c r="BT10" s="1230" t="s">
        <v>4906</v>
      </c>
      <c r="BU10" s="1187"/>
      <c r="BV10" s="1232" t="s">
        <v>4845</v>
      </c>
      <c r="BW10" s="1233" t="s">
        <v>4907</v>
      </c>
      <c r="BX10" s="1234" t="s">
        <v>3479</v>
      </c>
    </row>
    <row r="11" s="1189" customFormat="1" ht="27.75" customHeight="1" spans="2:76">
      <c r="B11" s="1562" t="s">
        <v>121</v>
      </c>
      <c r="C11" s="837" t="s">
        <v>4908</v>
      </c>
      <c r="D11" s="1162" t="s">
        <v>4909</v>
      </c>
      <c r="E11" s="1043" t="s">
        <v>4910</v>
      </c>
      <c r="F11" s="1043" t="s">
        <v>125</v>
      </c>
      <c r="G11" s="1043" t="s">
        <v>44</v>
      </c>
      <c r="H11" s="1043" t="s">
        <v>44</v>
      </c>
      <c r="I11" s="1049" t="s">
        <v>3528</v>
      </c>
      <c r="J11" s="1049"/>
      <c r="K11" s="1049" t="s">
        <v>4876</v>
      </c>
      <c r="L11" s="1169">
        <v>42324</v>
      </c>
      <c r="M11" s="1169">
        <v>42400</v>
      </c>
      <c r="N11" s="1169">
        <v>42460</v>
      </c>
      <c r="O11" s="1169">
        <v>42551</v>
      </c>
      <c r="P11" s="1169">
        <v>42582</v>
      </c>
      <c r="Q11" s="1169">
        <v>42613</v>
      </c>
      <c r="R11" s="1169">
        <v>42674</v>
      </c>
      <c r="S11" s="1169">
        <v>42735</v>
      </c>
      <c r="T11" s="1169">
        <v>42855</v>
      </c>
      <c r="U11" s="1169">
        <v>42916</v>
      </c>
      <c r="V11" s="1169">
        <v>43054</v>
      </c>
      <c r="W11" s="1169"/>
      <c r="X11" s="1169"/>
      <c r="Y11" s="1169"/>
      <c r="Z11" s="1169">
        <v>43055</v>
      </c>
      <c r="AA11" s="1169">
        <v>43100</v>
      </c>
      <c r="AB11" s="1169">
        <v>43190</v>
      </c>
      <c r="AC11" s="1169">
        <v>43281</v>
      </c>
      <c r="AD11" s="1169"/>
      <c r="AE11" s="1169"/>
      <c r="AF11" s="1169"/>
      <c r="AG11" s="1169"/>
      <c r="AH11" s="1169"/>
      <c r="AI11" s="1169"/>
      <c r="AJ11" s="1169"/>
      <c r="AK11" s="1169"/>
      <c r="AL11" s="1169"/>
      <c r="AM11" s="1169"/>
      <c r="AN11" s="1169"/>
      <c r="AO11" s="1169"/>
      <c r="AP11" s="1169"/>
      <c r="AQ11" s="1169"/>
      <c r="AR11" s="1169"/>
      <c r="AS11" s="1169"/>
      <c r="AT11" s="1169"/>
      <c r="AU11" s="1169"/>
      <c r="AV11" s="1169"/>
      <c r="AW11" s="640">
        <f ca="1">SUM(AC11-NOW())</f>
        <v>8.61546296296001</v>
      </c>
      <c r="AX11" s="121" t="str">
        <f ca="1" t="shared" si="1"/>
        <v>WARNING</v>
      </c>
      <c r="AY11" s="1077">
        <v>6600000</v>
      </c>
      <c r="AZ11" s="1077">
        <v>250000</v>
      </c>
      <c r="BA11" s="1078"/>
      <c r="BB11" s="1085"/>
      <c r="BC11" s="1078"/>
      <c r="BD11" s="1077"/>
      <c r="BE11" s="1077">
        <v>900000</v>
      </c>
      <c r="BF11" s="1078"/>
      <c r="BG11" s="1078">
        <v>500000</v>
      </c>
      <c r="BH11" s="1078">
        <v>250000</v>
      </c>
      <c r="BI11" s="1049" t="s">
        <v>0</v>
      </c>
      <c r="BJ11" s="1078" t="s">
        <v>48</v>
      </c>
      <c r="BK11" s="1078" t="s">
        <v>48</v>
      </c>
      <c r="BL11" s="1049" t="s">
        <v>4911</v>
      </c>
      <c r="BM11" s="1102" t="s">
        <v>4912</v>
      </c>
      <c r="BN11" s="1103"/>
      <c r="BO11" s="1103" t="s">
        <v>4913</v>
      </c>
      <c r="BP11" s="1536" t="s">
        <v>4914</v>
      </c>
      <c r="BQ11" s="1103" t="s">
        <v>4915</v>
      </c>
      <c r="BR11" s="1103">
        <v>13043605669</v>
      </c>
      <c r="BS11" s="1103" t="s">
        <v>4916</v>
      </c>
      <c r="BT11" s="1230" t="s">
        <v>4917</v>
      </c>
      <c r="BU11" s="1187"/>
      <c r="BV11" s="1232" t="s">
        <v>4845</v>
      </c>
      <c r="BW11" s="1233" t="s">
        <v>4918</v>
      </c>
      <c r="BX11" s="1234" t="s">
        <v>3479</v>
      </c>
    </row>
    <row r="12" s="1189" customFormat="1" ht="41.25" customHeight="1" spans="2:76">
      <c r="B12" s="1562" t="s">
        <v>135</v>
      </c>
      <c r="C12" s="837" t="s">
        <v>4919</v>
      </c>
      <c r="D12" s="1162" t="s">
        <v>4920</v>
      </c>
      <c r="E12" s="1043" t="s">
        <v>4921</v>
      </c>
      <c r="F12" s="1043" t="s">
        <v>125</v>
      </c>
      <c r="G12" s="1043" t="s">
        <v>60</v>
      </c>
      <c r="H12" s="1043" t="s">
        <v>60</v>
      </c>
      <c r="I12" s="1049" t="s">
        <v>3528</v>
      </c>
      <c r="J12" s="1049" t="s">
        <v>4834</v>
      </c>
      <c r="K12" s="1049" t="s">
        <v>4922</v>
      </c>
      <c r="L12" s="1169">
        <v>42177</v>
      </c>
      <c r="M12" s="1169">
        <v>42369</v>
      </c>
      <c r="N12" s="1169">
        <v>42460</v>
      </c>
      <c r="O12" s="1169">
        <v>42551</v>
      </c>
      <c r="P12" s="1169">
        <v>42582</v>
      </c>
      <c r="Q12" s="1169">
        <v>42613</v>
      </c>
      <c r="R12" s="1169">
        <v>42674</v>
      </c>
      <c r="S12" s="1169">
        <v>42735</v>
      </c>
      <c r="T12" s="1169">
        <v>42907</v>
      </c>
      <c r="U12" s="1169"/>
      <c r="V12" s="1169"/>
      <c r="W12" s="1169"/>
      <c r="X12" s="1169"/>
      <c r="Y12" s="1169"/>
      <c r="Z12" s="1169">
        <v>42908</v>
      </c>
      <c r="AA12" s="1169">
        <v>42916</v>
      </c>
      <c r="AB12" s="1169">
        <v>43100</v>
      </c>
      <c r="AC12" s="1169">
        <v>43190</v>
      </c>
      <c r="AD12" s="1204">
        <v>43251</v>
      </c>
      <c r="AE12" s="1169"/>
      <c r="AF12" s="1169"/>
      <c r="AG12" s="1169"/>
      <c r="AH12" s="1169"/>
      <c r="AI12" s="1169">
        <v>43252</v>
      </c>
      <c r="AJ12" s="1204">
        <v>43281</v>
      </c>
      <c r="AK12" s="1169"/>
      <c r="AL12" s="1169"/>
      <c r="AM12" s="1169"/>
      <c r="AN12" s="1169"/>
      <c r="AO12" s="1169"/>
      <c r="AP12" s="1169"/>
      <c r="AQ12" s="1169"/>
      <c r="AR12" s="1169"/>
      <c r="AS12" s="1169"/>
      <c r="AT12" s="1169"/>
      <c r="AU12" s="1169"/>
      <c r="AV12" s="1169"/>
      <c r="AW12" s="640">
        <f ca="1">SUM(AJ12-NOW())</f>
        <v>8.61546296296001</v>
      </c>
      <c r="AX12" s="121" t="str">
        <f ca="1" t="shared" si="1"/>
        <v>WARNING</v>
      </c>
      <c r="AY12" s="1222">
        <v>6325000</v>
      </c>
      <c r="AZ12" s="1077">
        <v>250000</v>
      </c>
      <c r="BA12" s="1078"/>
      <c r="BB12" s="1085"/>
      <c r="BC12" s="1078"/>
      <c r="BD12" s="1077"/>
      <c r="BE12" s="1077"/>
      <c r="BF12" s="1078"/>
      <c r="BG12" s="1078">
        <v>500000</v>
      </c>
      <c r="BH12" s="1078">
        <v>200000</v>
      </c>
      <c r="BI12" s="1049" t="s">
        <v>4696</v>
      </c>
      <c r="BJ12" s="1078" t="s">
        <v>48</v>
      </c>
      <c r="BK12" s="1078" t="s">
        <v>48</v>
      </c>
      <c r="BL12" s="1049" t="s">
        <v>4923</v>
      </c>
      <c r="BM12" s="1102" t="s">
        <v>4924</v>
      </c>
      <c r="BN12" s="1103" t="s">
        <v>4925</v>
      </c>
      <c r="BO12" s="1103" t="s">
        <v>4926</v>
      </c>
      <c r="BP12" s="1536" t="s">
        <v>4927</v>
      </c>
      <c r="BQ12" s="1103" t="s">
        <v>4928</v>
      </c>
      <c r="BR12" s="1103" t="s">
        <v>2574</v>
      </c>
      <c r="BS12" s="1103" t="s">
        <v>4929</v>
      </c>
      <c r="BT12" s="1230" t="s">
        <v>4930</v>
      </c>
      <c r="BU12" s="1187"/>
      <c r="BV12" s="1232" t="s">
        <v>4845</v>
      </c>
      <c r="BW12" s="1233" t="s">
        <v>4931</v>
      </c>
      <c r="BX12" s="1234" t="s">
        <v>3479</v>
      </c>
    </row>
    <row r="13" s="1189" customFormat="1" ht="27.75" customHeight="1" spans="2:76">
      <c r="B13" s="1562" t="s">
        <v>146</v>
      </c>
      <c r="C13" s="837" t="s">
        <v>4932</v>
      </c>
      <c r="D13" s="1162" t="s">
        <v>4933</v>
      </c>
      <c r="E13" s="1043">
        <v>27421</v>
      </c>
      <c r="F13" s="1043" t="s">
        <v>125</v>
      </c>
      <c r="G13" s="1043" t="s">
        <v>44</v>
      </c>
      <c r="H13" s="1043" t="s">
        <v>44</v>
      </c>
      <c r="I13" s="1049" t="s">
        <v>3528</v>
      </c>
      <c r="J13" s="1049" t="s">
        <v>4834</v>
      </c>
      <c r="K13" s="1049" t="s">
        <v>4922</v>
      </c>
      <c r="L13" s="1169">
        <v>41593</v>
      </c>
      <c r="M13" s="1169">
        <v>42004</v>
      </c>
      <c r="N13" s="1169">
        <v>42185</v>
      </c>
      <c r="O13" s="1169">
        <v>42369</v>
      </c>
      <c r="P13" s="1169"/>
      <c r="Q13" s="1169"/>
      <c r="R13" s="1169"/>
      <c r="S13" s="1169"/>
      <c r="T13" s="1169"/>
      <c r="U13" s="1169"/>
      <c r="V13" s="1169"/>
      <c r="W13" s="1169"/>
      <c r="X13" s="1169"/>
      <c r="Y13" s="1169"/>
      <c r="Z13" s="1169">
        <v>42370</v>
      </c>
      <c r="AA13" s="1169">
        <v>42551</v>
      </c>
      <c r="AB13" s="1169">
        <v>42613</v>
      </c>
      <c r="AC13" s="1169">
        <v>42735</v>
      </c>
      <c r="AD13" s="1169">
        <v>42688</v>
      </c>
      <c r="AE13" s="1169"/>
      <c r="AF13" s="1169"/>
      <c r="AG13" s="1169"/>
      <c r="AH13" s="1169"/>
      <c r="AI13" s="1169">
        <v>42689</v>
      </c>
      <c r="AJ13" s="1169">
        <v>42718</v>
      </c>
      <c r="AK13" s="1169">
        <v>42719</v>
      </c>
      <c r="AL13" s="1169">
        <v>42916</v>
      </c>
      <c r="AM13" s="1169">
        <v>43100</v>
      </c>
      <c r="AN13" s="1169">
        <v>43281</v>
      </c>
      <c r="AO13" s="1204" t="s">
        <v>604</v>
      </c>
      <c r="AP13" s="1169"/>
      <c r="AQ13" s="1169"/>
      <c r="AR13" s="1169"/>
      <c r="AS13" s="1169"/>
      <c r="AT13" s="1169"/>
      <c r="AU13" s="1169"/>
      <c r="AV13" s="1169"/>
      <c r="AW13" s="640">
        <f ca="1">SUM(AN13-NOW())</f>
        <v>8.61546296296001</v>
      </c>
      <c r="AX13" s="121" t="str">
        <f ca="1" t="shared" si="1"/>
        <v>WARNING</v>
      </c>
      <c r="AY13" s="1222">
        <v>7000000</v>
      </c>
      <c r="AZ13" s="1077">
        <v>150000</v>
      </c>
      <c r="BA13" s="1078"/>
      <c r="BB13" s="1085"/>
      <c r="BC13" s="1078"/>
      <c r="BD13" s="1077"/>
      <c r="BE13" s="1077"/>
      <c r="BF13" s="1078"/>
      <c r="BG13" s="1078"/>
      <c r="BH13" s="1078"/>
      <c r="BI13" s="1049" t="s">
        <v>4670</v>
      </c>
      <c r="BJ13" s="1078" t="s">
        <v>48</v>
      </c>
      <c r="BK13" s="1078" t="s">
        <v>48</v>
      </c>
      <c r="BL13" s="1226" t="s">
        <v>4934</v>
      </c>
      <c r="BM13" s="1102" t="s">
        <v>4935</v>
      </c>
      <c r="BN13" s="1103" t="s">
        <v>4936</v>
      </c>
      <c r="BO13" s="1103" t="s">
        <v>4937</v>
      </c>
      <c r="BP13" s="1103"/>
      <c r="BQ13" s="1103" t="s">
        <v>4938</v>
      </c>
      <c r="BR13" s="1103"/>
      <c r="BS13" s="1103">
        <v>0</v>
      </c>
      <c r="BT13" s="1230" t="s">
        <v>4939</v>
      </c>
      <c r="BU13" s="1187"/>
      <c r="BV13" s="1232" t="s">
        <v>4845</v>
      </c>
      <c r="BW13" s="1233" t="s">
        <v>4940</v>
      </c>
      <c r="BX13" s="1234" t="s">
        <v>3479</v>
      </c>
    </row>
    <row r="14" s="1189" customFormat="1" ht="41.25" customHeight="1" spans="2:76">
      <c r="B14" s="1562" t="s">
        <v>157</v>
      </c>
      <c r="C14" s="837" t="s">
        <v>4941</v>
      </c>
      <c r="D14" s="1162" t="s">
        <v>4942</v>
      </c>
      <c r="E14" s="1043" t="s">
        <v>4943</v>
      </c>
      <c r="F14" s="1043" t="s">
        <v>43</v>
      </c>
      <c r="G14" s="1043" t="s">
        <v>60</v>
      </c>
      <c r="H14" s="1043" t="s">
        <v>60</v>
      </c>
      <c r="I14" s="1049" t="s">
        <v>3528</v>
      </c>
      <c r="J14" s="1049" t="s">
        <v>4834</v>
      </c>
      <c r="K14" s="1049" t="s">
        <v>4922</v>
      </c>
      <c r="L14" s="1169">
        <v>42156</v>
      </c>
      <c r="M14" s="1169">
        <v>42369</v>
      </c>
      <c r="N14" s="1169">
        <v>42400</v>
      </c>
      <c r="O14" s="1169">
        <v>42460</v>
      </c>
      <c r="P14" s="1169">
        <v>42551</v>
      </c>
      <c r="Q14" s="1169">
        <v>42582</v>
      </c>
      <c r="R14" s="1169">
        <v>42613</v>
      </c>
      <c r="S14" s="1169">
        <v>42674</v>
      </c>
      <c r="T14" s="1169">
        <v>42735</v>
      </c>
      <c r="U14" s="1169">
        <v>42886</v>
      </c>
      <c r="V14" s="1169"/>
      <c r="W14" s="1169"/>
      <c r="X14" s="1169"/>
      <c r="Y14" s="1169"/>
      <c r="Z14" s="1169">
        <v>42887</v>
      </c>
      <c r="AA14" s="1169">
        <v>42916</v>
      </c>
      <c r="AB14" s="1169">
        <v>43100</v>
      </c>
      <c r="AC14" s="1169">
        <v>43190</v>
      </c>
      <c r="AD14" s="1204">
        <v>43251</v>
      </c>
      <c r="AE14" s="1169"/>
      <c r="AF14" s="1169"/>
      <c r="AG14" s="1169"/>
      <c r="AH14" s="1169"/>
      <c r="AI14" s="1169">
        <v>43252</v>
      </c>
      <c r="AJ14" s="1204">
        <v>43281</v>
      </c>
      <c r="AK14" s="1169"/>
      <c r="AL14" s="1169"/>
      <c r="AM14" s="1169"/>
      <c r="AN14" s="1169"/>
      <c r="AO14" s="1169"/>
      <c r="AP14" s="1169"/>
      <c r="AQ14" s="1169"/>
      <c r="AR14" s="1169"/>
      <c r="AS14" s="1169"/>
      <c r="AT14" s="1169"/>
      <c r="AU14" s="1169"/>
      <c r="AV14" s="1169"/>
      <c r="AW14" s="640">
        <f ca="1">SUM(AJ14-NOW())</f>
        <v>8.61546296296001</v>
      </c>
      <c r="AX14" s="121" t="str">
        <f ca="1" t="shared" si="1"/>
        <v>WARNING</v>
      </c>
      <c r="AY14" s="1077">
        <v>8494509</v>
      </c>
      <c r="AZ14" s="1077">
        <v>250000</v>
      </c>
      <c r="BA14" s="1078"/>
      <c r="BB14" s="1085"/>
      <c r="BC14" s="1078">
        <v>500000</v>
      </c>
      <c r="BD14" s="1077"/>
      <c r="BE14" s="1077"/>
      <c r="BF14" s="1078">
        <v>1500000</v>
      </c>
      <c r="BG14" s="1078">
        <v>500000</v>
      </c>
      <c r="BH14" s="1078"/>
      <c r="BI14" s="1049" t="s">
        <v>0</v>
      </c>
      <c r="BJ14" s="1078" t="s">
        <v>48</v>
      </c>
      <c r="BK14" s="1078" t="s">
        <v>48</v>
      </c>
      <c r="BL14" s="1049" t="s">
        <v>4944</v>
      </c>
      <c r="BM14" s="1102" t="s">
        <v>4945</v>
      </c>
      <c r="BN14" s="1103" t="s">
        <v>4946</v>
      </c>
      <c r="BO14" s="1103" t="s">
        <v>4947</v>
      </c>
      <c r="BP14" s="1536" t="s">
        <v>4948</v>
      </c>
      <c r="BQ14" s="1103" t="s">
        <v>4949</v>
      </c>
      <c r="BR14" s="1103" t="s">
        <v>4950</v>
      </c>
      <c r="BS14" s="1103" t="s">
        <v>4951</v>
      </c>
      <c r="BT14" s="1230" t="s">
        <v>4952</v>
      </c>
      <c r="BU14" s="1187"/>
      <c r="BV14" s="1232" t="s">
        <v>4845</v>
      </c>
      <c r="BW14" s="1233" t="s">
        <v>4953</v>
      </c>
      <c r="BX14" s="1234" t="s">
        <v>3479</v>
      </c>
    </row>
    <row r="15" s="1189" customFormat="1" ht="41.25" customHeight="1" spans="2:76">
      <c r="B15" s="1562" t="s">
        <v>168</v>
      </c>
      <c r="C15" s="837" t="s">
        <v>4954</v>
      </c>
      <c r="D15" s="1162" t="s">
        <v>4955</v>
      </c>
      <c r="E15" s="1043" t="s">
        <v>4956</v>
      </c>
      <c r="F15" s="1043" t="s">
        <v>43</v>
      </c>
      <c r="G15" s="1043" t="s">
        <v>254</v>
      </c>
      <c r="H15" s="1043" t="s">
        <v>254</v>
      </c>
      <c r="I15" s="1049" t="s">
        <v>4957</v>
      </c>
      <c r="J15" s="1049" t="s">
        <v>4834</v>
      </c>
      <c r="K15" s="1049" t="s">
        <v>4958</v>
      </c>
      <c r="L15" s="1169">
        <v>42403</v>
      </c>
      <c r="M15" s="1169">
        <v>42460</v>
      </c>
      <c r="N15" s="1169">
        <v>42551</v>
      </c>
      <c r="O15" s="1169">
        <v>42582</v>
      </c>
      <c r="P15" s="1169">
        <v>42613</v>
      </c>
      <c r="Q15" s="1169">
        <v>42674</v>
      </c>
      <c r="R15" s="1169">
        <v>42735</v>
      </c>
      <c r="S15" s="1169">
        <v>42916</v>
      </c>
      <c r="T15" s="1169">
        <v>43100</v>
      </c>
      <c r="U15" s="1169">
        <v>43133</v>
      </c>
      <c r="V15" s="1169"/>
      <c r="W15" s="1169"/>
      <c r="X15" s="1169"/>
      <c r="Y15" s="1169"/>
      <c r="Z15" s="1169">
        <v>43134</v>
      </c>
      <c r="AA15" s="1169">
        <v>43281</v>
      </c>
      <c r="AB15" s="1169"/>
      <c r="AC15" s="1169"/>
      <c r="AD15" s="1169"/>
      <c r="AE15" s="1169"/>
      <c r="AF15" s="1169"/>
      <c r="AG15" s="1169"/>
      <c r="AH15" s="1169"/>
      <c r="AI15" s="1169"/>
      <c r="AJ15" s="1169"/>
      <c r="AK15" s="1169"/>
      <c r="AL15" s="1169"/>
      <c r="AM15" s="1169"/>
      <c r="AN15" s="1169"/>
      <c r="AO15" s="1169"/>
      <c r="AP15" s="1169"/>
      <c r="AQ15" s="1169"/>
      <c r="AR15" s="1169"/>
      <c r="AS15" s="1169"/>
      <c r="AT15" s="1169"/>
      <c r="AU15" s="1169"/>
      <c r="AV15" s="1169"/>
      <c r="AW15" s="640">
        <f ca="1">SUM(AA15-NOW())</f>
        <v>8.61546296296001</v>
      </c>
      <c r="AX15" s="121" t="str">
        <f ca="1" t="shared" si="1"/>
        <v>WARNING</v>
      </c>
      <c r="AY15" s="1077">
        <f>1000000+10500000</f>
        <v>11500000</v>
      </c>
      <c r="AZ15" s="1077">
        <v>500000</v>
      </c>
      <c r="BA15" s="1078"/>
      <c r="BB15" s="1085">
        <v>2500000</v>
      </c>
      <c r="BC15" s="1078"/>
      <c r="BD15" s="1077"/>
      <c r="BE15" s="1077">
        <v>2500000</v>
      </c>
      <c r="BF15" s="1078">
        <v>1500000</v>
      </c>
      <c r="BG15" s="1078">
        <v>500000</v>
      </c>
      <c r="BH15" s="1078"/>
      <c r="BI15" s="1049" t="s">
        <v>0</v>
      </c>
      <c r="BJ15" s="1078" t="s">
        <v>48</v>
      </c>
      <c r="BK15" s="1078" t="s">
        <v>48</v>
      </c>
      <c r="BL15" s="1049" t="s">
        <v>4959</v>
      </c>
      <c r="BM15" s="1102" t="s">
        <v>4960</v>
      </c>
      <c r="BN15" s="1103" t="s">
        <v>4961</v>
      </c>
      <c r="BO15" s="1103" t="s">
        <v>4962</v>
      </c>
      <c r="BP15" s="1536" t="s">
        <v>4963</v>
      </c>
      <c r="BQ15" s="1103" t="s">
        <v>4964</v>
      </c>
      <c r="BR15" s="1103">
        <v>0</v>
      </c>
      <c r="BS15" s="1103" t="s">
        <v>4965</v>
      </c>
      <c r="BT15" s="1230" t="s">
        <v>4966</v>
      </c>
      <c r="BU15" s="1187"/>
      <c r="BV15" s="1232" t="s">
        <v>4845</v>
      </c>
      <c r="BW15" s="1233" t="e">
        <v>#N/A</v>
      </c>
      <c r="BX15" s="1234" t="s">
        <v>3479</v>
      </c>
    </row>
    <row r="16" s="1189" customFormat="1" ht="41.25" customHeight="1" spans="2:76">
      <c r="B16" s="1562" t="s">
        <v>181</v>
      </c>
      <c r="C16" s="837" t="s">
        <v>4967</v>
      </c>
      <c r="D16" s="1162" t="s">
        <v>4968</v>
      </c>
      <c r="E16" s="1043" t="s">
        <v>4969</v>
      </c>
      <c r="F16" s="1043" t="s">
        <v>43</v>
      </c>
      <c r="G16" s="1043" t="s">
        <v>254</v>
      </c>
      <c r="H16" s="1043" t="s">
        <v>254</v>
      </c>
      <c r="I16" s="1049" t="s">
        <v>3089</v>
      </c>
      <c r="J16" s="1049" t="s">
        <v>4970</v>
      </c>
      <c r="K16" s="1049" t="s">
        <v>4971</v>
      </c>
      <c r="L16" s="1169">
        <v>42583</v>
      </c>
      <c r="M16" s="1169">
        <v>42613</v>
      </c>
      <c r="N16" s="1169">
        <v>42674</v>
      </c>
      <c r="O16" s="1169">
        <v>42735</v>
      </c>
      <c r="P16" s="1169">
        <v>42825</v>
      </c>
      <c r="Q16" s="1169">
        <v>42916</v>
      </c>
      <c r="R16" s="1169">
        <v>43100</v>
      </c>
      <c r="S16" s="1169">
        <v>43190</v>
      </c>
      <c r="T16" s="1169">
        <v>43281</v>
      </c>
      <c r="U16" s="1169"/>
      <c r="V16" s="1169"/>
      <c r="W16" s="1169"/>
      <c r="X16" s="1169"/>
      <c r="Y16" s="1169"/>
      <c r="Z16" s="1169"/>
      <c r="AA16" s="1169"/>
      <c r="AB16" s="1169"/>
      <c r="AC16" s="1169"/>
      <c r="AD16" s="1169"/>
      <c r="AE16" s="1169"/>
      <c r="AF16" s="1169"/>
      <c r="AG16" s="1169"/>
      <c r="AH16" s="1169"/>
      <c r="AI16" s="1169"/>
      <c r="AJ16" s="1169"/>
      <c r="AK16" s="1169"/>
      <c r="AL16" s="1169"/>
      <c r="AM16" s="1169"/>
      <c r="AN16" s="1169"/>
      <c r="AO16" s="1169"/>
      <c r="AP16" s="1169"/>
      <c r="AQ16" s="1169"/>
      <c r="AR16" s="1169"/>
      <c r="AS16" s="1169"/>
      <c r="AT16" s="1169"/>
      <c r="AU16" s="1169"/>
      <c r="AV16" s="1169"/>
      <c r="AW16" s="640">
        <f ca="1">SUM(T16-NOW())</f>
        <v>8.61546296296001</v>
      </c>
      <c r="AX16" s="121" t="str">
        <f ca="1" t="shared" si="1"/>
        <v>WARNING</v>
      </c>
      <c r="AY16" s="1077">
        <v>6000000</v>
      </c>
      <c r="AZ16" s="1077">
        <v>500000</v>
      </c>
      <c r="BA16" s="1078"/>
      <c r="BB16" s="1085"/>
      <c r="BC16" s="1078"/>
      <c r="BD16" s="1077"/>
      <c r="BE16" s="1077"/>
      <c r="BF16" s="1078">
        <v>3500000</v>
      </c>
      <c r="BG16" s="1078">
        <v>500000</v>
      </c>
      <c r="BH16" s="1078">
        <v>100000</v>
      </c>
      <c r="BI16" s="1049" t="s">
        <v>112</v>
      </c>
      <c r="BJ16" s="1078" t="s">
        <v>48</v>
      </c>
      <c r="BK16" s="1078" t="s">
        <v>48</v>
      </c>
      <c r="BL16" s="1049" t="s">
        <v>4972</v>
      </c>
      <c r="BM16" s="1102" t="s">
        <v>4973</v>
      </c>
      <c r="BN16" s="1103" t="s">
        <v>4974</v>
      </c>
      <c r="BO16" s="1103" t="s">
        <v>4975</v>
      </c>
      <c r="BP16" s="1536" t="s">
        <v>4976</v>
      </c>
      <c r="BQ16" s="1103" t="s">
        <v>4977</v>
      </c>
      <c r="BR16" s="1103" t="s">
        <v>2574</v>
      </c>
      <c r="BS16" s="1103" t="s">
        <v>4978</v>
      </c>
      <c r="BT16" s="1230" t="s">
        <v>4979</v>
      </c>
      <c r="BU16" s="1187"/>
      <c r="BV16" s="1232" t="s">
        <v>4845</v>
      </c>
      <c r="BW16" s="1233" t="e">
        <v>#N/A</v>
      </c>
      <c r="BX16" s="1234" t="s">
        <v>3479</v>
      </c>
    </row>
    <row r="17" s="1189" customFormat="1" ht="41.25" customHeight="1" spans="2:76">
      <c r="B17" s="1562" t="s">
        <v>194</v>
      </c>
      <c r="C17" s="837" t="s">
        <v>4980</v>
      </c>
      <c r="D17" s="1162" t="s">
        <v>4981</v>
      </c>
      <c r="E17" s="1043" t="s">
        <v>4982</v>
      </c>
      <c r="F17" s="1043" t="s">
        <v>43</v>
      </c>
      <c r="G17" s="1043" t="s">
        <v>254</v>
      </c>
      <c r="H17" s="1043" t="s">
        <v>254</v>
      </c>
      <c r="I17" s="1049" t="s">
        <v>4983</v>
      </c>
      <c r="J17" s="1049" t="s">
        <v>4970</v>
      </c>
      <c r="K17" s="1049" t="s">
        <v>4984</v>
      </c>
      <c r="L17" s="1169">
        <v>42597</v>
      </c>
      <c r="M17" s="1169">
        <v>42628</v>
      </c>
      <c r="N17" s="1169">
        <v>42674</v>
      </c>
      <c r="O17" s="1169">
        <v>42735</v>
      </c>
      <c r="P17" s="1169">
        <v>42794</v>
      </c>
      <c r="Q17" s="1169">
        <v>42916</v>
      </c>
      <c r="R17" s="1169">
        <v>43100</v>
      </c>
      <c r="S17" s="1169">
        <v>43281</v>
      </c>
      <c r="T17" s="1169"/>
      <c r="U17" s="1169"/>
      <c r="V17" s="1169"/>
      <c r="W17" s="1169"/>
      <c r="X17" s="1169"/>
      <c r="Y17" s="1169"/>
      <c r="Z17" s="1169"/>
      <c r="AA17" s="1169"/>
      <c r="AB17" s="1169"/>
      <c r="AC17" s="1169"/>
      <c r="AD17" s="1169"/>
      <c r="AE17" s="1169"/>
      <c r="AF17" s="1169"/>
      <c r="AG17" s="1169"/>
      <c r="AH17" s="1169"/>
      <c r="AI17" s="1169"/>
      <c r="AJ17" s="1169"/>
      <c r="AK17" s="1169"/>
      <c r="AL17" s="1169"/>
      <c r="AM17" s="1169"/>
      <c r="AN17" s="1169"/>
      <c r="AO17" s="1169"/>
      <c r="AP17" s="1169"/>
      <c r="AQ17" s="1169"/>
      <c r="AR17" s="1169"/>
      <c r="AS17" s="1169"/>
      <c r="AT17" s="1169"/>
      <c r="AU17" s="1169"/>
      <c r="AV17" s="1169"/>
      <c r="AW17" s="640">
        <f ca="1">SUM(S17-NOW())</f>
        <v>8.61546296296001</v>
      </c>
      <c r="AX17" s="121" t="str">
        <f ca="1" t="shared" si="1"/>
        <v>WARNING</v>
      </c>
      <c r="AY17" s="1077">
        <f>750000+7000000</f>
        <v>7750000</v>
      </c>
      <c r="AZ17" s="1077">
        <v>550000</v>
      </c>
      <c r="BA17" s="1078"/>
      <c r="BB17" s="1085"/>
      <c r="BC17" s="1078"/>
      <c r="BD17" s="1077"/>
      <c r="BE17" s="1077"/>
      <c r="BF17" s="1078">
        <v>3000000</v>
      </c>
      <c r="BG17" s="1078">
        <v>500000</v>
      </c>
      <c r="BH17" s="1078">
        <v>100000</v>
      </c>
      <c r="BI17" s="1049" t="s">
        <v>112</v>
      </c>
      <c r="BJ17" s="1078" t="s">
        <v>48</v>
      </c>
      <c r="BK17" s="1078" t="s">
        <v>48</v>
      </c>
      <c r="BL17" s="1049" t="s">
        <v>4985</v>
      </c>
      <c r="BM17" s="1102" t="s">
        <v>4986</v>
      </c>
      <c r="BN17" s="1103" t="s">
        <v>4987</v>
      </c>
      <c r="BO17" s="1103" t="s">
        <v>4988</v>
      </c>
      <c r="BP17" s="1536" t="s">
        <v>4989</v>
      </c>
      <c r="BQ17" s="1103" t="s">
        <v>4990</v>
      </c>
      <c r="BR17" s="1103"/>
      <c r="BS17" s="1103" t="s">
        <v>4991</v>
      </c>
      <c r="BT17" s="1230" t="s">
        <v>4992</v>
      </c>
      <c r="BU17" s="1187"/>
      <c r="BV17" s="1232" t="s">
        <v>4845</v>
      </c>
      <c r="BW17" s="1233" t="s">
        <v>4993</v>
      </c>
      <c r="BX17" s="1234" t="s">
        <v>3479</v>
      </c>
    </row>
    <row r="18" s="1189" customFormat="1" ht="27.75" customHeight="1" spans="2:76">
      <c r="B18" s="1562" t="s">
        <v>204</v>
      </c>
      <c r="C18" s="837" t="s">
        <v>4994</v>
      </c>
      <c r="D18" s="1162" t="s">
        <v>4995</v>
      </c>
      <c r="E18" s="1043" t="s">
        <v>4996</v>
      </c>
      <c r="F18" s="1043" t="s">
        <v>43</v>
      </c>
      <c r="G18" s="1043" t="s">
        <v>44</v>
      </c>
      <c r="H18" s="1043" t="s">
        <v>44</v>
      </c>
      <c r="I18" s="1049" t="s">
        <v>4997</v>
      </c>
      <c r="J18" s="1049" t="s">
        <v>4970</v>
      </c>
      <c r="K18" s="1049" t="s">
        <v>4998</v>
      </c>
      <c r="L18" s="1169">
        <v>42626</v>
      </c>
      <c r="M18" s="1169">
        <v>42704</v>
      </c>
      <c r="N18" s="1169">
        <v>42735</v>
      </c>
      <c r="O18" s="1169">
        <v>42794</v>
      </c>
      <c r="P18" s="1169">
        <v>42916</v>
      </c>
      <c r="Q18" s="1169">
        <v>42978</v>
      </c>
      <c r="R18" s="1187">
        <v>43039</v>
      </c>
      <c r="S18" s="1169">
        <v>43100</v>
      </c>
      <c r="T18" s="1169">
        <v>43190</v>
      </c>
      <c r="U18" s="1169">
        <v>43220</v>
      </c>
      <c r="V18" s="1204">
        <v>43251</v>
      </c>
      <c r="W18" s="1204">
        <v>43312</v>
      </c>
      <c r="X18" s="1169"/>
      <c r="Y18" s="1169"/>
      <c r="Z18" s="1169"/>
      <c r="AA18" s="1169"/>
      <c r="AB18" s="1169"/>
      <c r="AC18" s="1169"/>
      <c r="AD18" s="1169"/>
      <c r="AE18" s="1169"/>
      <c r="AF18" s="1169"/>
      <c r="AG18" s="1169"/>
      <c r="AH18" s="1169"/>
      <c r="AI18" s="1169"/>
      <c r="AJ18" s="1169"/>
      <c r="AK18" s="1169"/>
      <c r="AL18" s="1169"/>
      <c r="AM18" s="1169"/>
      <c r="AN18" s="1169"/>
      <c r="AO18" s="1169"/>
      <c r="AP18" s="1169"/>
      <c r="AQ18" s="1169"/>
      <c r="AR18" s="1169"/>
      <c r="AS18" s="1169"/>
      <c r="AT18" s="1169"/>
      <c r="AU18" s="1169"/>
      <c r="AV18" s="1169"/>
      <c r="AW18" s="640">
        <f ca="1">SUM(W18-NOW())</f>
        <v>39.61546296296</v>
      </c>
      <c r="AX18" s="121" t="str">
        <f ca="1" t="shared" si="1"/>
        <v>WARNING</v>
      </c>
      <c r="AY18" s="1077">
        <v>6500000</v>
      </c>
      <c r="AZ18" s="1077">
        <v>500000</v>
      </c>
      <c r="BA18" s="1078"/>
      <c r="BB18" s="1085"/>
      <c r="BC18" s="1078"/>
      <c r="BD18" s="1077"/>
      <c r="BE18" s="1077"/>
      <c r="BF18" s="1078">
        <v>500000</v>
      </c>
      <c r="BG18" s="1078">
        <v>500000</v>
      </c>
      <c r="BH18" s="1078">
        <v>100000</v>
      </c>
      <c r="BI18" s="1049" t="s">
        <v>112</v>
      </c>
      <c r="BJ18" s="1078" t="s">
        <v>48</v>
      </c>
      <c r="BK18" s="1078" t="s">
        <v>48</v>
      </c>
      <c r="BL18" s="1049" t="s">
        <v>4999</v>
      </c>
      <c r="BM18" s="1102" t="s">
        <v>5000</v>
      </c>
      <c r="BN18" s="1103" t="s">
        <v>5001</v>
      </c>
      <c r="BO18" s="1103" t="s">
        <v>5002</v>
      </c>
      <c r="BP18" s="1536" t="s">
        <v>5003</v>
      </c>
      <c r="BQ18" s="1103" t="s">
        <v>5004</v>
      </c>
      <c r="BR18" s="1103"/>
      <c r="BS18" s="1103" t="s">
        <v>5005</v>
      </c>
      <c r="BT18" s="1230" t="s">
        <v>5006</v>
      </c>
      <c r="BU18" s="1187" t="s">
        <v>5007</v>
      </c>
      <c r="BV18" s="1232" t="s">
        <v>5008</v>
      </c>
      <c r="BW18" s="1233" t="e">
        <v>#N/A</v>
      </c>
      <c r="BX18" s="1234" t="s">
        <v>3479</v>
      </c>
    </row>
    <row r="19" s="1189" customFormat="1" ht="27.75" customHeight="1" spans="2:76">
      <c r="B19" s="1562" t="s">
        <v>215</v>
      </c>
      <c r="C19" s="837" t="s">
        <v>5009</v>
      </c>
      <c r="D19" s="1162" t="s">
        <v>5010</v>
      </c>
      <c r="E19" s="1043" t="s">
        <v>5011</v>
      </c>
      <c r="F19" s="1043" t="s">
        <v>43</v>
      </c>
      <c r="G19" s="1043" t="s">
        <v>60</v>
      </c>
      <c r="H19" s="1043" t="s">
        <v>60</v>
      </c>
      <c r="I19" s="1049" t="s">
        <v>3528</v>
      </c>
      <c r="J19" s="1049" t="s">
        <v>4970</v>
      </c>
      <c r="K19" s="1049" t="s">
        <v>5012</v>
      </c>
      <c r="L19" s="1169">
        <v>42648</v>
      </c>
      <c r="M19" s="1169">
        <v>42735</v>
      </c>
      <c r="N19" s="1169">
        <v>42794</v>
      </c>
      <c r="O19" s="1169">
        <v>42916</v>
      </c>
      <c r="P19" s="1169">
        <v>43100</v>
      </c>
      <c r="Q19" s="1169">
        <v>43190</v>
      </c>
      <c r="R19" s="1169">
        <v>43281</v>
      </c>
      <c r="S19" s="1169"/>
      <c r="T19" s="1169"/>
      <c r="U19" s="1169"/>
      <c r="V19" s="1169"/>
      <c r="W19" s="1169"/>
      <c r="X19" s="1169"/>
      <c r="Y19" s="1169"/>
      <c r="Z19" s="1169"/>
      <c r="AA19" s="1169"/>
      <c r="AB19" s="1169"/>
      <c r="AC19" s="1169"/>
      <c r="AD19" s="1169"/>
      <c r="AE19" s="1169"/>
      <c r="AF19" s="1169"/>
      <c r="AG19" s="1169"/>
      <c r="AH19" s="1169"/>
      <c r="AI19" s="1169"/>
      <c r="AJ19" s="1169"/>
      <c r="AK19" s="1169"/>
      <c r="AL19" s="1169"/>
      <c r="AM19" s="1169"/>
      <c r="AN19" s="1169"/>
      <c r="AO19" s="1169"/>
      <c r="AP19" s="1169"/>
      <c r="AQ19" s="1169"/>
      <c r="AR19" s="1169"/>
      <c r="AS19" s="1169"/>
      <c r="AT19" s="1169"/>
      <c r="AU19" s="1169"/>
      <c r="AV19" s="1169"/>
      <c r="AW19" s="640">
        <f ca="1">SUM(R19-NOW())</f>
        <v>8.61546296296001</v>
      </c>
      <c r="AX19" s="121" t="str">
        <f ca="1" t="shared" si="1"/>
        <v>WARNING</v>
      </c>
      <c r="AY19" s="1077">
        <v>15000000</v>
      </c>
      <c r="AZ19" s="1077">
        <v>250000</v>
      </c>
      <c r="BA19" s="1078"/>
      <c r="BB19" s="1085"/>
      <c r="BC19" s="1078"/>
      <c r="BD19" s="1077"/>
      <c r="BE19" s="1077"/>
      <c r="BF19" s="1078"/>
      <c r="BG19" s="1078">
        <v>500000</v>
      </c>
      <c r="BH19" s="1078">
        <v>200000</v>
      </c>
      <c r="BI19" s="1049" t="s">
        <v>112</v>
      </c>
      <c r="BJ19" s="1078" t="s">
        <v>48</v>
      </c>
      <c r="BK19" s="1078" t="s">
        <v>48</v>
      </c>
      <c r="BL19" s="1049"/>
      <c r="BM19" s="1102" t="s">
        <v>5013</v>
      </c>
      <c r="BN19" s="1103" t="s">
        <v>5014</v>
      </c>
      <c r="BO19" s="1103" t="s">
        <v>5015</v>
      </c>
      <c r="BP19" s="1536" t="s">
        <v>5016</v>
      </c>
      <c r="BQ19" s="1103" t="s">
        <v>5017</v>
      </c>
      <c r="BR19" s="1103"/>
      <c r="BS19" s="1103" t="s">
        <v>5018</v>
      </c>
      <c r="BT19" s="1230" t="s">
        <v>5019</v>
      </c>
      <c r="BU19" s="1187"/>
      <c r="BV19" s="1232" t="s">
        <v>4845</v>
      </c>
      <c r="BW19" s="1233" t="s">
        <v>5020</v>
      </c>
      <c r="BX19" s="1234" t="s">
        <v>3479</v>
      </c>
    </row>
    <row r="20" s="1189" customFormat="1" ht="41.25" customHeight="1" spans="2:78">
      <c r="B20" s="1562" t="s">
        <v>229</v>
      </c>
      <c r="C20" s="837" t="s">
        <v>5021</v>
      </c>
      <c r="D20" s="1162" t="s">
        <v>5022</v>
      </c>
      <c r="E20" s="1043">
        <v>29711</v>
      </c>
      <c r="F20" s="1043" t="s">
        <v>43</v>
      </c>
      <c r="G20" s="1043" t="s">
        <v>96</v>
      </c>
      <c r="H20" s="1043" t="s">
        <v>96</v>
      </c>
      <c r="I20" s="1049" t="s">
        <v>3528</v>
      </c>
      <c r="J20" s="1049" t="s">
        <v>4970</v>
      </c>
      <c r="K20" s="1049" t="s">
        <v>5023</v>
      </c>
      <c r="L20" s="1169">
        <v>42671</v>
      </c>
      <c r="M20" s="1169">
        <v>42735</v>
      </c>
      <c r="N20" s="1169">
        <v>42916</v>
      </c>
      <c r="O20" s="1169">
        <v>43100</v>
      </c>
      <c r="P20" s="1169">
        <v>43281</v>
      </c>
      <c r="Q20" s="1169"/>
      <c r="R20" s="1169"/>
      <c r="S20" s="1169"/>
      <c r="T20" s="1169"/>
      <c r="U20" s="1169"/>
      <c r="V20" s="1169"/>
      <c r="W20" s="1169"/>
      <c r="X20" s="1169"/>
      <c r="Y20" s="1169"/>
      <c r="Z20" s="1169"/>
      <c r="AA20" s="1169"/>
      <c r="AB20" s="1169"/>
      <c r="AC20" s="1169"/>
      <c r="AD20" s="1169"/>
      <c r="AE20" s="1169"/>
      <c r="AF20" s="1169"/>
      <c r="AG20" s="1169"/>
      <c r="AH20" s="1169"/>
      <c r="AI20" s="1169"/>
      <c r="AJ20" s="1169"/>
      <c r="AK20" s="1169"/>
      <c r="AL20" s="1169"/>
      <c r="AM20" s="1169"/>
      <c r="AN20" s="1169"/>
      <c r="AO20" s="1169"/>
      <c r="AP20" s="1169"/>
      <c r="AQ20" s="1169"/>
      <c r="AR20" s="1169"/>
      <c r="AS20" s="1169"/>
      <c r="AT20" s="1169"/>
      <c r="AU20" s="1169"/>
      <c r="AV20" s="1169"/>
      <c r="AW20" s="640">
        <f ca="1">SUM(P20-NOW())</f>
        <v>8.61546296296001</v>
      </c>
      <c r="AX20" s="121" t="str">
        <f ca="1" t="shared" si="1"/>
        <v>WARNING</v>
      </c>
      <c r="AY20" s="1077">
        <f>500000+3355750</f>
        <v>3855750</v>
      </c>
      <c r="AZ20" s="1077">
        <v>100000</v>
      </c>
      <c r="BA20" s="1077"/>
      <c r="BB20" s="1077"/>
      <c r="BC20" s="1077"/>
      <c r="BD20" s="1077">
        <v>200000</v>
      </c>
      <c r="BE20" s="1077"/>
      <c r="BF20" s="1077"/>
      <c r="BG20" s="1077"/>
      <c r="BH20" s="1077"/>
      <c r="BI20" s="1077">
        <v>350000</v>
      </c>
      <c r="BJ20" s="1078" t="s">
        <v>48</v>
      </c>
      <c r="BK20" s="1078" t="s">
        <v>48</v>
      </c>
      <c r="BL20" s="1049" t="s">
        <v>5024</v>
      </c>
      <c r="BM20" s="1102" t="s">
        <v>5025</v>
      </c>
      <c r="BN20" s="1103" t="s">
        <v>5026</v>
      </c>
      <c r="BO20" s="1103" t="s">
        <v>5027</v>
      </c>
      <c r="BP20" s="1536" t="s">
        <v>5028</v>
      </c>
      <c r="BQ20" s="1103"/>
      <c r="BR20" s="1103" t="s">
        <v>5029</v>
      </c>
      <c r="BS20" s="1103" t="s">
        <v>5030</v>
      </c>
      <c r="BT20" s="1230" t="s">
        <v>5031</v>
      </c>
      <c r="BU20" s="1187"/>
      <c r="BV20" s="1232" t="s">
        <v>4845</v>
      </c>
      <c r="BW20" s="1233" t="s">
        <v>5032</v>
      </c>
      <c r="BX20" s="1234" t="s">
        <v>3479</v>
      </c>
      <c r="BZ20" s="1238"/>
    </row>
    <row r="21" s="1189" customFormat="1" ht="26.25" customHeight="1" spans="2:76">
      <c r="B21" s="1562" t="s">
        <v>239</v>
      </c>
      <c r="C21" s="837" t="s">
        <v>5033</v>
      </c>
      <c r="D21" s="1162" t="s">
        <v>5034</v>
      </c>
      <c r="E21" s="1043" t="s">
        <v>5035</v>
      </c>
      <c r="F21" s="1043" t="s">
        <v>43</v>
      </c>
      <c r="G21" s="1043" t="s">
        <v>96</v>
      </c>
      <c r="H21" s="1043" t="s">
        <v>96</v>
      </c>
      <c r="I21" s="1049" t="s">
        <v>1300</v>
      </c>
      <c r="J21" s="1049" t="s">
        <v>4970</v>
      </c>
      <c r="K21" s="1049" t="s">
        <v>993</v>
      </c>
      <c r="L21" s="1169">
        <v>42709</v>
      </c>
      <c r="M21" s="1169">
        <v>42766</v>
      </c>
      <c r="N21" s="1169">
        <v>42794</v>
      </c>
      <c r="O21" s="1169">
        <v>42886</v>
      </c>
      <c r="P21" s="1169">
        <v>42916</v>
      </c>
      <c r="Q21" s="1169">
        <v>42977</v>
      </c>
      <c r="R21" s="1187">
        <v>43008</v>
      </c>
      <c r="S21" s="1187">
        <v>43039</v>
      </c>
      <c r="T21" s="1169">
        <v>43100</v>
      </c>
      <c r="U21" s="1169">
        <v>43190</v>
      </c>
      <c r="V21" s="1204">
        <v>43220</v>
      </c>
      <c r="W21" s="1204">
        <v>43251</v>
      </c>
      <c r="X21" s="1204">
        <v>43312</v>
      </c>
      <c r="Y21" s="1169"/>
      <c r="Z21" s="1169"/>
      <c r="AA21" s="1169"/>
      <c r="AB21" s="1169"/>
      <c r="AC21" s="1169"/>
      <c r="AD21" s="1169"/>
      <c r="AE21" s="1169"/>
      <c r="AF21" s="1169"/>
      <c r="AG21" s="1169"/>
      <c r="AH21" s="1169"/>
      <c r="AI21" s="1169"/>
      <c r="AJ21" s="1169"/>
      <c r="AK21" s="1169"/>
      <c r="AL21" s="1169"/>
      <c r="AM21" s="1169"/>
      <c r="AN21" s="1169"/>
      <c r="AO21" s="1169"/>
      <c r="AP21" s="1169"/>
      <c r="AQ21" s="1169"/>
      <c r="AR21" s="1169"/>
      <c r="AS21" s="1169"/>
      <c r="AT21" s="1169"/>
      <c r="AU21" s="1169"/>
      <c r="AV21" s="1169"/>
      <c r="AW21" s="640">
        <f ca="1">SUM(X21-NOW())</f>
        <v>39.61546296296</v>
      </c>
      <c r="AX21" s="121" t="str">
        <f ca="1" t="shared" si="1"/>
        <v>WARNING</v>
      </c>
      <c r="AY21" s="1077">
        <v>7000000</v>
      </c>
      <c r="AZ21" s="1077">
        <v>500000</v>
      </c>
      <c r="BA21" s="1078"/>
      <c r="BB21" s="1085"/>
      <c r="BC21" s="1078">
        <v>2000000</v>
      </c>
      <c r="BD21" s="1077"/>
      <c r="BE21" s="1077"/>
      <c r="BF21" s="1078">
        <v>1000000</v>
      </c>
      <c r="BG21" s="1078"/>
      <c r="BH21" s="1078">
        <v>200000</v>
      </c>
      <c r="BI21" s="1049" t="s">
        <v>0</v>
      </c>
      <c r="BJ21" s="1078" t="s">
        <v>48</v>
      </c>
      <c r="BK21" s="1078" t="s">
        <v>48</v>
      </c>
      <c r="BL21" s="1049"/>
      <c r="BM21" s="1102" t="s">
        <v>5036</v>
      </c>
      <c r="BN21" s="1103" t="s">
        <v>5037</v>
      </c>
      <c r="BO21" s="1103" t="s">
        <v>5038</v>
      </c>
      <c r="BP21" s="1536" t="s">
        <v>5039</v>
      </c>
      <c r="BQ21" s="1103" t="s">
        <v>5040</v>
      </c>
      <c r="BR21" s="1103" t="s">
        <v>5041</v>
      </c>
      <c r="BS21" s="1103"/>
      <c r="BT21" s="128" t="s">
        <v>5042</v>
      </c>
      <c r="BU21" s="1187"/>
      <c r="BV21" s="1232" t="s">
        <v>4860</v>
      </c>
      <c r="BW21" s="1233" t="e">
        <v>#N/A</v>
      </c>
      <c r="BX21" s="1234" t="s">
        <v>3479</v>
      </c>
    </row>
    <row r="22" s="1190" customFormat="1" ht="27.75" customHeight="1" spans="2:76">
      <c r="B22" s="1563" t="s">
        <v>250</v>
      </c>
      <c r="C22" s="838" t="s">
        <v>5043</v>
      </c>
      <c r="D22" s="1199" t="s">
        <v>5044</v>
      </c>
      <c r="E22" s="1044" t="s">
        <v>5045</v>
      </c>
      <c r="F22" s="1044" t="s">
        <v>43</v>
      </c>
      <c r="G22" s="1044" t="s">
        <v>254</v>
      </c>
      <c r="H22" s="1044" t="s">
        <v>254</v>
      </c>
      <c r="I22" s="1051" t="s">
        <v>5046</v>
      </c>
      <c r="J22" s="1051" t="s">
        <v>4970</v>
      </c>
      <c r="K22" s="1051" t="s">
        <v>993</v>
      </c>
      <c r="L22" s="1202">
        <v>42709</v>
      </c>
      <c r="M22" s="1202">
        <v>42766</v>
      </c>
      <c r="N22" s="1202">
        <v>42794</v>
      </c>
      <c r="O22" s="1202">
        <v>42886</v>
      </c>
      <c r="P22" s="1202">
        <v>42916</v>
      </c>
      <c r="Q22" s="1202">
        <v>43008</v>
      </c>
      <c r="R22" s="1205">
        <v>43039</v>
      </c>
      <c r="S22" s="1202">
        <v>43100</v>
      </c>
      <c r="T22" s="1202">
        <v>43159</v>
      </c>
      <c r="U22" s="1202">
        <v>43220</v>
      </c>
      <c r="V22" s="1207">
        <v>43251</v>
      </c>
      <c r="W22" s="1202"/>
      <c r="X22" s="1202"/>
      <c r="Y22" s="1202"/>
      <c r="Z22" s="1202"/>
      <c r="AA22" s="1202"/>
      <c r="AB22" s="1202"/>
      <c r="AC22" s="1202"/>
      <c r="AD22" s="1202"/>
      <c r="AE22" s="1202"/>
      <c r="AF22" s="1202"/>
      <c r="AG22" s="1202"/>
      <c r="AH22" s="1202"/>
      <c r="AI22" s="1202"/>
      <c r="AJ22" s="1202"/>
      <c r="AK22" s="1202"/>
      <c r="AL22" s="1202"/>
      <c r="AM22" s="1202"/>
      <c r="AN22" s="1202"/>
      <c r="AO22" s="1202"/>
      <c r="AP22" s="1202"/>
      <c r="AQ22" s="1202"/>
      <c r="AR22" s="1202"/>
      <c r="AS22" s="1202"/>
      <c r="AT22" s="1202"/>
      <c r="AU22" s="1202"/>
      <c r="AV22" s="1202"/>
      <c r="AW22" s="641">
        <f ca="1">SUM(V22-NOW())</f>
        <v>-21.38453703704</v>
      </c>
      <c r="AX22" s="187" t="str">
        <f ca="1" t="shared" si="1"/>
        <v>WARNING</v>
      </c>
      <c r="AY22" s="1080">
        <v>8000000</v>
      </c>
      <c r="AZ22" s="1080">
        <v>500000</v>
      </c>
      <c r="BA22" s="1081"/>
      <c r="BB22" s="1088"/>
      <c r="BC22" s="1081">
        <v>2800000</v>
      </c>
      <c r="BD22" s="1080"/>
      <c r="BE22" s="1080"/>
      <c r="BF22" s="1081">
        <v>3500000</v>
      </c>
      <c r="BG22" s="1081">
        <v>500000</v>
      </c>
      <c r="BH22" s="1081">
        <v>200000</v>
      </c>
      <c r="BI22" s="1051" t="s">
        <v>112</v>
      </c>
      <c r="BJ22" s="1081" t="s">
        <v>48</v>
      </c>
      <c r="BK22" s="1081" t="s">
        <v>48</v>
      </c>
      <c r="BL22" s="1051" t="s">
        <v>5047</v>
      </c>
      <c r="BM22" s="1104" t="s">
        <v>5048</v>
      </c>
      <c r="BN22" s="1095" t="s">
        <v>5049</v>
      </c>
      <c r="BO22" s="1095" t="s">
        <v>5050</v>
      </c>
      <c r="BP22" s="1545" t="s">
        <v>5051</v>
      </c>
      <c r="BQ22" s="1095" t="s">
        <v>5052</v>
      </c>
      <c r="BR22" s="1095" t="s">
        <v>2574</v>
      </c>
      <c r="BS22" s="1095"/>
      <c r="BT22" s="1126" t="s">
        <v>5053</v>
      </c>
      <c r="BU22" s="1205" t="s">
        <v>4859</v>
      </c>
      <c r="BV22" s="1235" t="s">
        <v>5054</v>
      </c>
      <c r="BW22" s="1233" t="e">
        <v>#N/A</v>
      </c>
      <c r="BX22" s="1236" t="s">
        <v>3479</v>
      </c>
    </row>
    <row r="23" s="1189" customFormat="1" ht="41.25" customHeight="1" spans="2:76">
      <c r="B23" s="1562" t="s">
        <v>261</v>
      </c>
      <c r="C23" s="837" t="s">
        <v>5055</v>
      </c>
      <c r="D23" s="1162" t="s">
        <v>5056</v>
      </c>
      <c r="E23" s="1043" t="s">
        <v>5057</v>
      </c>
      <c r="F23" s="1043" t="s">
        <v>43</v>
      </c>
      <c r="G23" s="1043" t="s">
        <v>880</v>
      </c>
      <c r="H23" s="1043" t="s">
        <v>880</v>
      </c>
      <c r="I23" s="1049" t="s">
        <v>1300</v>
      </c>
      <c r="J23" s="1049" t="s">
        <v>4970</v>
      </c>
      <c r="K23" s="1049" t="s">
        <v>5058</v>
      </c>
      <c r="L23" s="1169">
        <v>42709</v>
      </c>
      <c r="M23" s="1169">
        <v>42766</v>
      </c>
      <c r="N23" s="1169">
        <v>42794</v>
      </c>
      <c r="O23" s="1169">
        <v>42916</v>
      </c>
      <c r="P23" s="1169">
        <v>43100</v>
      </c>
      <c r="Q23" s="1169">
        <v>43281</v>
      </c>
      <c r="R23" s="1169"/>
      <c r="S23" s="1169"/>
      <c r="T23" s="1169"/>
      <c r="U23" s="1169"/>
      <c r="V23" s="1169"/>
      <c r="W23" s="1169"/>
      <c r="X23" s="1169"/>
      <c r="Y23" s="1169"/>
      <c r="Z23" s="1169"/>
      <c r="AA23" s="1169"/>
      <c r="AB23" s="1169"/>
      <c r="AC23" s="1169"/>
      <c r="AD23" s="1169"/>
      <c r="AE23" s="1169"/>
      <c r="AF23" s="1169"/>
      <c r="AG23" s="1169"/>
      <c r="AH23" s="1169"/>
      <c r="AI23" s="1169"/>
      <c r="AJ23" s="1169"/>
      <c r="AK23" s="1169"/>
      <c r="AL23" s="1169"/>
      <c r="AM23" s="1169"/>
      <c r="AN23" s="1169"/>
      <c r="AO23" s="1169"/>
      <c r="AP23" s="1169"/>
      <c r="AQ23" s="1169"/>
      <c r="AR23" s="1169"/>
      <c r="AS23" s="1169"/>
      <c r="AT23" s="1169"/>
      <c r="AU23" s="1169"/>
      <c r="AV23" s="1169"/>
      <c r="AW23" s="640">
        <f ca="1">SUM(Q23-NOW())</f>
        <v>8.61546296296001</v>
      </c>
      <c r="AX23" s="121" t="str">
        <f ca="1" t="shared" si="1"/>
        <v>WARNING</v>
      </c>
      <c r="AY23" s="1077">
        <v>11000000</v>
      </c>
      <c r="AZ23" s="1077">
        <v>1000000</v>
      </c>
      <c r="BA23" s="1078"/>
      <c r="BB23" s="1085">
        <v>4500000</v>
      </c>
      <c r="BC23" s="1078">
        <v>1800000</v>
      </c>
      <c r="BD23" s="1077"/>
      <c r="BE23" s="1077"/>
      <c r="BF23" s="1078"/>
      <c r="BG23" s="1223">
        <v>500000</v>
      </c>
      <c r="BH23" s="1078">
        <v>200000</v>
      </c>
      <c r="BI23" s="1049" t="s">
        <v>0</v>
      </c>
      <c r="BJ23" s="1078" t="s">
        <v>48</v>
      </c>
      <c r="BK23" s="1078" t="s">
        <v>48</v>
      </c>
      <c r="BL23" s="1049" t="s">
        <v>5059</v>
      </c>
      <c r="BM23" s="1102" t="s">
        <v>5060</v>
      </c>
      <c r="BN23" s="1103" t="s">
        <v>5061</v>
      </c>
      <c r="BO23" s="1103" t="s">
        <v>5062</v>
      </c>
      <c r="BP23" s="1536" t="s">
        <v>5063</v>
      </c>
      <c r="BQ23" s="1103" t="s">
        <v>5064</v>
      </c>
      <c r="BR23" s="1103" t="s">
        <v>5065</v>
      </c>
      <c r="BS23" s="1103" t="s">
        <v>5066</v>
      </c>
      <c r="BT23" s="1230" t="s">
        <v>5067</v>
      </c>
      <c r="BU23" s="1187"/>
      <c r="BV23" s="1232" t="s">
        <v>4845</v>
      </c>
      <c r="BW23" s="1233" t="e">
        <v>#N/A</v>
      </c>
      <c r="BX23" s="1234" t="s">
        <v>3479</v>
      </c>
    </row>
    <row r="24" s="1189" customFormat="1" ht="54.75" customHeight="1" spans="2:76">
      <c r="B24" s="1562" t="s">
        <v>272</v>
      </c>
      <c r="C24" s="837" t="s">
        <v>5068</v>
      </c>
      <c r="D24" s="1162" t="s">
        <v>5069</v>
      </c>
      <c r="E24" s="1043" t="s">
        <v>5070</v>
      </c>
      <c r="F24" s="1043" t="s">
        <v>43</v>
      </c>
      <c r="G24" s="1043" t="s">
        <v>254</v>
      </c>
      <c r="H24" s="1043" t="s">
        <v>254</v>
      </c>
      <c r="I24" s="1049" t="s">
        <v>1300</v>
      </c>
      <c r="J24" s="1049" t="s">
        <v>4970</v>
      </c>
      <c r="K24" s="1049" t="s">
        <v>5071</v>
      </c>
      <c r="L24" s="1169">
        <v>42716</v>
      </c>
      <c r="M24" s="1169">
        <v>42805</v>
      </c>
      <c r="N24" s="1169">
        <v>42916</v>
      </c>
      <c r="O24" s="1169">
        <v>43100</v>
      </c>
      <c r="P24" s="1169">
        <v>43281</v>
      </c>
      <c r="Q24" s="1169"/>
      <c r="R24" s="1169"/>
      <c r="S24" s="1169"/>
      <c r="T24" s="1169"/>
      <c r="U24" s="1169"/>
      <c r="V24" s="1169"/>
      <c r="W24" s="1169"/>
      <c r="X24" s="1169"/>
      <c r="Y24" s="1169"/>
      <c r="Z24" s="1169"/>
      <c r="AA24" s="1169"/>
      <c r="AB24" s="1169"/>
      <c r="AC24" s="1169"/>
      <c r="AD24" s="1169"/>
      <c r="AE24" s="1169"/>
      <c r="AF24" s="1169"/>
      <c r="AG24" s="1169"/>
      <c r="AH24" s="1169"/>
      <c r="AI24" s="1169"/>
      <c r="AJ24" s="1169"/>
      <c r="AK24" s="1169"/>
      <c r="AL24" s="1169"/>
      <c r="AM24" s="1169"/>
      <c r="AN24" s="1169"/>
      <c r="AO24" s="1169"/>
      <c r="AP24" s="1169"/>
      <c r="AQ24" s="1169"/>
      <c r="AR24" s="1169"/>
      <c r="AS24" s="1169"/>
      <c r="AT24" s="1169"/>
      <c r="AU24" s="1169"/>
      <c r="AV24" s="1169"/>
      <c r="AW24" s="640">
        <f ca="1">SUM(P24-NOW())</f>
        <v>8.61546296296001</v>
      </c>
      <c r="AX24" s="121" t="str">
        <f ca="1" t="shared" si="1"/>
        <v>WARNING</v>
      </c>
      <c r="AY24" s="1077">
        <v>10000000</v>
      </c>
      <c r="AZ24" s="1077">
        <v>500000</v>
      </c>
      <c r="BA24" s="1078"/>
      <c r="BB24" s="1085">
        <v>2000000</v>
      </c>
      <c r="BC24" s="1078">
        <v>2800000</v>
      </c>
      <c r="BD24" s="1077"/>
      <c r="BE24" s="1077"/>
      <c r="BF24" s="1078">
        <v>1000000</v>
      </c>
      <c r="BG24" s="1078">
        <v>500000</v>
      </c>
      <c r="BH24" s="1078">
        <v>200000</v>
      </c>
      <c r="BI24" s="1049" t="s">
        <v>0</v>
      </c>
      <c r="BJ24" s="1078" t="s">
        <v>48</v>
      </c>
      <c r="BK24" s="1078" t="s">
        <v>48</v>
      </c>
      <c r="BL24" s="1049" t="s">
        <v>5072</v>
      </c>
      <c r="BM24" s="1102" t="s">
        <v>5073</v>
      </c>
      <c r="BN24" s="1103" t="s">
        <v>5074</v>
      </c>
      <c r="BO24" s="1103" t="s">
        <v>5075</v>
      </c>
      <c r="BP24" s="1536" t="s">
        <v>5076</v>
      </c>
      <c r="BQ24" s="1103" t="s">
        <v>5077</v>
      </c>
      <c r="BR24" s="1103" t="s">
        <v>2574</v>
      </c>
      <c r="BS24" s="1103"/>
      <c r="BT24" s="1230" t="s">
        <v>5078</v>
      </c>
      <c r="BU24" s="1187"/>
      <c r="BV24" s="1232" t="s">
        <v>4845</v>
      </c>
      <c r="BW24" s="1233" t="e">
        <v>#N/A</v>
      </c>
      <c r="BX24" s="1234" t="s">
        <v>3479</v>
      </c>
    </row>
    <row r="25" s="1189" customFormat="1" ht="27.75" customHeight="1" spans="2:76">
      <c r="B25" s="1562" t="s">
        <v>286</v>
      </c>
      <c r="C25" s="837" t="s">
        <v>5079</v>
      </c>
      <c r="D25" s="1162" t="s">
        <v>5080</v>
      </c>
      <c r="E25" s="1043" t="s">
        <v>5081</v>
      </c>
      <c r="F25" s="1043" t="s">
        <v>43</v>
      </c>
      <c r="G25" s="1043" t="s">
        <v>254</v>
      </c>
      <c r="H25" s="1043" t="s">
        <v>254</v>
      </c>
      <c r="I25" s="1049" t="s">
        <v>5082</v>
      </c>
      <c r="J25" s="1049" t="s">
        <v>4970</v>
      </c>
      <c r="K25" s="1049" t="s">
        <v>5071</v>
      </c>
      <c r="L25" s="1169">
        <v>42738</v>
      </c>
      <c r="M25" s="1169">
        <v>42825</v>
      </c>
      <c r="N25" s="1169">
        <v>42886</v>
      </c>
      <c r="O25" s="1169">
        <v>42916</v>
      </c>
      <c r="P25" s="1169">
        <v>43100</v>
      </c>
      <c r="Q25" s="1169">
        <v>43281</v>
      </c>
      <c r="R25" s="1204">
        <v>43251</v>
      </c>
      <c r="S25" s="1204">
        <v>43281</v>
      </c>
      <c r="T25" s="1169"/>
      <c r="U25" s="1169"/>
      <c r="V25" s="1169"/>
      <c r="W25" s="1169"/>
      <c r="X25" s="1169"/>
      <c r="Y25" s="1169"/>
      <c r="Z25" s="1169"/>
      <c r="AA25" s="1169"/>
      <c r="AB25" s="1169"/>
      <c r="AC25" s="1169"/>
      <c r="AD25" s="1169"/>
      <c r="AE25" s="1169"/>
      <c r="AF25" s="1169"/>
      <c r="AG25" s="1169"/>
      <c r="AH25" s="1169"/>
      <c r="AI25" s="1169"/>
      <c r="AJ25" s="1169"/>
      <c r="AK25" s="1169"/>
      <c r="AL25" s="1169"/>
      <c r="AM25" s="1169"/>
      <c r="AN25" s="1169"/>
      <c r="AO25" s="1169"/>
      <c r="AP25" s="1169"/>
      <c r="AQ25" s="1169"/>
      <c r="AR25" s="1169"/>
      <c r="AS25" s="1169"/>
      <c r="AT25" s="1169"/>
      <c r="AU25" s="1169"/>
      <c r="AV25" s="1169"/>
      <c r="AW25" s="640">
        <f ca="1">SUM(S25-NOW())</f>
        <v>8.61546296296001</v>
      </c>
      <c r="AX25" s="121" t="str">
        <f ca="1" t="shared" si="1"/>
        <v>WARNING</v>
      </c>
      <c r="AY25" s="1077">
        <v>7000000</v>
      </c>
      <c r="AZ25" s="1077">
        <v>500000</v>
      </c>
      <c r="BA25" s="1078"/>
      <c r="BB25" s="1085">
        <v>2000000</v>
      </c>
      <c r="BC25" s="1078">
        <v>2000000</v>
      </c>
      <c r="BD25" s="1077"/>
      <c r="BE25" s="1077"/>
      <c r="BF25" s="1078">
        <v>1800000</v>
      </c>
      <c r="BG25" s="1078">
        <v>500000</v>
      </c>
      <c r="BH25" s="1078">
        <v>200000</v>
      </c>
      <c r="BI25" s="1049" t="s">
        <v>0</v>
      </c>
      <c r="BJ25" s="1078" t="s">
        <v>48</v>
      </c>
      <c r="BK25" s="1078" t="s">
        <v>48</v>
      </c>
      <c r="BL25" s="1049" t="s">
        <v>5072</v>
      </c>
      <c r="BM25" s="1102" t="s">
        <v>5083</v>
      </c>
      <c r="BN25" s="1103" t="s">
        <v>5084</v>
      </c>
      <c r="BO25" s="1103" t="s">
        <v>5085</v>
      </c>
      <c r="BP25" s="1536" t="s">
        <v>5086</v>
      </c>
      <c r="BQ25" s="1103" t="s">
        <v>5087</v>
      </c>
      <c r="BR25" s="1103"/>
      <c r="BS25" s="1103"/>
      <c r="BT25" s="1230" t="s">
        <v>5088</v>
      </c>
      <c r="BU25" s="1187"/>
      <c r="BV25" s="1232" t="s">
        <v>5089</v>
      </c>
      <c r="BW25" s="1233" t="e">
        <v>#N/A</v>
      </c>
      <c r="BX25" s="1234" t="s">
        <v>3479</v>
      </c>
    </row>
    <row r="26" s="1189" customFormat="1" ht="27.75" customHeight="1" spans="2:76">
      <c r="B26" s="1562" t="s">
        <v>296</v>
      </c>
      <c r="C26" s="837" t="s">
        <v>5090</v>
      </c>
      <c r="D26" s="1162" t="s">
        <v>5091</v>
      </c>
      <c r="E26" s="1043" t="s">
        <v>5092</v>
      </c>
      <c r="F26" s="1043" t="s">
        <v>125</v>
      </c>
      <c r="G26" s="1043" t="s">
        <v>44</v>
      </c>
      <c r="H26" s="1043" t="s">
        <v>44</v>
      </c>
      <c r="I26" s="1049" t="s">
        <v>1300</v>
      </c>
      <c r="J26" s="1049" t="s">
        <v>4970</v>
      </c>
      <c r="K26" s="1049" t="s">
        <v>722</v>
      </c>
      <c r="L26" s="1169">
        <v>42727</v>
      </c>
      <c r="M26" s="1169">
        <v>42816</v>
      </c>
      <c r="N26" s="1169">
        <v>42886</v>
      </c>
      <c r="O26" s="1169">
        <v>42916</v>
      </c>
      <c r="P26" s="1169">
        <v>42978</v>
      </c>
      <c r="Q26" s="1187">
        <v>43008</v>
      </c>
      <c r="R26" s="1187">
        <v>43100</v>
      </c>
      <c r="S26" s="1169">
        <v>43190</v>
      </c>
      <c r="T26" s="1204">
        <v>43220</v>
      </c>
      <c r="U26" s="1204">
        <v>43251</v>
      </c>
      <c r="V26" s="1204">
        <v>43281</v>
      </c>
      <c r="W26" s="1169"/>
      <c r="X26" s="1169"/>
      <c r="Y26" s="1169"/>
      <c r="Z26" s="1169"/>
      <c r="AA26" s="1169"/>
      <c r="AB26" s="1169"/>
      <c r="AC26" s="1169"/>
      <c r="AD26" s="1169"/>
      <c r="AE26" s="1169"/>
      <c r="AF26" s="1169"/>
      <c r="AG26" s="1169"/>
      <c r="AH26" s="1169"/>
      <c r="AI26" s="1169"/>
      <c r="AJ26" s="1169"/>
      <c r="AK26" s="1169"/>
      <c r="AL26" s="1169"/>
      <c r="AM26" s="1169"/>
      <c r="AN26" s="1169"/>
      <c r="AO26" s="1169"/>
      <c r="AP26" s="1169"/>
      <c r="AQ26" s="1169"/>
      <c r="AR26" s="1169"/>
      <c r="AS26" s="1169"/>
      <c r="AT26" s="1169"/>
      <c r="AU26" s="1169"/>
      <c r="AV26" s="1169"/>
      <c r="AW26" s="640">
        <f ca="1">SUM(V26-NOW())</f>
        <v>8.61546296296001</v>
      </c>
      <c r="AX26" s="121" t="str">
        <f ca="1" t="shared" si="1"/>
        <v>WARNING</v>
      </c>
      <c r="AY26" s="1077">
        <v>3500000</v>
      </c>
      <c r="AZ26" s="1077">
        <v>200000</v>
      </c>
      <c r="BA26" s="1078"/>
      <c r="BB26" s="1085"/>
      <c r="BC26" s="1078"/>
      <c r="BD26" s="1077"/>
      <c r="BE26" s="1077"/>
      <c r="BF26" s="1078"/>
      <c r="BG26" s="1078">
        <v>500000</v>
      </c>
      <c r="BH26" s="1078">
        <v>100000</v>
      </c>
      <c r="BI26" s="1049">
        <v>300000</v>
      </c>
      <c r="BJ26" s="1078" t="s">
        <v>48</v>
      </c>
      <c r="BK26" s="1078" t="s">
        <v>48</v>
      </c>
      <c r="BL26" s="1049"/>
      <c r="BM26" s="1102" t="s">
        <v>5093</v>
      </c>
      <c r="BN26" s="1103" t="s">
        <v>5094</v>
      </c>
      <c r="BO26" s="1103" t="s">
        <v>5095</v>
      </c>
      <c r="BP26" s="1536" t="s">
        <v>5096</v>
      </c>
      <c r="BQ26" s="1103" t="s">
        <v>5097</v>
      </c>
      <c r="BR26" s="1103" t="s">
        <v>5098</v>
      </c>
      <c r="BS26" s="1103" t="s">
        <v>5099</v>
      </c>
      <c r="BT26" s="1230" t="s">
        <v>5100</v>
      </c>
      <c r="BU26" s="1187"/>
      <c r="BV26" s="1232" t="s">
        <v>4860</v>
      </c>
      <c r="BW26" s="1233" t="e">
        <v>#N/A</v>
      </c>
      <c r="BX26" s="1234" t="s">
        <v>3479</v>
      </c>
    </row>
    <row r="27" s="1189" customFormat="1" ht="27.75" customHeight="1" spans="2:76">
      <c r="B27" s="1562" t="s">
        <v>308</v>
      </c>
      <c r="C27" s="837" t="s">
        <v>5101</v>
      </c>
      <c r="D27" s="1162" t="s">
        <v>5102</v>
      </c>
      <c r="E27" s="1043" t="s">
        <v>5103</v>
      </c>
      <c r="F27" s="1043" t="s">
        <v>125</v>
      </c>
      <c r="G27" s="1043" t="s">
        <v>404</v>
      </c>
      <c r="H27" s="1043" t="s">
        <v>404</v>
      </c>
      <c r="I27" s="1049" t="s">
        <v>3528</v>
      </c>
      <c r="J27" s="1049" t="s">
        <v>4970</v>
      </c>
      <c r="K27" s="1049" t="s">
        <v>5104</v>
      </c>
      <c r="L27" s="1169">
        <v>42772</v>
      </c>
      <c r="M27" s="1169">
        <v>42855</v>
      </c>
      <c r="N27" s="1169">
        <v>42916</v>
      </c>
      <c r="O27" s="1169">
        <v>43100</v>
      </c>
      <c r="P27" s="1169">
        <v>43190</v>
      </c>
      <c r="Q27" s="1169">
        <v>43281</v>
      </c>
      <c r="R27" s="1169"/>
      <c r="S27" s="1169"/>
      <c r="T27" s="1169"/>
      <c r="U27" s="1169"/>
      <c r="V27" s="1169"/>
      <c r="W27" s="1169"/>
      <c r="X27" s="1169"/>
      <c r="Y27" s="1169"/>
      <c r="Z27" s="1169"/>
      <c r="AA27" s="1169"/>
      <c r="AB27" s="1169"/>
      <c r="AC27" s="1169"/>
      <c r="AD27" s="1169"/>
      <c r="AE27" s="1169"/>
      <c r="AF27" s="1169"/>
      <c r="AG27" s="1169"/>
      <c r="AH27" s="1169"/>
      <c r="AI27" s="1169"/>
      <c r="AJ27" s="1169"/>
      <c r="AK27" s="1169"/>
      <c r="AL27" s="1169"/>
      <c r="AM27" s="1169"/>
      <c r="AN27" s="1169"/>
      <c r="AO27" s="1169"/>
      <c r="AP27" s="1169"/>
      <c r="AQ27" s="1169"/>
      <c r="AR27" s="1169"/>
      <c r="AS27" s="1169"/>
      <c r="AT27" s="1169"/>
      <c r="AU27" s="1169"/>
      <c r="AV27" s="1169"/>
      <c r="AW27" s="640">
        <f ca="1">SUM(Q27-NOW())</f>
        <v>8.61546296296001</v>
      </c>
      <c r="AX27" s="121" t="str">
        <f ca="1" t="shared" si="1"/>
        <v>WARNING</v>
      </c>
      <c r="AY27" s="1077">
        <v>6500000</v>
      </c>
      <c r="AZ27" s="1077">
        <v>500000</v>
      </c>
      <c r="BA27" s="1078"/>
      <c r="BB27" s="1085"/>
      <c r="BC27" s="1078" t="s">
        <v>583</v>
      </c>
      <c r="BD27" s="1077"/>
      <c r="BE27" s="1077"/>
      <c r="BF27" s="1078" t="s">
        <v>583</v>
      </c>
      <c r="BG27" s="1078">
        <v>500000</v>
      </c>
      <c r="BH27" s="1078">
        <v>250000</v>
      </c>
      <c r="BI27" s="1049" t="s">
        <v>0</v>
      </c>
      <c r="BJ27" s="1078" t="s">
        <v>48</v>
      </c>
      <c r="BK27" s="1078" t="s">
        <v>48</v>
      </c>
      <c r="BL27" s="1049" t="s">
        <v>5105</v>
      </c>
      <c r="BM27" s="1102" t="s">
        <v>5106</v>
      </c>
      <c r="BN27" s="1103" t="s">
        <v>5107</v>
      </c>
      <c r="BO27" s="1103" t="s">
        <v>5108</v>
      </c>
      <c r="BP27" s="1536" t="s">
        <v>5109</v>
      </c>
      <c r="BQ27" s="1103" t="s">
        <v>5110</v>
      </c>
      <c r="BR27" s="1103"/>
      <c r="BS27" s="1103"/>
      <c r="BT27" s="1230" t="s">
        <v>5111</v>
      </c>
      <c r="BU27" s="1187"/>
      <c r="BV27" s="1232" t="s">
        <v>4845</v>
      </c>
      <c r="BW27" s="1233" t="s">
        <v>5112</v>
      </c>
      <c r="BX27" s="1234" t="s">
        <v>3479</v>
      </c>
    </row>
    <row r="28" s="1189" customFormat="1" ht="27.75" customHeight="1" spans="2:76">
      <c r="B28" s="1562" t="s">
        <v>320</v>
      </c>
      <c r="C28" s="837" t="s">
        <v>5113</v>
      </c>
      <c r="D28" s="1162" t="s">
        <v>5114</v>
      </c>
      <c r="E28" s="1043" t="s">
        <v>5115</v>
      </c>
      <c r="F28" s="1043" t="s">
        <v>125</v>
      </c>
      <c r="G28" s="1043" t="s">
        <v>44</v>
      </c>
      <c r="H28" s="1043" t="s">
        <v>44</v>
      </c>
      <c r="I28" s="1049" t="s">
        <v>3528</v>
      </c>
      <c r="J28" s="1049" t="s">
        <v>4970</v>
      </c>
      <c r="K28" s="1049" t="s">
        <v>5116</v>
      </c>
      <c r="L28" s="1169">
        <v>42772</v>
      </c>
      <c r="M28" s="1169">
        <v>42916</v>
      </c>
      <c r="N28" s="1169">
        <v>43100</v>
      </c>
      <c r="O28" s="1169">
        <v>43190</v>
      </c>
      <c r="P28" s="1169">
        <v>43281</v>
      </c>
      <c r="Q28" s="1169"/>
      <c r="R28" s="1169"/>
      <c r="S28" s="1169"/>
      <c r="T28" s="1169"/>
      <c r="U28" s="1169"/>
      <c r="V28" s="1169"/>
      <c r="W28" s="1169"/>
      <c r="X28" s="1169"/>
      <c r="Y28" s="1169"/>
      <c r="Z28" s="1169"/>
      <c r="AA28" s="1169"/>
      <c r="AB28" s="1169"/>
      <c r="AC28" s="1169"/>
      <c r="AD28" s="1169"/>
      <c r="AE28" s="1169"/>
      <c r="AF28" s="1169"/>
      <c r="AG28" s="1169"/>
      <c r="AH28" s="1169"/>
      <c r="AI28" s="1169"/>
      <c r="AJ28" s="1169"/>
      <c r="AK28" s="1169"/>
      <c r="AL28" s="1169"/>
      <c r="AM28" s="1169"/>
      <c r="AN28" s="1169"/>
      <c r="AO28" s="1169"/>
      <c r="AP28" s="1169"/>
      <c r="AQ28" s="1169"/>
      <c r="AR28" s="1169"/>
      <c r="AS28" s="1169"/>
      <c r="AT28" s="1169"/>
      <c r="AU28" s="1169"/>
      <c r="AV28" s="1169"/>
      <c r="AW28" s="640">
        <f ca="1">SUM(P28-NOW())</f>
        <v>8.61546296296001</v>
      </c>
      <c r="AX28" s="121" t="str">
        <f ca="1" t="shared" si="1"/>
        <v>WARNING</v>
      </c>
      <c r="AY28" s="1077">
        <f>750000+7500000</f>
        <v>8250000</v>
      </c>
      <c r="AZ28" s="1077">
        <v>500000</v>
      </c>
      <c r="BA28" s="1078"/>
      <c r="BB28" s="1085"/>
      <c r="BC28" s="1078">
        <v>1500000</v>
      </c>
      <c r="BD28" s="1077"/>
      <c r="BE28" s="1077"/>
      <c r="BF28" s="1078">
        <v>1000000</v>
      </c>
      <c r="BG28" s="1078">
        <v>500000</v>
      </c>
      <c r="BH28" s="1078">
        <v>250000</v>
      </c>
      <c r="BI28" s="1049" t="s">
        <v>0</v>
      </c>
      <c r="BJ28" s="1078" t="s">
        <v>48</v>
      </c>
      <c r="BK28" s="1078" t="s">
        <v>48</v>
      </c>
      <c r="BL28" s="1049" t="s">
        <v>5117</v>
      </c>
      <c r="BM28" s="1102" t="s">
        <v>5118</v>
      </c>
      <c r="BN28" s="1103" t="s">
        <v>5119</v>
      </c>
      <c r="BO28" s="1103" t="s">
        <v>5120</v>
      </c>
      <c r="BP28" s="1536" t="s">
        <v>5121</v>
      </c>
      <c r="BQ28" s="1103" t="s">
        <v>5122</v>
      </c>
      <c r="BR28" s="1103" t="s">
        <v>5123</v>
      </c>
      <c r="BS28" s="1103"/>
      <c r="BT28" s="1230" t="s">
        <v>5124</v>
      </c>
      <c r="BU28" s="1187"/>
      <c r="BV28" s="1232" t="s">
        <v>4845</v>
      </c>
      <c r="BW28" s="1233" t="s">
        <v>5125</v>
      </c>
      <c r="BX28" s="1234" t="s">
        <v>3479</v>
      </c>
    </row>
    <row r="29" s="1189" customFormat="1" ht="27.75" customHeight="1" spans="2:76">
      <c r="B29" s="1562" t="s">
        <v>333</v>
      </c>
      <c r="C29" s="837" t="s">
        <v>5126</v>
      </c>
      <c r="D29" s="1162" t="s">
        <v>5127</v>
      </c>
      <c r="E29" s="1043" t="s">
        <v>5128</v>
      </c>
      <c r="F29" s="1043" t="s">
        <v>43</v>
      </c>
      <c r="G29" s="1043" t="s">
        <v>404</v>
      </c>
      <c r="H29" s="1043" t="s">
        <v>404</v>
      </c>
      <c r="I29" s="1049" t="s">
        <v>5129</v>
      </c>
      <c r="J29" s="1049" t="s">
        <v>4970</v>
      </c>
      <c r="K29" s="1049" t="s">
        <v>5130</v>
      </c>
      <c r="L29" s="1169">
        <v>42774</v>
      </c>
      <c r="M29" s="1169">
        <v>42855</v>
      </c>
      <c r="N29" s="1169">
        <v>42916</v>
      </c>
      <c r="O29" s="1169">
        <v>42947</v>
      </c>
      <c r="P29" s="1169">
        <v>43008</v>
      </c>
      <c r="Q29" s="1187">
        <v>43100</v>
      </c>
      <c r="R29" s="1169">
        <v>43190</v>
      </c>
      <c r="S29" s="1204">
        <v>43220</v>
      </c>
      <c r="T29" s="1204">
        <v>43251</v>
      </c>
      <c r="U29" s="1204">
        <v>43312</v>
      </c>
      <c r="V29" s="1169"/>
      <c r="W29" s="1169"/>
      <c r="X29" s="1169"/>
      <c r="Y29" s="1169"/>
      <c r="Z29" s="1169"/>
      <c r="AA29" s="1169"/>
      <c r="AB29" s="1169"/>
      <c r="AC29" s="1169"/>
      <c r="AD29" s="1169"/>
      <c r="AE29" s="1169"/>
      <c r="AF29" s="1169"/>
      <c r="AG29" s="1169"/>
      <c r="AH29" s="1169"/>
      <c r="AI29" s="1169"/>
      <c r="AJ29" s="1169"/>
      <c r="AK29" s="1169"/>
      <c r="AL29" s="1169"/>
      <c r="AM29" s="1169"/>
      <c r="AN29" s="1169"/>
      <c r="AO29" s="1169"/>
      <c r="AP29" s="1169"/>
      <c r="AQ29" s="1169"/>
      <c r="AR29" s="1169"/>
      <c r="AS29" s="1169"/>
      <c r="AT29" s="1169"/>
      <c r="AU29" s="1169"/>
      <c r="AV29" s="1169"/>
      <c r="AW29" s="640">
        <f ca="1">SUM(U29-NOW())</f>
        <v>39.61546296296</v>
      </c>
      <c r="AX29" s="121" t="str">
        <f ca="1" t="shared" si="1"/>
        <v>WARNING</v>
      </c>
      <c r="AY29" s="1077">
        <v>8000000</v>
      </c>
      <c r="AZ29" s="1077">
        <v>1000000</v>
      </c>
      <c r="BA29" s="1078"/>
      <c r="BB29" s="1085"/>
      <c r="BC29" s="1078">
        <v>2500000</v>
      </c>
      <c r="BD29" s="1077"/>
      <c r="BE29" s="1077"/>
      <c r="BF29" s="1078" t="s">
        <v>583</v>
      </c>
      <c r="BG29" s="1078">
        <v>500000</v>
      </c>
      <c r="BH29" s="1078">
        <v>250000</v>
      </c>
      <c r="BI29" s="1049" t="s">
        <v>0</v>
      </c>
      <c r="BJ29" s="1078" t="s">
        <v>48</v>
      </c>
      <c r="BK29" s="1078" t="s">
        <v>48</v>
      </c>
      <c r="BL29" s="1049"/>
      <c r="BM29" s="1102" t="s">
        <v>5131</v>
      </c>
      <c r="BN29" s="1103" t="s">
        <v>5132</v>
      </c>
      <c r="BO29" s="1103" t="s">
        <v>5133</v>
      </c>
      <c r="BP29" s="1536" t="s">
        <v>5134</v>
      </c>
      <c r="BQ29" s="1103">
        <v>0</v>
      </c>
      <c r="BR29" s="1103">
        <v>10031301087</v>
      </c>
      <c r="BS29" s="1103" t="s">
        <v>5135</v>
      </c>
      <c r="BT29" s="1230" t="s">
        <v>5136</v>
      </c>
      <c r="BU29" s="1187"/>
      <c r="BV29" s="1232" t="s">
        <v>4860</v>
      </c>
      <c r="BW29" s="1233" t="e">
        <v>#N/A</v>
      </c>
      <c r="BX29" s="1234" t="s">
        <v>3479</v>
      </c>
    </row>
    <row r="30" s="1189" customFormat="1" ht="54.75" customHeight="1" spans="2:76">
      <c r="B30" s="1562" t="s">
        <v>346</v>
      </c>
      <c r="C30" s="837" t="s">
        <v>5137</v>
      </c>
      <c r="D30" s="1162" t="s">
        <v>5138</v>
      </c>
      <c r="E30" s="1043" t="s">
        <v>5139</v>
      </c>
      <c r="F30" s="1043" t="s">
        <v>43</v>
      </c>
      <c r="G30" s="1043" t="s">
        <v>96</v>
      </c>
      <c r="H30" s="1043" t="s">
        <v>96</v>
      </c>
      <c r="I30" s="1049" t="s">
        <v>3089</v>
      </c>
      <c r="J30" s="1049" t="s">
        <v>4970</v>
      </c>
      <c r="K30" s="1049" t="s">
        <v>5130</v>
      </c>
      <c r="L30" s="1169">
        <v>42779</v>
      </c>
      <c r="M30" s="1169">
        <v>42855</v>
      </c>
      <c r="N30" s="1169">
        <v>42916</v>
      </c>
      <c r="O30" s="1169">
        <v>42978</v>
      </c>
      <c r="P30" s="1187">
        <v>43039</v>
      </c>
      <c r="Q30" s="1169">
        <v>43100</v>
      </c>
      <c r="R30" s="1169">
        <v>43281</v>
      </c>
      <c r="S30" s="1203">
        <v>43190</v>
      </c>
      <c r="T30" s="1204">
        <v>43220</v>
      </c>
      <c r="U30" s="1212">
        <v>43251</v>
      </c>
      <c r="V30" s="1204">
        <v>43312</v>
      </c>
      <c r="W30" s="1169"/>
      <c r="X30" s="1169"/>
      <c r="Y30" s="1169"/>
      <c r="Z30" s="1169"/>
      <c r="AA30" s="1169"/>
      <c r="AB30" s="1169"/>
      <c r="AC30" s="1169"/>
      <c r="AD30" s="1169"/>
      <c r="AE30" s="1169"/>
      <c r="AF30" s="1169"/>
      <c r="AG30" s="1169"/>
      <c r="AH30" s="1169"/>
      <c r="AI30" s="1169"/>
      <c r="AJ30" s="1169"/>
      <c r="AK30" s="1169"/>
      <c r="AL30" s="1169"/>
      <c r="AM30" s="1169"/>
      <c r="AN30" s="1169"/>
      <c r="AO30" s="1169"/>
      <c r="AP30" s="1169"/>
      <c r="AQ30" s="1169"/>
      <c r="AR30" s="1169"/>
      <c r="AS30" s="1169"/>
      <c r="AT30" s="1169"/>
      <c r="AU30" s="1169"/>
      <c r="AV30" s="1169"/>
      <c r="AW30" s="640">
        <f ca="1">SUM(V30-NOW())</f>
        <v>39.61546296296</v>
      </c>
      <c r="AX30" s="121" t="str">
        <f ca="1" t="shared" si="1"/>
        <v>WARNING</v>
      </c>
      <c r="AY30" s="1077">
        <v>7500000</v>
      </c>
      <c r="AZ30" s="1077">
        <v>1000000</v>
      </c>
      <c r="BA30" s="1078"/>
      <c r="BB30" s="1085"/>
      <c r="BC30" s="1078">
        <v>1000000</v>
      </c>
      <c r="BD30" s="1077"/>
      <c r="BE30" s="1077"/>
      <c r="BF30" s="1078" t="s">
        <v>583</v>
      </c>
      <c r="BG30" s="1078">
        <v>500000</v>
      </c>
      <c r="BH30" s="1078">
        <v>250000</v>
      </c>
      <c r="BI30" s="1049" t="s">
        <v>0</v>
      </c>
      <c r="BJ30" s="1078" t="s">
        <v>48</v>
      </c>
      <c r="BK30" s="1078" t="s">
        <v>48</v>
      </c>
      <c r="BL30" s="1049"/>
      <c r="BM30" s="1102" t="s">
        <v>5140</v>
      </c>
      <c r="BN30" s="1103" t="s">
        <v>5141</v>
      </c>
      <c r="BO30" s="1103" t="s">
        <v>5142</v>
      </c>
      <c r="BP30" s="1536" t="s">
        <v>5143</v>
      </c>
      <c r="BQ30" s="1103" t="s">
        <v>5144</v>
      </c>
      <c r="BR30" s="1103"/>
      <c r="BS30" s="1103"/>
      <c r="BT30" s="1230" t="s">
        <v>5145</v>
      </c>
      <c r="BU30" s="1187" t="s">
        <v>5146</v>
      </c>
      <c r="BV30" s="1232" t="s">
        <v>4860</v>
      </c>
      <c r="BW30" s="1233" t="e">
        <v>#N/A</v>
      </c>
      <c r="BX30" s="1234" t="s">
        <v>3479</v>
      </c>
    </row>
    <row r="31" s="1189" customFormat="1" ht="41.25" customHeight="1" spans="2:76">
      <c r="B31" s="1562" t="s">
        <v>357</v>
      </c>
      <c r="C31" s="837" t="s">
        <v>5147</v>
      </c>
      <c r="D31" s="1162" t="s">
        <v>5148</v>
      </c>
      <c r="E31" s="1043" t="s">
        <v>5149</v>
      </c>
      <c r="F31" s="1043" t="s">
        <v>43</v>
      </c>
      <c r="G31" s="1043" t="s">
        <v>254</v>
      </c>
      <c r="H31" s="1043" t="s">
        <v>254</v>
      </c>
      <c r="I31" s="1049" t="s">
        <v>3089</v>
      </c>
      <c r="J31" s="1049" t="s">
        <v>4970</v>
      </c>
      <c r="K31" s="1049" t="s">
        <v>5150</v>
      </c>
      <c r="L31" s="1169">
        <v>42775</v>
      </c>
      <c r="M31" s="1169">
        <v>42916</v>
      </c>
      <c r="N31" s="1169">
        <v>43100</v>
      </c>
      <c r="O31" s="1169">
        <v>43190</v>
      </c>
      <c r="P31" s="1203">
        <v>43281</v>
      </c>
      <c r="Q31" s="1169"/>
      <c r="R31" s="1169"/>
      <c r="S31" s="1169"/>
      <c r="T31" s="1169"/>
      <c r="U31" s="1169"/>
      <c r="V31" s="1169"/>
      <c r="W31" s="1169"/>
      <c r="X31" s="1169"/>
      <c r="Y31" s="1169"/>
      <c r="Z31" s="1169"/>
      <c r="AA31" s="1169"/>
      <c r="AB31" s="1169"/>
      <c r="AC31" s="1169"/>
      <c r="AD31" s="1169"/>
      <c r="AE31" s="1169"/>
      <c r="AF31" s="1169"/>
      <c r="AG31" s="1169"/>
      <c r="AH31" s="1169"/>
      <c r="AI31" s="1169"/>
      <c r="AJ31" s="1169"/>
      <c r="AK31" s="1169"/>
      <c r="AL31" s="1169"/>
      <c r="AM31" s="1169"/>
      <c r="AN31" s="1169"/>
      <c r="AO31" s="1169"/>
      <c r="AP31" s="1169"/>
      <c r="AQ31" s="1169"/>
      <c r="AR31" s="1169"/>
      <c r="AS31" s="1169"/>
      <c r="AT31" s="1169"/>
      <c r="AU31" s="1169"/>
      <c r="AV31" s="1169"/>
      <c r="AW31" s="640">
        <f ca="1">SUM(P31-NOW())</f>
        <v>8.61546296296001</v>
      </c>
      <c r="AX31" s="121" t="str">
        <f ca="1" t="shared" si="1"/>
        <v>WARNING</v>
      </c>
      <c r="AY31" s="1077">
        <v>10000000</v>
      </c>
      <c r="AZ31" s="1077">
        <v>1000000</v>
      </c>
      <c r="BA31" s="1078"/>
      <c r="BB31" s="1085">
        <v>2500000</v>
      </c>
      <c r="BC31" s="1078" t="s">
        <v>583</v>
      </c>
      <c r="BD31" s="1077"/>
      <c r="BE31" s="1077"/>
      <c r="BF31" s="1078" t="s">
        <v>583</v>
      </c>
      <c r="BG31" s="1078">
        <v>500000</v>
      </c>
      <c r="BH31" s="1078">
        <v>250000</v>
      </c>
      <c r="BI31" s="1049" t="s">
        <v>0</v>
      </c>
      <c r="BJ31" s="1078" t="s">
        <v>48</v>
      </c>
      <c r="BK31" s="1078" t="s">
        <v>48</v>
      </c>
      <c r="BL31" s="1049"/>
      <c r="BM31" s="1102" t="s">
        <v>5151</v>
      </c>
      <c r="BN31" s="1103" t="s">
        <v>5152</v>
      </c>
      <c r="BO31" s="1103" t="s">
        <v>5153</v>
      </c>
      <c r="BP31" s="1103"/>
      <c r="BQ31" s="1103" t="s">
        <v>5154</v>
      </c>
      <c r="BR31" s="1103">
        <v>12025948451</v>
      </c>
      <c r="BS31" s="1103" t="s">
        <v>5155</v>
      </c>
      <c r="BT31" s="1230" t="s">
        <v>5156</v>
      </c>
      <c r="BU31" s="1187"/>
      <c r="BV31" s="1232" t="s">
        <v>4845</v>
      </c>
      <c r="BW31" s="1233" t="e">
        <v>#N/A</v>
      </c>
      <c r="BX31" s="1234" t="s">
        <v>3479</v>
      </c>
    </row>
    <row r="32" s="1189" customFormat="1" ht="27.75" customHeight="1" spans="2:76">
      <c r="B32" s="1562" t="s">
        <v>369</v>
      </c>
      <c r="C32" s="837" t="s">
        <v>5157</v>
      </c>
      <c r="D32" s="1162" t="s">
        <v>5158</v>
      </c>
      <c r="E32" s="1043" t="s">
        <v>5159</v>
      </c>
      <c r="F32" s="1043" t="s">
        <v>43</v>
      </c>
      <c r="G32" s="1043" t="s">
        <v>254</v>
      </c>
      <c r="H32" s="1043" t="s">
        <v>254</v>
      </c>
      <c r="I32" s="1049" t="s">
        <v>3089</v>
      </c>
      <c r="J32" s="1049" t="s">
        <v>4970</v>
      </c>
      <c r="K32" s="1049" t="s">
        <v>1069</v>
      </c>
      <c r="L32" s="1169">
        <v>42795</v>
      </c>
      <c r="M32" s="1169">
        <v>42947</v>
      </c>
      <c r="N32" s="1169">
        <v>43100</v>
      </c>
      <c r="O32" s="1169">
        <v>43190</v>
      </c>
      <c r="P32" s="1204">
        <v>43220</v>
      </c>
      <c r="Q32" s="1204">
        <v>43251</v>
      </c>
      <c r="R32" s="1204">
        <v>43373</v>
      </c>
      <c r="S32" s="1169"/>
      <c r="T32" s="1169"/>
      <c r="U32" s="1169"/>
      <c r="V32" s="1169"/>
      <c r="W32" s="1169"/>
      <c r="X32" s="1169"/>
      <c r="Y32" s="1169"/>
      <c r="Z32" s="1169"/>
      <c r="AA32" s="1169"/>
      <c r="AB32" s="1169"/>
      <c r="AC32" s="1169"/>
      <c r="AD32" s="1169"/>
      <c r="AE32" s="1169"/>
      <c r="AF32" s="1169"/>
      <c r="AG32" s="1169"/>
      <c r="AH32" s="1169"/>
      <c r="AI32" s="1169"/>
      <c r="AJ32" s="1169"/>
      <c r="AK32" s="1169"/>
      <c r="AL32" s="1169"/>
      <c r="AM32" s="1169"/>
      <c r="AN32" s="1169"/>
      <c r="AO32" s="1169"/>
      <c r="AP32" s="1169"/>
      <c r="AQ32" s="1169"/>
      <c r="AR32" s="1169"/>
      <c r="AS32" s="1169"/>
      <c r="AT32" s="1169"/>
      <c r="AU32" s="1169"/>
      <c r="AV32" s="1169"/>
      <c r="AW32" s="640">
        <f ca="1">SUM(R32-NOW())</f>
        <v>100.61546296296</v>
      </c>
      <c r="AX32" s="121" t="str">
        <f ca="1" t="shared" si="1"/>
        <v>ACTIVE</v>
      </c>
      <c r="AY32" s="1222">
        <v>21000000</v>
      </c>
      <c r="AZ32" s="1077">
        <v>1000000</v>
      </c>
      <c r="BA32" s="1078"/>
      <c r="BB32" s="1085">
        <v>1750000</v>
      </c>
      <c r="BC32" s="1078">
        <v>1500000</v>
      </c>
      <c r="BD32" s="1077"/>
      <c r="BE32" s="1077"/>
      <c r="BF32" s="1078" t="s">
        <v>583</v>
      </c>
      <c r="BG32" s="1078">
        <v>500000</v>
      </c>
      <c r="BH32" s="1078">
        <v>250000</v>
      </c>
      <c r="BI32" s="1049" t="s">
        <v>0</v>
      </c>
      <c r="BJ32" s="1078" t="s">
        <v>48</v>
      </c>
      <c r="BK32" s="1078" t="s">
        <v>48</v>
      </c>
      <c r="BL32" s="1226" t="s">
        <v>5160</v>
      </c>
      <c r="BM32" s="1102" t="s">
        <v>5161</v>
      </c>
      <c r="BN32" s="1103" t="s">
        <v>5162</v>
      </c>
      <c r="BO32" s="1103" t="s">
        <v>5163</v>
      </c>
      <c r="BP32" s="1536" t="s">
        <v>5164</v>
      </c>
      <c r="BQ32" s="1103" t="s">
        <v>5165</v>
      </c>
      <c r="BR32" s="1103">
        <v>12005444976</v>
      </c>
      <c r="BS32" s="1103" t="s">
        <v>5166</v>
      </c>
      <c r="BT32" s="1230" t="s">
        <v>5167</v>
      </c>
      <c r="BU32" s="1187"/>
      <c r="BV32" s="1232" t="s">
        <v>4860</v>
      </c>
      <c r="BW32" s="1233" t="e">
        <v>#N/A</v>
      </c>
      <c r="BX32" s="1234" t="s">
        <v>3479</v>
      </c>
    </row>
    <row r="33" s="1189" customFormat="1" ht="27.75" customHeight="1" spans="2:76">
      <c r="B33" s="1562" t="s">
        <v>381</v>
      </c>
      <c r="C33" s="837" t="s">
        <v>5168</v>
      </c>
      <c r="D33" s="1162" t="s">
        <v>5169</v>
      </c>
      <c r="E33" s="1043" t="s">
        <v>5170</v>
      </c>
      <c r="F33" s="1043" t="s">
        <v>125</v>
      </c>
      <c r="G33" s="1043" t="s">
        <v>254</v>
      </c>
      <c r="H33" s="1043" t="s">
        <v>254</v>
      </c>
      <c r="I33" s="1049" t="s">
        <v>3528</v>
      </c>
      <c r="J33" s="1049" t="s">
        <v>4970</v>
      </c>
      <c r="K33" s="1049" t="s">
        <v>5171</v>
      </c>
      <c r="L33" s="1169">
        <v>42774</v>
      </c>
      <c r="M33" s="1169">
        <v>42916</v>
      </c>
      <c r="N33" s="1169">
        <v>43008</v>
      </c>
      <c r="O33" s="1187">
        <v>43100</v>
      </c>
      <c r="P33" s="1169">
        <v>43190</v>
      </c>
      <c r="Q33" s="1169">
        <v>43281</v>
      </c>
      <c r="R33" s="1169"/>
      <c r="S33" s="1169"/>
      <c r="T33" s="1169"/>
      <c r="U33" s="1169"/>
      <c r="V33" s="1169"/>
      <c r="W33" s="1169"/>
      <c r="X33" s="1169"/>
      <c r="Y33" s="1169"/>
      <c r="Z33" s="1169"/>
      <c r="AA33" s="1169"/>
      <c r="AB33" s="1169"/>
      <c r="AC33" s="1169"/>
      <c r="AD33" s="1169"/>
      <c r="AE33" s="1169"/>
      <c r="AF33" s="1169"/>
      <c r="AG33" s="1169"/>
      <c r="AH33" s="1169"/>
      <c r="AI33" s="1169"/>
      <c r="AJ33" s="1169"/>
      <c r="AK33" s="1169"/>
      <c r="AL33" s="1169"/>
      <c r="AM33" s="1169"/>
      <c r="AN33" s="1169"/>
      <c r="AO33" s="1169"/>
      <c r="AP33" s="1169"/>
      <c r="AQ33" s="1169"/>
      <c r="AR33" s="1169"/>
      <c r="AS33" s="1169"/>
      <c r="AT33" s="1169"/>
      <c r="AU33" s="1169"/>
      <c r="AV33" s="1169"/>
      <c r="AW33" s="640">
        <f ca="1">SUM(Q33-NOW())</f>
        <v>8.61546296296001</v>
      </c>
      <c r="AX33" s="121" t="str">
        <f ca="1" t="shared" si="1"/>
        <v>WARNING</v>
      </c>
      <c r="AY33" s="1222">
        <v>7500000</v>
      </c>
      <c r="AZ33" s="1077">
        <v>500000</v>
      </c>
      <c r="BA33" s="1078"/>
      <c r="BB33" s="1085"/>
      <c r="BC33" s="1078" t="s">
        <v>583</v>
      </c>
      <c r="BD33" s="1077"/>
      <c r="BE33" s="1077"/>
      <c r="BF33" s="1223">
        <v>1000000</v>
      </c>
      <c r="BG33" s="1078">
        <v>500000</v>
      </c>
      <c r="BH33" s="1078">
        <v>250000</v>
      </c>
      <c r="BI33" s="1225">
        <v>500000</v>
      </c>
      <c r="BJ33" s="1078" t="s">
        <v>48</v>
      </c>
      <c r="BK33" s="1078" t="s">
        <v>48</v>
      </c>
      <c r="BL33" s="1049" t="s">
        <v>5172</v>
      </c>
      <c r="BM33" s="1102" t="s">
        <v>5173</v>
      </c>
      <c r="BN33" s="1103" t="s">
        <v>5174</v>
      </c>
      <c r="BO33" s="1103" t="s">
        <v>5175</v>
      </c>
      <c r="BP33" s="1536" t="s">
        <v>5176</v>
      </c>
      <c r="BQ33" s="1103" t="s">
        <v>5177</v>
      </c>
      <c r="BR33" s="1103" t="s">
        <v>5178</v>
      </c>
      <c r="BS33" s="1103"/>
      <c r="BT33" s="1230" t="s">
        <v>5179</v>
      </c>
      <c r="BU33" s="1187"/>
      <c r="BV33" s="1232" t="s">
        <v>4845</v>
      </c>
      <c r="BW33" s="1233" t="s">
        <v>5180</v>
      </c>
      <c r="BX33" s="1234" t="s">
        <v>3479</v>
      </c>
    </row>
    <row r="34" s="1189" customFormat="1" ht="27.75" customHeight="1" spans="2:78">
      <c r="B34" s="1562" t="s">
        <v>390</v>
      </c>
      <c r="C34" s="837" t="s">
        <v>5181</v>
      </c>
      <c r="D34" s="1162" t="s">
        <v>5182</v>
      </c>
      <c r="E34" s="1043" t="s">
        <v>5183</v>
      </c>
      <c r="F34" s="1043" t="s">
        <v>125</v>
      </c>
      <c r="G34" s="1043" t="s">
        <v>44</v>
      </c>
      <c r="H34" s="1043" t="s">
        <v>44</v>
      </c>
      <c r="I34" s="1049" t="s">
        <v>3528</v>
      </c>
      <c r="J34" s="1049" t="s">
        <v>4970</v>
      </c>
      <c r="K34" s="1049" t="s">
        <v>5184</v>
      </c>
      <c r="L34" s="1169">
        <v>42775</v>
      </c>
      <c r="M34" s="1169">
        <v>42855</v>
      </c>
      <c r="N34" s="1169">
        <v>43039</v>
      </c>
      <c r="O34" s="1169">
        <v>43404</v>
      </c>
      <c r="P34" s="1169"/>
      <c r="Q34" s="1169"/>
      <c r="R34" s="1169"/>
      <c r="S34" s="1169"/>
      <c r="T34" s="1169"/>
      <c r="U34" s="1169"/>
      <c r="V34" s="1169"/>
      <c r="W34" s="1169"/>
      <c r="X34" s="1169"/>
      <c r="Y34" s="1169"/>
      <c r="Z34" s="1169"/>
      <c r="AA34" s="1169"/>
      <c r="AB34" s="1169"/>
      <c r="AC34" s="1169"/>
      <c r="AD34" s="1169"/>
      <c r="AE34" s="1169"/>
      <c r="AF34" s="1169"/>
      <c r="AG34" s="1169"/>
      <c r="AH34" s="1169"/>
      <c r="AI34" s="1169"/>
      <c r="AJ34" s="1169"/>
      <c r="AK34" s="1169"/>
      <c r="AL34" s="1169"/>
      <c r="AM34" s="1169"/>
      <c r="AN34" s="1169"/>
      <c r="AO34" s="1169"/>
      <c r="AP34" s="1169"/>
      <c r="AQ34" s="1169"/>
      <c r="AR34" s="1169"/>
      <c r="AS34" s="1169"/>
      <c r="AT34" s="1169"/>
      <c r="AU34" s="1169"/>
      <c r="AV34" s="1169"/>
      <c r="AW34" s="640">
        <f ca="1">SUM(O34-NOW())</f>
        <v>131.61546296296</v>
      </c>
      <c r="AX34" s="121" t="str">
        <f ca="1" t="shared" si="1"/>
        <v>ACTIVE</v>
      </c>
      <c r="AY34" s="1077">
        <f>750000+4000000</f>
        <v>4750000</v>
      </c>
      <c r="AZ34" s="1077">
        <v>200000</v>
      </c>
      <c r="BA34" s="1078" t="s">
        <v>583</v>
      </c>
      <c r="BB34" s="1085"/>
      <c r="BC34" s="1078" t="s">
        <v>583</v>
      </c>
      <c r="BD34" s="1077"/>
      <c r="BE34" s="1077"/>
      <c r="BF34" s="1078" t="s">
        <v>583</v>
      </c>
      <c r="BG34" s="1078">
        <v>500000</v>
      </c>
      <c r="BH34" s="1078">
        <v>250000</v>
      </c>
      <c r="BI34" s="1049" t="s">
        <v>0</v>
      </c>
      <c r="BJ34" s="1078" t="s">
        <v>48</v>
      </c>
      <c r="BK34" s="1078" t="s">
        <v>48</v>
      </c>
      <c r="BL34" s="1049" t="s">
        <v>5185</v>
      </c>
      <c r="BM34" s="1102" t="s">
        <v>5186</v>
      </c>
      <c r="BN34" s="1103" t="s">
        <v>5187</v>
      </c>
      <c r="BO34" s="1103" t="s">
        <v>5188</v>
      </c>
      <c r="BP34" s="1536" t="s">
        <v>5189</v>
      </c>
      <c r="BQ34" s="1103" t="s">
        <v>5190</v>
      </c>
      <c r="BR34" s="1103"/>
      <c r="BS34" s="1103" t="s">
        <v>5191</v>
      </c>
      <c r="BT34" s="1230" t="s">
        <v>5192</v>
      </c>
      <c r="BU34" s="1187"/>
      <c r="BV34" s="1232" t="s">
        <v>5193</v>
      </c>
      <c r="BW34" s="1233" t="s">
        <v>5192</v>
      </c>
      <c r="BX34" s="1234" t="s">
        <v>3479</v>
      </c>
      <c r="BZ34" s="1238"/>
    </row>
    <row r="35" s="1190" customFormat="1" ht="27.75" customHeight="1" spans="2:76">
      <c r="B35" s="1563" t="s">
        <v>400</v>
      </c>
      <c r="C35" s="838" t="s">
        <v>5194</v>
      </c>
      <c r="D35" s="1199" t="s">
        <v>5195</v>
      </c>
      <c r="E35" s="1044" t="s">
        <v>5196</v>
      </c>
      <c r="F35" s="1044" t="s">
        <v>125</v>
      </c>
      <c r="G35" s="1044" t="s">
        <v>60</v>
      </c>
      <c r="H35" s="1044" t="s">
        <v>60</v>
      </c>
      <c r="I35" s="1051" t="s">
        <v>3089</v>
      </c>
      <c r="J35" s="1051" t="s">
        <v>4970</v>
      </c>
      <c r="K35" s="1051" t="s">
        <v>5197</v>
      </c>
      <c r="L35" s="1202">
        <v>42779</v>
      </c>
      <c r="M35" s="1202">
        <v>42855</v>
      </c>
      <c r="N35" s="1202">
        <v>42916</v>
      </c>
      <c r="O35" s="1202">
        <v>43100</v>
      </c>
      <c r="P35" s="1202">
        <v>43190</v>
      </c>
      <c r="Q35" s="1208">
        <v>43220</v>
      </c>
      <c r="R35" s="1202">
        <v>43281</v>
      </c>
      <c r="S35" s="1209">
        <v>43251</v>
      </c>
      <c r="T35" s="1202"/>
      <c r="U35" s="1202"/>
      <c r="V35" s="1202"/>
      <c r="W35" s="1202"/>
      <c r="X35" s="1202"/>
      <c r="Y35" s="1202"/>
      <c r="Z35" s="1202"/>
      <c r="AA35" s="1202"/>
      <c r="AB35" s="1202"/>
      <c r="AC35" s="1202"/>
      <c r="AD35" s="1202"/>
      <c r="AE35" s="1202"/>
      <c r="AF35" s="1202"/>
      <c r="AG35" s="1202"/>
      <c r="AH35" s="1202"/>
      <c r="AI35" s="1202"/>
      <c r="AJ35" s="1202"/>
      <c r="AK35" s="1202"/>
      <c r="AL35" s="1202"/>
      <c r="AM35" s="1202"/>
      <c r="AN35" s="1202"/>
      <c r="AO35" s="1202"/>
      <c r="AP35" s="1202"/>
      <c r="AQ35" s="1202"/>
      <c r="AR35" s="1202"/>
      <c r="AS35" s="1202"/>
      <c r="AT35" s="1202"/>
      <c r="AU35" s="1202"/>
      <c r="AV35" s="1202"/>
      <c r="AW35" s="641">
        <f ca="1">SUM(S35-NOW())</f>
        <v>-21.38453703704</v>
      </c>
      <c r="AX35" s="187" t="str">
        <f ca="1" t="shared" si="1"/>
        <v>WARNING</v>
      </c>
      <c r="AY35" s="1080">
        <v>6000000</v>
      </c>
      <c r="AZ35" s="1080">
        <v>250000</v>
      </c>
      <c r="BA35" s="1081" t="s">
        <v>583</v>
      </c>
      <c r="BB35" s="1088"/>
      <c r="BC35" s="1081" t="s">
        <v>583</v>
      </c>
      <c r="BD35" s="1080"/>
      <c r="BE35" s="1080"/>
      <c r="BF35" s="1081" t="s">
        <v>583</v>
      </c>
      <c r="BG35" s="1081">
        <v>500000</v>
      </c>
      <c r="BH35" s="1081">
        <v>150000</v>
      </c>
      <c r="BI35" s="1051" t="s">
        <v>0</v>
      </c>
      <c r="BJ35" s="1081" t="s">
        <v>48</v>
      </c>
      <c r="BK35" s="1081" t="s">
        <v>48</v>
      </c>
      <c r="BL35" s="1051"/>
      <c r="BM35" s="1104" t="s">
        <v>5198</v>
      </c>
      <c r="BN35" s="1095" t="s">
        <v>5199</v>
      </c>
      <c r="BO35" s="1095" t="s">
        <v>5200</v>
      </c>
      <c r="BP35" s="1545" t="s">
        <v>5201</v>
      </c>
      <c r="BQ35" s="1095" t="s">
        <v>5202</v>
      </c>
      <c r="BR35" s="1095"/>
      <c r="BS35" s="1095"/>
      <c r="BT35" s="1126" t="s">
        <v>5203</v>
      </c>
      <c r="BU35" s="1205" t="s">
        <v>4859</v>
      </c>
      <c r="BV35" s="1235" t="s">
        <v>5089</v>
      </c>
      <c r="BW35" s="1233" t="e">
        <v>#N/A</v>
      </c>
      <c r="BX35" s="1236" t="s">
        <v>3479</v>
      </c>
    </row>
    <row r="36" s="1189" customFormat="1" ht="27.75" customHeight="1" spans="2:76">
      <c r="B36" s="1562" t="s">
        <v>411</v>
      </c>
      <c r="C36" s="837" t="s">
        <v>5204</v>
      </c>
      <c r="D36" s="1162" t="s">
        <v>5205</v>
      </c>
      <c r="E36" s="1043" t="s">
        <v>5206</v>
      </c>
      <c r="F36" s="1043" t="s">
        <v>43</v>
      </c>
      <c r="G36" s="1043" t="s">
        <v>60</v>
      </c>
      <c r="H36" s="1043" t="s">
        <v>60</v>
      </c>
      <c r="I36" s="1049" t="s">
        <v>5207</v>
      </c>
      <c r="J36" s="1049" t="s">
        <v>4970</v>
      </c>
      <c r="K36" s="1049" t="s">
        <v>5208</v>
      </c>
      <c r="L36" s="1169">
        <v>42783</v>
      </c>
      <c r="M36" s="1169">
        <v>42855</v>
      </c>
      <c r="N36" s="1169">
        <v>42916</v>
      </c>
      <c r="O36" s="1169">
        <v>43008</v>
      </c>
      <c r="P36" s="1187">
        <v>43039</v>
      </c>
      <c r="Q36" s="1169">
        <v>43100</v>
      </c>
      <c r="R36" s="1169">
        <v>43159</v>
      </c>
      <c r="S36" s="1169">
        <v>43190</v>
      </c>
      <c r="T36" s="1169">
        <v>43220</v>
      </c>
      <c r="U36" s="1169">
        <v>43281</v>
      </c>
      <c r="V36" s="1169"/>
      <c r="W36" s="1169"/>
      <c r="X36" s="1169"/>
      <c r="Y36" s="1169"/>
      <c r="Z36" s="1169"/>
      <c r="AA36" s="1169"/>
      <c r="AB36" s="1169"/>
      <c r="AC36" s="1169"/>
      <c r="AD36" s="1169"/>
      <c r="AE36" s="1169"/>
      <c r="AF36" s="1169"/>
      <c r="AG36" s="1169"/>
      <c r="AH36" s="1169"/>
      <c r="AI36" s="1169"/>
      <c r="AJ36" s="1169"/>
      <c r="AK36" s="1169"/>
      <c r="AL36" s="1169"/>
      <c r="AM36" s="1169"/>
      <c r="AN36" s="1169"/>
      <c r="AO36" s="1169"/>
      <c r="AP36" s="1169"/>
      <c r="AQ36" s="1169"/>
      <c r="AR36" s="1169"/>
      <c r="AS36" s="1169"/>
      <c r="AT36" s="1169"/>
      <c r="AU36" s="1169"/>
      <c r="AV36" s="1169"/>
      <c r="AW36" s="640">
        <f ca="1">SUM(U36-NOW())</f>
        <v>8.61546296296001</v>
      </c>
      <c r="AX36" s="121" t="str">
        <f ca="1" t="shared" si="1"/>
        <v>WARNING</v>
      </c>
      <c r="AY36" s="1077">
        <v>6000000</v>
      </c>
      <c r="AZ36" s="1077">
        <v>500000</v>
      </c>
      <c r="BA36" s="1078" t="s">
        <v>583</v>
      </c>
      <c r="BB36" s="1085"/>
      <c r="BC36" s="1078">
        <v>2500000</v>
      </c>
      <c r="BD36" s="1077"/>
      <c r="BE36" s="1077"/>
      <c r="BF36" s="1078" t="s">
        <v>583</v>
      </c>
      <c r="BG36" s="1078">
        <v>500000</v>
      </c>
      <c r="BH36" s="1078">
        <v>250000</v>
      </c>
      <c r="BI36" s="1049" t="s">
        <v>0</v>
      </c>
      <c r="BJ36" s="1078" t="s">
        <v>48</v>
      </c>
      <c r="BK36" s="1078" t="s">
        <v>48</v>
      </c>
      <c r="BL36" s="1049"/>
      <c r="BM36" s="1102" t="s">
        <v>5209</v>
      </c>
      <c r="BN36" s="1103" t="s">
        <v>5210</v>
      </c>
      <c r="BO36" s="1103" t="s">
        <v>5211</v>
      </c>
      <c r="BP36" s="1536" t="s">
        <v>5212</v>
      </c>
      <c r="BQ36" s="1103" t="s">
        <v>5213</v>
      </c>
      <c r="BR36" s="1103"/>
      <c r="BS36" s="1103" t="s">
        <v>5214</v>
      </c>
      <c r="BT36" s="1230" t="s">
        <v>5215</v>
      </c>
      <c r="BU36" s="1187"/>
      <c r="BV36" s="1232" t="s">
        <v>5216</v>
      </c>
      <c r="BW36" s="1233" t="e">
        <v>#N/A</v>
      </c>
      <c r="BX36" s="1234" t="s">
        <v>3479</v>
      </c>
    </row>
    <row r="37" s="1189" customFormat="1" ht="41.25" customHeight="1" spans="2:76">
      <c r="B37" s="1562" t="s">
        <v>424</v>
      </c>
      <c r="C37" s="837" t="s">
        <v>5217</v>
      </c>
      <c r="D37" s="1162" t="s">
        <v>5218</v>
      </c>
      <c r="E37" s="1043" t="s">
        <v>5219</v>
      </c>
      <c r="F37" s="1043" t="s">
        <v>43</v>
      </c>
      <c r="G37" s="1043" t="s">
        <v>96</v>
      </c>
      <c r="H37" s="1043" t="s">
        <v>96</v>
      </c>
      <c r="I37" s="1049" t="s">
        <v>3904</v>
      </c>
      <c r="J37" s="1049" t="s">
        <v>4970</v>
      </c>
      <c r="K37" s="1049" t="s">
        <v>5130</v>
      </c>
      <c r="L37" s="1169">
        <v>42783</v>
      </c>
      <c r="M37" s="1169">
        <v>42855</v>
      </c>
      <c r="N37" s="1169">
        <v>42916</v>
      </c>
      <c r="O37" s="1169">
        <v>42947</v>
      </c>
      <c r="P37" s="1169">
        <v>42978</v>
      </c>
      <c r="Q37" s="1187">
        <v>43008</v>
      </c>
      <c r="R37" s="1187">
        <v>43069</v>
      </c>
      <c r="S37" s="1169">
        <v>43100</v>
      </c>
      <c r="T37" s="1169">
        <v>43190</v>
      </c>
      <c r="U37" s="1204">
        <v>43220</v>
      </c>
      <c r="V37" s="1204">
        <v>43251</v>
      </c>
      <c r="W37" s="1204">
        <v>43312</v>
      </c>
      <c r="X37" s="1169"/>
      <c r="Y37" s="1169"/>
      <c r="Z37" s="1169"/>
      <c r="AA37" s="1169"/>
      <c r="AB37" s="1169"/>
      <c r="AC37" s="1169"/>
      <c r="AD37" s="1169"/>
      <c r="AE37" s="1169"/>
      <c r="AF37" s="1169"/>
      <c r="AG37" s="1169"/>
      <c r="AH37" s="1169"/>
      <c r="AI37" s="1169"/>
      <c r="AJ37" s="1169"/>
      <c r="AK37" s="1169"/>
      <c r="AL37" s="1169"/>
      <c r="AM37" s="1169"/>
      <c r="AN37" s="1169"/>
      <c r="AO37" s="1169"/>
      <c r="AP37" s="1169"/>
      <c r="AQ37" s="1169"/>
      <c r="AR37" s="1169"/>
      <c r="AS37" s="1169"/>
      <c r="AT37" s="1169"/>
      <c r="AU37" s="1169"/>
      <c r="AV37" s="1169"/>
      <c r="AW37" s="640">
        <f ca="1">SUM(W37-NOW())</f>
        <v>39.61546296296</v>
      </c>
      <c r="AX37" s="121" t="str">
        <f ca="1" t="shared" ref="AX37:AX64" si="2">IF(AW37&lt;=40,"WARNING","ACTIVE")</f>
        <v>WARNING</v>
      </c>
      <c r="AY37" s="1077">
        <v>7000000</v>
      </c>
      <c r="AZ37" s="1077">
        <v>1000000</v>
      </c>
      <c r="BA37" s="1078" t="s">
        <v>583</v>
      </c>
      <c r="BB37" s="1085"/>
      <c r="BC37" s="1078">
        <v>1000000</v>
      </c>
      <c r="BD37" s="1077"/>
      <c r="BE37" s="1077"/>
      <c r="BF37" s="1078" t="s">
        <v>583</v>
      </c>
      <c r="BG37" s="1078">
        <v>500000</v>
      </c>
      <c r="BH37" s="1078">
        <v>250000</v>
      </c>
      <c r="BI37" s="1049" t="s">
        <v>0</v>
      </c>
      <c r="BJ37" s="1078" t="s">
        <v>48</v>
      </c>
      <c r="BK37" s="1078" t="s">
        <v>48</v>
      </c>
      <c r="BL37" s="1049"/>
      <c r="BM37" s="1102" t="s">
        <v>5220</v>
      </c>
      <c r="BN37" s="1103" t="s">
        <v>5221</v>
      </c>
      <c r="BO37" s="1103" t="s">
        <v>5222</v>
      </c>
      <c r="BP37" s="1536" t="s">
        <v>5223</v>
      </c>
      <c r="BQ37" s="1103" t="s">
        <v>5224</v>
      </c>
      <c r="BR37" s="1103"/>
      <c r="BS37" s="1103"/>
      <c r="BT37" s="1230" t="s">
        <v>5225</v>
      </c>
      <c r="BU37" s="1187" t="s">
        <v>5146</v>
      </c>
      <c r="BV37" s="1232" t="s">
        <v>4860</v>
      </c>
      <c r="BW37" s="1233" t="e">
        <v>#N/A</v>
      </c>
      <c r="BX37" s="1234" t="s">
        <v>3479</v>
      </c>
    </row>
    <row r="38" s="1189" customFormat="1" ht="27.75" customHeight="1" spans="2:76">
      <c r="B38" s="1562" t="s">
        <v>438</v>
      </c>
      <c r="C38" s="837" t="s">
        <v>5226</v>
      </c>
      <c r="D38" s="1162" t="s">
        <v>5227</v>
      </c>
      <c r="E38" s="1043" t="s">
        <v>5228</v>
      </c>
      <c r="F38" s="1043" t="s">
        <v>43</v>
      </c>
      <c r="G38" s="1043" t="s">
        <v>254</v>
      </c>
      <c r="H38" s="1043" t="s">
        <v>254</v>
      </c>
      <c r="I38" s="1049" t="s">
        <v>3528</v>
      </c>
      <c r="J38" s="1049" t="s">
        <v>4970</v>
      </c>
      <c r="K38" s="1049" t="s">
        <v>5229</v>
      </c>
      <c r="L38" s="1169">
        <v>42783</v>
      </c>
      <c r="M38" s="1169">
        <v>42871</v>
      </c>
      <c r="N38" s="1169">
        <v>42902</v>
      </c>
      <c r="O38" s="1169">
        <v>42947</v>
      </c>
      <c r="P38" s="1169">
        <v>42978</v>
      </c>
      <c r="Q38" s="1187">
        <v>43039</v>
      </c>
      <c r="R38" s="1187">
        <v>43069</v>
      </c>
      <c r="S38" s="1169">
        <v>43100</v>
      </c>
      <c r="T38" s="1169">
        <v>43131</v>
      </c>
      <c r="U38" s="1169">
        <v>43159</v>
      </c>
      <c r="V38" s="1204">
        <v>43190</v>
      </c>
      <c r="W38" s="1204">
        <v>43220</v>
      </c>
      <c r="X38" s="1204">
        <v>43251</v>
      </c>
      <c r="Y38" s="1204">
        <v>43312</v>
      </c>
      <c r="Z38" s="1169"/>
      <c r="AA38" s="1169"/>
      <c r="AB38" s="1169"/>
      <c r="AC38" s="1169"/>
      <c r="AD38" s="1169"/>
      <c r="AE38" s="1169"/>
      <c r="AF38" s="1169"/>
      <c r="AG38" s="1169"/>
      <c r="AH38" s="1169"/>
      <c r="AI38" s="1169"/>
      <c r="AJ38" s="1169"/>
      <c r="AK38" s="1169"/>
      <c r="AL38" s="1169"/>
      <c r="AM38" s="1169"/>
      <c r="AN38" s="1169"/>
      <c r="AO38" s="1169"/>
      <c r="AP38" s="1169"/>
      <c r="AQ38" s="1169"/>
      <c r="AR38" s="1169"/>
      <c r="AS38" s="1169"/>
      <c r="AT38" s="1169"/>
      <c r="AU38" s="1169"/>
      <c r="AV38" s="1169"/>
      <c r="AW38" s="640">
        <f ca="1">SUM(Y38-NOW())</f>
        <v>39.61546296296</v>
      </c>
      <c r="AX38" s="121" t="str">
        <f ca="1" t="shared" si="2"/>
        <v>WARNING</v>
      </c>
      <c r="AY38" s="1077">
        <v>11500000</v>
      </c>
      <c r="AZ38" s="1077">
        <v>1000000</v>
      </c>
      <c r="BA38" s="1078" t="s">
        <v>583</v>
      </c>
      <c r="BB38" s="1085" t="s">
        <v>583</v>
      </c>
      <c r="BC38" s="1078" t="s">
        <v>583</v>
      </c>
      <c r="BD38" s="1077"/>
      <c r="BE38" s="1077"/>
      <c r="BF38" s="1078" t="s">
        <v>583</v>
      </c>
      <c r="BG38" s="1078">
        <v>500000</v>
      </c>
      <c r="BH38" s="1078">
        <v>250000</v>
      </c>
      <c r="BI38" s="1049" t="s">
        <v>0</v>
      </c>
      <c r="BJ38" s="1078" t="s">
        <v>48</v>
      </c>
      <c r="BK38" s="1078" t="s">
        <v>48</v>
      </c>
      <c r="BL38" s="1049" t="s">
        <v>5230</v>
      </c>
      <c r="BM38" s="1102" t="s">
        <v>5231</v>
      </c>
      <c r="BN38" s="1103" t="s">
        <v>5232</v>
      </c>
      <c r="BO38" s="1103" t="s">
        <v>5233</v>
      </c>
      <c r="BP38" s="1536" t="s">
        <v>5234</v>
      </c>
      <c r="BQ38" s="1103" t="s">
        <v>5235</v>
      </c>
      <c r="BR38" s="1103"/>
      <c r="BS38" s="1103" t="s">
        <v>5236</v>
      </c>
      <c r="BT38" s="1230" t="s">
        <v>5237</v>
      </c>
      <c r="BU38" s="1187" t="s">
        <v>5146</v>
      </c>
      <c r="BV38" s="1232" t="s">
        <v>4860</v>
      </c>
      <c r="BW38" s="1233" t="s">
        <v>5238</v>
      </c>
      <c r="BX38" s="1234" t="s">
        <v>3479</v>
      </c>
    </row>
    <row r="39" s="1189" customFormat="1" ht="27.75" customHeight="1" spans="2:78">
      <c r="B39" s="1562" t="s">
        <v>450</v>
      </c>
      <c r="C39" s="837" t="s">
        <v>5239</v>
      </c>
      <c r="D39" s="1162" t="s">
        <v>5240</v>
      </c>
      <c r="E39" s="1043" t="s">
        <v>5241</v>
      </c>
      <c r="F39" s="1043" t="s">
        <v>43</v>
      </c>
      <c r="G39" s="1043" t="s">
        <v>60</v>
      </c>
      <c r="H39" s="1043" t="s">
        <v>60</v>
      </c>
      <c r="I39" s="1049" t="s">
        <v>757</v>
      </c>
      <c r="J39" s="1049" t="s">
        <v>4970</v>
      </c>
      <c r="K39" s="1049" t="s">
        <v>5242</v>
      </c>
      <c r="L39" s="1169">
        <v>42795</v>
      </c>
      <c r="M39" s="1169">
        <v>42886</v>
      </c>
      <c r="N39" s="1169">
        <v>42916</v>
      </c>
      <c r="O39" s="1169">
        <v>43008</v>
      </c>
      <c r="P39" s="1187">
        <v>43069</v>
      </c>
      <c r="Q39" s="1169">
        <v>43100</v>
      </c>
      <c r="R39" s="1169">
        <v>43281</v>
      </c>
      <c r="S39" s="1169"/>
      <c r="T39" s="1169"/>
      <c r="U39" s="1169"/>
      <c r="V39" s="1169"/>
      <c r="W39" s="1169"/>
      <c r="X39" s="1169"/>
      <c r="Y39" s="1169"/>
      <c r="Z39" s="1169"/>
      <c r="AA39" s="1169"/>
      <c r="AB39" s="1169"/>
      <c r="AC39" s="1169"/>
      <c r="AD39" s="1169"/>
      <c r="AE39" s="1169"/>
      <c r="AF39" s="1169"/>
      <c r="AG39" s="1169"/>
      <c r="AH39" s="1169"/>
      <c r="AI39" s="1169"/>
      <c r="AJ39" s="1169"/>
      <c r="AK39" s="1169"/>
      <c r="AL39" s="1169"/>
      <c r="AM39" s="1169"/>
      <c r="AN39" s="1169"/>
      <c r="AO39" s="1169"/>
      <c r="AP39" s="1169"/>
      <c r="AQ39" s="1169"/>
      <c r="AR39" s="1169"/>
      <c r="AS39" s="1169"/>
      <c r="AT39" s="1169"/>
      <c r="AU39" s="1169"/>
      <c r="AV39" s="1169"/>
      <c r="AW39" s="640">
        <f ca="1">SUM(R39-NOW())</f>
        <v>8.61546296296001</v>
      </c>
      <c r="AX39" s="121" t="str">
        <f ca="1" t="shared" si="2"/>
        <v>WARNING</v>
      </c>
      <c r="AY39" s="1077">
        <v>15000000</v>
      </c>
      <c r="AZ39" s="1077">
        <v>1000000</v>
      </c>
      <c r="BA39" s="1078" t="s">
        <v>583</v>
      </c>
      <c r="BB39" s="1085" t="s">
        <v>583</v>
      </c>
      <c r="BC39" s="1078">
        <v>3500000</v>
      </c>
      <c r="BD39" s="1077"/>
      <c r="BE39" s="1077"/>
      <c r="BF39" s="1078">
        <v>2250000</v>
      </c>
      <c r="BG39" s="1078">
        <v>500000</v>
      </c>
      <c r="BH39" s="1078">
        <v>250000</v>
      </c>
      <c r="BI39" s="1049" t="s">
        <v>0</v>
      </c>
      <c r="BJ39" s="1078" t="s">
        <v>48</v>
      </c>
      <c r="BK39" s="1078" t="s">
        <v>48</v>
      </c>
      <c r="BL39" s="1049"/>
      <c r="BM39" s="1102" t="s">
        <v>5243</v>
      </c>
      <c r="BN39" s="1103" t="s">
        <v>5244</v>
      </c>
      <c r="BO39" s="1103" t="s">
        <v>5245</v>
      </c>
      <c r="BP39" s="1536" t="s">
        <v>5246</v>
      </c>
      <c r="BQ39" s="1103" t="s">
        <v>5247</v>
      </c>
      <c r="BR39" s="1103"/>
      <c r="BS39" s="1103" t="s">
        <v>5248</v>
      </c>
      <c r="BT39" s="1230" t="s">
        <v>5249</v>
      </c>
      <c r="BU39" s="1187"/>
      <c r="BV39" s="1232" t="s">
        <v>4845</v>
      </c>
      <c r="BW39" s="1233" t="e">
        <v>#N/A</v>
      </c>
      <c r="BX39" s="1234" t="s">
        <v>3479</v>
      </c>
      <c r="BZ39" s="1238"/>
    </row>
    <row r="40" s="1189" customFormat="1" ht="27.75" customHeight="1" spans="2:76">
      <c r="B40" s="1562" t="s">
        <v>463</v>
      </c>
      <c r="C40" s="837" t="s">
        <v>5250</v>
      </c>
      <c r="D40" s="1162" t="s">
        <v>5251</v>
      </c>
      <c r="E40" s="1043" t="s">
        <v>5252</v>
      </c>
      <c r="F40" s="1043" t="s">
        <v>125</v>
      </c>
      <c r="G40" s="1043" t="s">
        <v>44</v>
      </c>
      <c r="H40" s="1043" t="s">
        <v>44</v>
      </c>
      <c r="I40" s="1049" t="s">
        <v>3904</v>
      </c>
      <c r="J40" s="1049" t="s">
        <v>4970</v>
      </c>
      <c r="K40" s="1049" t="s">
        <v>5253</v>
      </c>
      <c r="L40" s="1169">
        <v>42790</v>
      </c>
      <c r="M40" s="1169">
        <v>42878</v>
      </c>
      <c r="N40" s="1169">
        <v>42909</v>
      </c>
      <c r="O40" s="1169">
        <v>42978</v>
      </c>
      <c r="P40" s="1169">
        <v>43008</v>
      </c>
      <c r="Q40" s="1187">
        <v>43039</v>
      </c>
      <c r="R40" s="1169">
        <v>43100</v>
      </c>
      <c r="S40" s="1169">
        <v>43190</v>
      </c>
      <c r="T40" s="1204">
        <v>43220</v>
      </c>
      <c r="U40" s="1204">
        <v>43251</v>
      </c>
      <c r="V40" s="1204">
        <v>43281</v>
      </c>
      <c r="W40" s="1169"/>
      <c r="X40" s="1169"/>
      <c r="Y40" s="1169"/>
      <c r="Z40" s="1169"/>
      <c r="AA40" s="1169"/>
      <c r="AB40" s="1169"/>
      <c r="AC40" s="1169"/>
      <c r="AD40" s="1169"/>
      <c r="AE40" s="1169"/>
      <c r="AF40" s="1169"/>
      <c r="AG40" s="1169"/>
      <c r="AH40" s="1169"/>
      <c r="AI40" s="1169"/>
      <c r="AJ40" s="1169"/>
      <c r="AK40" s="1169"/>
      <c r="AL40" s="1169"/>
      <c r="AM40" s="1169"/>
      <c r="AN40" s="1169"/>
      <c r="AO40" s="1169"/>
      <c r="AP40" s="1169"/>
      <c r="AQ40" s="1169"/>
      <c r="AR40" s="1169"/>
      <c r="AS40" s="1169"/>
      <c r="AT40" s="1169"/>
      <c r="AU40" s="1169"/>
      <c r="AV40" s="1169"/>
      <c r="AW40" s="640">
        <f ca="1">SUM(V40-NOW())</f>
        <v>8.61546296296001</v>
      </c>
      <c r="AX40" s="121" t="str">
        <f ca="1" t="shared" si="2"/>
        <v>WARNING</v>
      </c>
      <c r="AY40" s="1077">
        <v>4000000</v>
      </c>
      <c r="AZ40" s="1077">
        <v>500000</v>
      </c>
      <c r="BA40" s="1078" t="s">
        <v>583</v>
      </c>
      <c r="BB40" s="1085" t="s">
        <v>583</v>
      </c>
      <c r="BC40" s="1078" t="s">
        <v>583</v>
      </c>
      <c r="BD40" s="1077"/>
      <c r="BE40" s="1077"/>
      <c r="BF40" s="1078" t="s">
        <v>583</v>
      </c>
      <c r="BG40" s="1078">
        <v>500000</v>
      </c>
      <c r="BH40" s="1078">
        <v>250000</v>
      </c>
      <c r="BI40" s="1049" t="s">
        <v>0</v>
      </c>
      <c r="BJ40" s="1078" t="s">
        <v>48</v>
      </c>
      <c r="BK40" s="1078" t="s">
        <v>48</v>
      </c>
      <c r="BL40" s="1049"/>
      <c r="BM40" s="1102" t="s">
        <v>5254</v>
      </c>
      <c r="BN40" s="1103" t="s">
        <v>5255</v>
      </c>
      <c r="BO40" s="1103" t="s">
        <v>5256</v>
      </c>
      <c r="BP40" s="1536" t="s">
        <v>5257</v>
      </c>
      <c r="BQ40" s="1103" t="s">
        <v>5258</v>
      </c>
      <c r="BR40" s="1103"/>
      <c r="BS40" s="1103" t="s">
        <v>5259</v>
      </c>
      <c r="BT40" s="1230" t="s">
        <v>5260</v>
      </c>
      <c r="BU40" s="1187" t="s">
        <v>5146</v>
      </c>
      <c r="BV40" s="1232" t="s">
        <v>4860</v>
      </c>
      <c r="BW40" s="1233" t="e">
        <v>#N/A</v>
      </c>
      <c r="BX40" s="1234" t="s">
        <v>3479</v>
      </c>
    </row>
    <row r="41" s="1189" customFormat="1" ht="27.75" customHeight="1" spans="2:76">
      <c r="B41" s="1562" t="s">
        <v>473</v>
      </c>
      <c r="C41" s="837" t="s">
        <v>5261</v>
      </c>
      <c r="D41" s="1162" t="s">
        <v>5262</v>
      </c>
      <c r="E41" s="1043" t="s">
        <v>5263</v>
      </c>
      <c r="F41" s="1043" t="s">
        <v>125</v>
      </c>
      <c r="G41" s="1043" t="s">
        <v>44</v>
      </c>
      <c r="H41" s="1043" t="s">
        <v>44</v>
      </c>
      <c r="I41" s="1049" t="s">
        <v>3528</v>
      </c>
      <c r="J41" s="1049" t="s">
        <v>4970</v>
      </c>
      <c r="K41" s="1049" t="s">
        <v>5171</v>
      </c>
      <c r="L41" s="1169">
        <v>42786</v>
      </c>
      <c r="M41" s="1169">
        <v>42874</v>
      </c>
      <c r="N41" s="1169">
        <v>42905</v>
      </c>
      <c r="O41" s="1169">
        <v>42978</v>
      </c>
      <c r="P41" s="1169">
        <v>43008</v>
      </c>
      <c r="Q41" s="1169">
        <v>43100</v>
      </c>
      <c r="R41" s="1169">
        <v>43190</v>
      </c>
      <c r="S41" s="1169">
        <v>43281</v>
      </c>
      <c r="T41" s="1169"/>
      <c r="U41" s="1169"/>
      <c r="V41" s="1169"/>
      <c r="W41" s="1169"/>
      <c r="X41" s="1169"/>
      <c r="Y41" s="1169"/>
      <c r="Z41" s="1169"/>
      <c r="AA41" s="1169"/>
      <c r="AB41" s="1169"/>
      <c r="AC41" s="1169"/>
      <c r="AD41" s="1169"/>
      <c r="AE41" s="1169"/>
      <c r="AF41" s="1169"/>
      <c r="AG41" s="1169"/>
      <c r="AH41" s="1169"/>
      <c r="AI41" s="1169"/>
      <c r="AJ41" s="1169"/>
      <c r="AK41" s="1169"/>
      <c r="AL41" s="1169"/>
      <c r="AM41" s="1169"/>
      <c r="AN41" s="1169"/>
      <c r="AO41" s="1169"/>
      <c r="AP41" s="1169"/>
      <c r="AQ41" s="1169"/>
      <c r="AR41" s="1169"/>
      <c r="AS41" s="1169"/>
      <c r="AT41" s="1169"/>
      <c r="AU41" s="1169"/>
      <c r="AV41" s="1169"/>
      <c r="AW41" s="640">
        <f ca="1">SUM(S41-NOW())</f>
        <v>8.61546296296001</v>
      </c>
      <c r="AX41" s="121" t="str">
        <f ca="1" t="shared" si="2"/>
        <v>WARNING</v>
      </c>
      <c r="AY41" s="1077">
        <v>7600000</v>
      </c>
      <c r="AZ41" s="1077">
        <v>500000</v>
      </c>
      <c r="BA41" s="1078" t="s">
        <v>583</v>
      </c>
      <c r="BB41" s="1085"/>
      <c r="BC41" s="1078">
        <v>1200000</v>
      </c>
      <c r="BD41" s="1077"/>
      <c r="BE41" s="1077"/>
      <c r="BF41" s="1078" t="s">
        <v>583</v>
      </c>
      <c r="BG41" s="1078">
        <v>500000</v>
      </c>
      <c r="BH41" s="1078">
        <v>250000</v>
      </c>
      <c r="BI41" s="1049" t="s">
        <v>0</v>
      </c>
      <c r="BJ41" s="1078" t="s">
        <v>48</v>
      </c>
      <c r="BK41" s="1078" t="s">
        <v>48</v>
      </c>
      <c r="BL41" s="1049"/>
      <c r="BM41" s="1102" t="s">
        <v>5264</v>
      </c>
      <c r="BN41" s="1103" t="s">
        <v>5265</v>
      </c>
      <c r="BO41" s="1103" t="s">
        <v>5266</v>
      </c>
      <c r="BP41" s="1536" t="s">
        <v>5267</v>
      </c>
      <c r="BQ41" s="1103" t="s">
        <v>5268</v>
      </c>
      <c r="BR41" s="1103" t="s">
        <v>5269</v>
      </c>
      <c r="BS41" s="1103"/>
      <c r="BT41" s="1230" t="s">
        <v>5270</v>
      </c>
      <c r="BU41" s="1187"/>
      <c r="BV41" s="1232" t="s">
        <v>4845</v>
      </c>
      <c r="BW41" s="1233" t="s">
        <v>5271</v>
      </c>
      <c r="BX41" s="1234" t="s">
        <v>3479</v>
      </c>
    </row>
    <row r="42" s="1189" customFormat="1" ht="41.25" customHeight="1" spans="2:76">
      <c r="B42" s="1562" t="s">
        <v>483</v>
      </c>
      <c r="C42" s="837" t="s">
        <v>5272</v>
      </c>
      <c r="D42" s="1162" t="s">
        <v>5273</v>
      </c>
      <c r="E42" s="1043" t="s">
        <v>5274</v>
      </c>
      <c r="F42" s="1043" t="s">
        <v>43</v>
      </c>
      <c r="G42" s="1043" t="s">
        <v>404</v>
      </c>
      <c r="H42" s="1043" t="s">
        <v>404</v>
      </c>
      <c r="I42" s="1049" t="s">
        <v>5275</v>
      </c>
      <c r="J42" s="1049" t="s">
        <v>4970</v>
      </c>
      <c r="K42" s="1049" t="s">
        <v>5276</v>
      </c>
      <c r="L42" s="1169">
        <v>42809</v>
      </c>
      <c r="M42" s="1169">
        <v>42900</v>
      </c>
      <c r="N42" s="1169">
        <v>42978</v>
      </c>
      <c r="O42" s="1187">
        <v>43100</v>
      </c>
      <c r="P42" s="1169">
        <v>43190</v>
      </c>
      <c r="Q42" s="1169">
        <v>43220</v>
      </c>
      <c r="R42" s="1204">
        <v>43281</v>
      </c>
      <c r="S42" s="1169"/>
      <c r="T42" s="1169"/>
      <c r="U42" s="1169"/>
      <c r="V42" s="1169"/>
      <c r="W42" s="1169"/>
      <c r="X42" s="1169"/>
      <c r="Y42" s="1169"/>
      <c r="Z42" s="1169"/>
      <c r="AA42" s="1169"/>
      <c r="AB42" s="1169"/>
      <c r="AC42" s="1169"/>
      <c r="AD42" s="1169"/>
      <c r="AE42" s="1169"/>
      <c r="AF42" s="1169"/>
      <c r="AG42" s="1169"/>
      <c r="AH42" s="1169"/>
      <c r="AI42" s="1169"/>
      <c r="AJ42" s="1169"/>
      <c r="AK42" s="1169"/>
      <c r="AL42" s="1169"/>
      <c r="AM42" s="1169"/>
      <c r="AN42" s="1169"/>
      <c r="AO42" s="1169"/>
      <c r="AP42" s="1169"/>
      <c r="AQ42" s="1169"/>
      <c r="AR42" s="1169"/>
      <c r="AS42" s="1169"/>
      <c r="AT42" s="1169"/>
      <c r="AU42" s="1169"/>
      <c r="AV42" s="1169"/>
      <c r="AW42" s="640">
        <f ca="1">SUM(R42-NOW())</f>
        <v>8.61546296296001</v>
      </c>
      <c r="AX42" s="121" t="str">
        <f ca="1" t="shared" si="2"/>
        <v>WARNING</v>
      </c>
      <c r="AY42" s="1077">
        <v>6500000</v>
      </c>
      <c r="AZ42" s="1077">
        <v>500000</v>
      </c>
      <c r="BA42" s="1078" t="s">
        <v>583</v>
      </c>
      <c r="BB42" s="1085"/>
      <c r="BC42" s="1078">
        <v>1000000</v>
      </c>
      <c r="BD42" s="1077"/>
      <c r="BE42" s="1077"/>
      <c r="BF42" s="1078" t="s">
        <v>583</v>
      </c>
      <c r="BG42" s="1078">
        <v>500000</v>
      </c>
      <c r="BH42" s="1078">
        <v>250000</v>
      </c>
      <c r="BI42" s="1049" t="s">
        <v>0</v>
      </c>
      <c r="BJ42" s="1078" t="s">
        <v>48</v>
      </c>
      <c r="BK42" s="1078" t="s">
        <v>48</v>
      </c>
      <c r="BL42" s="1049"/>
      <c r="BM42" s="1102" t="s">
        <v>5277</v>
      </c>
      <c r="BN42" s="1103" t="s">
        <v>5278</v>
      </c>
      <c r="BO42" s="1103" t="s">
        <v>5279</v>
      </c>
      <c r="BP42" s="1536" t="s">
        <v>5280</v>
      </c>
      <c r="BQ42" s="1103" t="s">
        <v>5281</v>
      </c>
      <c r="BR42" s="1103"/>
      <c r="BS42" s="1103" t="s">
        <v>5282</v>
      </c>
      <c r="BT42" s="1230" t="s">
        <v>5283</v>
      </c>
      <c r="BU42" s="1187" t="s">
        <v>2542</v>
      </c>
      <c r="BV42" s="1232" t="s">
        <v>5216</v>
      </c>
      <c r="BW42" s="1233" t="e">
        <v>#N/A</v>
      </c>
      <c r="BX42" s="1234" t="s">
        <v>3479</v>
      </c>
    </row>
    <row r="43" s="1189" customFormat="1" ht="41.25" customHeight="1" spans="2:76">
      <c r="B43" s="1562" t="s">
        <v>494</v>
      </c>
      <c r="C43" s="837" t="s">
        <v>5284</v>
      </c>
      <c r="D43" s="1162" t="s">
        <v>5285</v>
      </c>
      <c r="E43" s="1043" t="s">
        <v>5286</v>
      </c>
      <c r="F43" s="1043" t="s">
        <v>125</v>
      </c>
      <c r="G43" s="1043" t="s">
        <v>44</v>
      </c>
      <c r="H43" s="1043" t="s">
        <v>44</v>
      </c>
      <c r="I43" s="1049" t="s">
        <v>1300</v>
      </c>
      <c r="J43" s="1049" t="s">
        <v>4970</v>
      </c>
      <c r="K43" s="1049" t="s">
        <v>5287</v>
      </c>
      <c r="L43" s="1169">
        <v>42809</v>
      </c>
      <c r="M43" s="1169">
        <v>42886</v>
      </c>
      <c r="N43" s="1169">
        <v>42916</v>
      </c>
      <c r="O43" s="1169">
        <v>42978</v>
      </c>
      <c r="P43" s="1169">
        <v>43008</v>
      </c>
      <c r="Q43" s="1187">
        <v>43039</v>
      </c>
      <c r="R43" s="1169">
        <v>43100</v>
      </c>
      <c r="S43" s="1169">
        <v>43159</v>
      </c>
      <c r="T43" s="1169">
        <v>43190</v>
      </c>
      <c r="U43" s="1204">
        <v>43220</v>
      </c>
      <c r="V43" s="1204">
        <v>43251</v>
      </c>
      <c r="W43" s="1204">
        <v>43281</v>
      </c>
      <c r="X43" s="1169"/>
      <c r="Y43" s="1169"/>
      <c r="Z43" s="1169"/>
      <c r="AA43" s="1169"/>
      <c r="AB43" s="1169"/>
      <c r="AC43" s="1169"/>
      <c r="AD43" s="1169"/>
      <c r="AE43" s="1169"/>
      <c r="AF43" s="1169"/>
      <c r="AG43" s="1169"/>
      <c r="AH43" s="1169"/>
      <c r="AI43" s="1169"/>
      <c r="AJ43" s="1169"/>
      <c r="AK43" s="1169"/>
      <c r="AL43" s="1169"/>
      <c r="AM43" s="1169"/>
      <c r="AN43" s="1169"/>
      <c r="AO43" s="1169"/>
      <c r="AP43" s="1169"/>
      <c r="AQ43" s="1169"/>
      <c r="AR43" s="1169"/>
      <c r="AS43" s="1169"/>
      <c r="AT43" s="1169"/>
      <c r="AU43" s="1169"/>
      <c r="AV43" s="1169"/>
      <c r="AW43" s="640">
        <f ca="1">SUM(W43-NOW())</f>
        <v>8.61546296296001</v>
      </c>
      <c r="AX43" s="121" t="str">
        <f ca="1" t="shared" si="2"/>
        <v>WARNING</v>
      </c>
      <c r="AY43" s="1077">
        <v>5000000</v>
      </c>
      <c r="AZ43" s="1077">
        <v>250000</v>
      </c>
      <c r="BA43" s="1078" t="s">
        <v>583</v>
      </c>
      <c r="BB43" s="1085"/>
      <c r="BC43" s="1078"/>
      <c r="BD43" s="1077"/>
      <c r="BE43" s="1077" t="s">
        <v>583</v>
      </c>
      <c r="BF43" s="1078" t="s">
        <v>583</v>
      </c>
      <c r="BG43" s="1078">
        <v>500000</v>
      </c>
      <c r="BH43" s="1078">
        <v>250000</v>
      </c>
      <c r="BI43" s="1049" t="s">
        <v>0</v>
      </c>
      <c r="BJ43" s="1078" t="s">
        <v>48</v>
      </c>
      <c r="BK43" s="1078" t="s">
        <v>48</v>
      </c>
      <c r="BL43" s="1049"/>
      <c r="BM43" s="1102" t="s">
        <v>5288</v>
      </c>
      <c r="BN43" s="1103"/>
      <c r="BO43" s="1103" t="s">
        <v>5289</v>
      </c>
      <c r="BP43" s="1536" t="s">
        <v>5290</v>
      </c>
      <c r="BQ43" s="1103" t="s">
        <v>5291</v>
      </c>
      <c r="BR43" s="1103"/>
      <c r="BS43" s="1103"/>
      <c r="BT43" s="1230" t="s">
        <v>5292</v>
      </c>
      <c r="BU43" s="1187"/>
      <c r="BV43" s="1232" t="s">
        <v>4860</v>
      </c>
      <c r="BW43" s="1233" t="e">
        <v>#N/A</v>
      </c>
      <c r="BX43" s="1234" t="s">
        <v>3479</v>
      </c>
    </row>
    <row r="44" s="1189" customFormat="1" ht="27.75" customHeight="1" spans="2:78">
      <c r="B44" s="1562" t="s">
        <v>504</v>
      </c>
      <c r="C44" s="837" t="s">
        <v>5293</v>
      </c>
      <c r="D44" s="1162" t="s">
        <v>5294</v>
      </c>
      <c r="E44" s="1043" t="s">
        <v>5295</v>
      </c>
      <c r="F44" s="1043" t="s">
        <v>43</v>
      </c>
      <c r="G44" s="1043"/>
      <c r="H44" s="1043"/>
      <c r="I44" s="1049" t="s">
        <v>1300</v>
      </c>
      <c r="J44" s="1049" t="s">
        <v>4970</v>
      </c>
      <c r="K44" s="1049" t="s">
        <v>2823</v>
      </c>
      <c r="L44" s="1169">
        <v>42788</v>
      </c>
      <c r="M44" s="1169">
        <v>42947</v>
      </c>
      <c r="N44" s="1169">
        <v>43100</v>
      </c>
      <c r="O44" s="1169">
        <v>43190</v>
      </c>
      <c r="P44" s="1204">
        <v>43281</v>
      </c>
      <c r="Q44" s="1169"/>
      <c r="R44" s="1169"/>
      <c r="S44" s="1169"/>
      <c r="T44" s="1169"/>
      <c r="U44" s="1169"/>
      <c r="V44" s="1169"/>
      <c r="W44" s="1169"/>
      <c r="X44" s="1169"/>
      <c r="Y44" s="1169"/>
      <c r="Z44" s="1169"/>
      <c r="AA44" s="1169"/>
      <c r="AB44" s="1169"/>
      <c r="AC44" s="1169"/>
      <c r="AD44" s="1169"/>
      <c r="AE44" s="1169"/>
      <c r="AF44" s="1169"/>
      <c r="AG44" s="1169"/>
      <c r="AH44" s="1169"/>
      <c r="AI44" s="1169"/>
      <c r="AJ44" s="1169"/>
      <c r="AK44" s="1169"/>
      <c r="AL44" s="1169"/>
      <c r="AM44" s="1169"/>
      <c r="AN44" s="1169"/>
      <c r="AO44" s="1169"/>
      <c r="AP44" s="1169"/>
      <c r="AQ44" s="1169"/>
      <c r="AR44" s="1169"/>
      <c r="AS44" s="1169"/>
      <c r="AT44" s="1169"/>
      <c r="AU44" s="1169"/>
      <c r="AV44" s="1169"/>
      <c r="AW44" s="640">
        <f ca="1">SUM(P44-NOW())</f>
        <v>8.61546296296001</v>
      </c>
      <c r="AX44" s="121" t="str">
        <f ca="1" t="shared" si="2"/>
        <v>WARNING</v>
      </c>
      <c r="AY44" s="1077">
        <v>2600000</v>
      </c>
      <c r="AZ44" s="1077">
        <v>100000</v>
      </c>
      <c r="BA44" s="1078" t="s">
        <v>583</v>
      </c>
      <c r="BB44" s="1085"/>
      <c r="BC44" s="1078">
        <v>250000</v>
      </c>
      <c r="BD44" s="1077"/>
      <c r="BE44" s="1077"/>
      <c r="BF44" s="1078" t="s">
        <v>583</v>
      </c>
      <c r="BG44" s="1078" t="s">
        <v>583</v>
      </c>
      <c r="BH44" s="1078" t="s">
        <v>583</v>
      </c>
      <c r="BI44" s="1049" t="s">
        <v>0</v>
      </c>
      <c r="BJ44" s="1078" t="s">
        <v>48</v>
      </c>
      <c r="BK44" s="1227" t="s">
        <v>5296</v>
      </c>
      <c r="BL44" s="1049"/>
      <c r="BM44" s="1102" t="s">
        <v>5297</v>
      </c>
      <c r="BN44" s="1103" t="s">
        <v>5298</v>
      </c>
      <c r="BO44" s="1103" t="s">
        <v>5299</v>
      </c>
      <c r="BP44" s="1103" t="s">
        <v>5300</v>
      </c>
      <c r="BQ44" s="1103"/>
      <c r="BR44" s="1103"/>
      <c r="BS44" s="1103"/>
      <c r="BT44" s="1103" t="s">
        <v>112</v>
      </c>
      <c r="BU44" s="1187"/>
      <c r="BV44" s="1232" t="s">
        <v>4845</v>
      </c>
      <c r="BW44" s="1233" t="e">
        <v>#N/A</v>
      </c>
      <c r="BX44" s="1234" t="s">
        <v>3479</v>
      </c>
      <c r="BZ44" s="1238"/>
    </row>
    <row r="45" s="1190" customFormat="1" ht="27.75" customHeight="1" spans="2:78">
      <c r="B45" s="1563" t="s">
        <v>514</v>
      </c>
      <c r="C45" s="838" t="s">
        <v>5301</v>
      </c>
      <c r="D45" s="1038" t="s">
        <v>5302</v>
      </c>
      <c r="E45" s="1046" t="s">
        <v>5303</v>
      </c>
      <c r="F45" s="1201" t="s">
        <v>43</v>
      </c>
      <c r="G45" s="1201" t="s">
        <v>404</v>
      </c>
      <c r="H45" s="1201" t="s">
        <v>404</v>
      </c>
      <c r="I45" s="1051" t="s">
        <v>3089</v>
      </c>
      <c r="J45" s="1051" t="s">
        <v>4970</v>
      </c>
      <c r="K45" s="1051" t="s">
        <v>5304</v>
      </c>
      <c r="L45" s="1054">
        <v>42823</v>
      </c>
      <c r="M45" s="1054">
        <v>42914</v>
      </c>
      <c r="N45" s="1202">
        <v>43008</v>
      </c>
      <c r="O45" s="1054">
        <v>43039</v>
      </c>
      <c r="P45" s="1202">
        <v>43100</v>
      </c>
      <c r="Q45" s="1202">
        <v>43190</v>
      </c>
      <c r="R45" s="1208">
        <v>43220</v>
      </c>
      <c r="S45" s="1209">
        <v>43251</v>
      </c>
      <c r="T45" s="1054"/>
      <c r="U45" s="1054"/>
      <c r="V45" s="1054"/>
      <c r="W45" s="1054"/>
      <c r="X45" s="1054"/>
      <c r="Y45" s="1054"/>
      <c r="Z45" s="1054"/>
      <c r="AA45" s="1054"/>
      <c r="AB45" s="1054"/>
      <c r="AC45" s="1054"/>
      <c r="AD45" s="1054"/>
      <c r="AE45" s="1054"/>
      <c r="AF45" s="1054"/>
      <c r="AG45" s="1054"/>
      <c r="AH45" s="1054"/>
      <c r="AI45" s="1054"/>
      <c r="AJ45" s="1054"/>
      <c r="AK45" s="1220"/>
      <c r="AL45" s="1220"/>
      <c r="AM45" s="1220"/>
      <c r="AN45" s="1220"/>
      <c r="AO45" s="1220"/>
      <c r="AP45" s="1220"/>
      <c r="AQ45" s="1220"/>
      <c r="AR45" s="1220"/>
      <c r="AS45" s="1220"/>
      <c r="AT45" s="1220"/>
      <c r="AU45" s="1202"/>
      <c r="AV45" s="1202"/>
      <c r="AW45" s="641">
        <f ca="1">SUM(S45-NOW())</f>
        <v>-21.38453703704</v>
      </c>
      <c r="AX45" s="187" t="str">
        <f ca="1" t="shared" si="2"/>
        <v>WARNING</v>
      </c>
      <c r="AY45" s="1083">
        <v>10000000</v>
      </c>
      <c r="AZ45" s="1083">
        <v>750000</v>
      </c>
      <c r="BA45" s="1083" t="s">
        <v>583</v>
      </c>
      <c r="BB45" s="1085" t="s">
        <v>583</v>
      </c>
      <c r="BC45" s="1083">
        <v>2000000</v>
      </c>
      <c r="BD45" s="1083"/>
      <c r="BE45" s="1221"/>
      <c r="BF45" s="1083" t="s">
        <v>583</v>
      </c>
      <c r="BG45" s="1224">
        <v>500000</v>
      </c>
      <c r="BH45" s="1083">
        <v>250000</v>
      </c>
      <c r="BI45" s="1049" t="s">
        <v>0</v>
      </c>
      <c r="BJ45" s="1078" t="s">
        <v>48</v>
      </c>
      <c r="BK45" s="1228" t="s">
        <v>48</v>
      </c>
      <c r="BL45" s="1049" t="s">
        <v>5305</v>
      </c>
      <c r="BM45" s="1102" t="s">
        <v>5306</v>
      </c>
      <c r="BN45" s="1103" t="s">
        <v>5307</v>
      </c>
      <c r="BO45" s="1103" t="s">
        <v>5308</v>
      </c>
      <c r="BP45" s="1107" t="s">
        <v>5309</v>
      </c>
      <c r="BQ45" s="1107" t="s">
        <v>5310</v>
      </c>
      <c r="BR45" s="1107"/>
      <c r="BS45" s="1108"/>
      <c r="BT45" s="229" t="s">
        <v>5311</v>
      </c>
      <c r="BU45" s="1205" t="s">
        <v>4859</v>
      </c>
      <c r="BV45" s="1235" t="s">
        <v>4860</v>
      </c>
      <c r="BW45" s="1233" t="e">
        <v>#N/A</v>
      </c>
      <c r="BX45" s="1236" t="s">
        <v>3479</v>
      </c>
      <c r="BZ45" s="1237"/>
    </row>
    <row r="46" s="1190" customFormat="1" ht="27.75" customHeight="1" spans="2:78">
      <c r="B46" s="1563" t="s">
        <v>525</v>
      </c>
      <c r="C46" s="838" t="s">
        <v>5312</v>
      </c>
      <c r="D46" s="1038" t="s">
        <v>5313</v>
      </c>
      <c r="E46" s="1046" t="s">
        <v>5314</v>
      </c>
      <c r="F46" s="1201" t="s">
        <v>43</v>
      </c>
      <c r="G46" s="1201" t="s">
        <v>880</v>
      </c>
      <c r="H46" s="1201" t="s">
        <v>96</v>
      </c>
      <c r="I46" s="1051" t="s">
        <v>1793</v>
      </c>
      <c r="J46" s="1051" t="s">
        <v>4970</v>
      </c>
      <c r="K46" s="1051" t="s">
        <v>1069</v>
      </c>
      <c r="L46" s="1054">
        <v>42825</v>
      </c>
      <c r="M46" s="1054">
        <v>42886</v>
      </c>
      <c r="N46" s="1202">
        <v>42916</v>
      </c>
      <c r="O46" s="1202">
        <v>43008</v>
      </c>
      <c r="P46" s="1205">
        <v>43039</v>
      </c>
      <c r="Q46" s="1202">
        <v>43100</v>
      </c>
      <c r="R46" s="1202">
        <v>43159</v>
      </c>
      <c r="S46" s="1208">
        <v>43190</v>
      </c>
      <c r="T46" s="1207">
        <v>43220</v>
      </c>
      <c r="U46" s="1207">
        <v>43251</v>
      </c>
      <c r="V46" s="1054"/>
      <c r="W46" s="1054"/>
      <c r="X46" s="1054"/>
      <c r="Y46" s="1054"/>
      <c r="Z46" s="1054"/>
      <c r="AA46" s="1054"/>
      <c r="AB46" s="1054"/>
      <c r="AC46" s="1054"/>
      <c r="AD46" s="1054"/>
      <c r="AE46" s="1054"/>
      <c r="AF46" s="1054"/>
      <c r="AG46" s="1054"/>
      <c r="AH46" s="1054"/>
      <c r="AI46" s="1054"/>
      <c r="AJ46" s="1054"/>
      <c r="AK46" s="1220"/>
      <c r="AL46" s="1220"/>
      <c r="AM46" s="1220"/>
      <c r="AN46" s="1220"/>
      <c r="AO46" s="1220"/>
      <c r="AP46" s="1220"/>
      <c r="AQ46" s="1220"/>
      <c r="AR46" s="1220"/>
      <c r="AS46" s="1220"/>
      <c r="AT46" s="1220"/>
      <c r="AU46" s="1202"/>
      <c r="AV46" s="1202"/>
      <c r="AW46" s="641">
        <f ca="1">SUM(U46-NOW())</f>
        <v>-21.38453703704</v>
      </c>
      <c r="AX46" s="187" t="str">
        <f ca="1" t="shared" si="2"/>
        <v>WARNING</v>
      </c>
      <c r="AY46" s="1083">
        <v>10000000</v>
      </c>
      <c r="AZ46" s="1083">
        <v>1000000</v>
      </c>
      <c r="BA46" s="1083" t="s">
        <v>583</v>
      </c>
      <c r="BB46" s="1085">
        <v>1500000</v>
      </c>
      <c r="BC46" s="1083">
        <v>2500000</v>
      </c>
      <c r="BD46" s="1083"/>
      <c r="BE46" s="1221"/>
      <c r="BF46" s="1083" t="s">
        <v>583</v>
      </c>
      <c r="BG46" s="1224">
        <v>500000</v>
      </c>
      <c r="BH46" s="1083">
        <v>250000</v>
      </c>
      <c r="BI46" s="1049" t="s">
        <v>0</v>
      </c>
      <c r="BJ46" s="1078" t="s">
        <v>48</v>
      </c>
      <c r="BK46" s="1228" t="s">
        <v>48</v>
      </c>
      <c r="BL46" s="1049"/>
      <c r="BM46" s="1102" t="s">
        <v>5315</v>
      </c>
      <c r="BN46" s="1103" t="s">
        <v>5316</v>
      </c>
      <c r="BO46" s="1103" t="s">
        <v>5317</v>
      </c>
      <c r="BP46" s="1107" t="s">
        <v>5318</v>
      </c>
      <c r="BQ46" s="1107" t="s">
        <v>5319</v>
      </c>
      <c r="BR46" s="1107"/>
      <c r="BS46" s="1108" t="s">
        <v>5320</v>
      </c>
      <c r="BT46" s="229" t="s">
        <v>5321</v>
      </c>
      <c r="BU46" s="1205" t="s">
        <v>4859</v>
      </c>
      <c r="BV46" s="1235" t="s">
        <v>4860</v>
      </c>
      <c r="BW46" s="1233" t="e">
        <v>#N/A</v>
      </c>
      <c r="BX46" s="1236" t="s">
        <v>3479</v>
      </c>
      <c r="BZ46" s="1237"/>
    </row>
    <row r="47" s="1190" customFormat="1" ht="27.75" customHeight="1" spans="2:78">
      <c r="B47" s="1563" t="s">
        <v>533</v>
      </c>
      <c r="C47" s="838" t="s">
        <v>5322</v>
      </c>
      <c r="D47" s="1038" t="s">
        <v>5323</v>
      </c>
      <c r="E47" s="1046" t="s">
        <v>5324</v>
      </c>
      <c r="F47" s="1201" t="s">
        <v>43</v>
      </c>
      <c r="G47" s="1201" t="s">
        <v>96</v>
      </c>
      <c r="H47" s="1201" t="s">
        <v>96</v>
      </c>
      <c r="I47" s="1051" t="s">
        <v>757</v>
      </c>
      <c r="J47" s="1051" t="s">
        <v>4970</v>
      </c>
      <c r="K47" s="1051" t="s">
        <v>5325</v>
      </c>
      <c r="L47" s="1054">
        <v>42835</v>
      </c>
      <c r="M47" s="1054">
        <v>42886</v>
      </c>
      <c r="N47" s="1054">
        <v>42916</v>
      </c>
      <c r="O47" s="1202">
        <v>43008</v>
      </c>
      <c r="P47" s="1205">
        <v>43039</v>
      </c>
      <c r="Q47" s="1202">
        <v>43100</v>
      </c>
      <c r="R47" s="1202">
        <v>43190</v>
      </c>
      <c r="S47" s="1207">
        <v>43220</v>
      </c>
      <c r="T47" s="1207">
        <v>43251</v>
      </c>
      <c r="U47" s="1054"/>
      <c r="V47" s="1054"/>
      <c r="W47" s="1054"/>
      <c r="X47" s="1054"/>
      <c r="Y47" s="1054"/>
      <c r="Z47" s="1054"/>
      <c r="AA47" s="1054"/>
      <c r="AB47" s="1054"/>
      <c r="AC47" s="1054"/>
      <c r="AD47" s="1054"/>
      <c r="AE47" s="1054"/>
      <c r="AF47" s="1054"/>
      <c r="AG47" s="1054"/>
      <c r="AH47" s="1054"/>
      <c r="AI47" s="1054"/>
      <c r="AJ47" s="1054"/>
      <c r="AK47" s="1220"/>
      <c r="AL47" s="1220"/>
      <c r="AM47" s="1220"/>
      <c r="AN47" s="1220"/>
      <c r="AO47" s="1220"/>
      <c r="AP47" s="1220"/>
      <c r="AQ47" s="1220"/>
      <c r="AR47" s="1220"/>
      <c r="AS47" s="1220"/>
      <c r="AT47" s="1220"/>
      <c r="AU47" s="1202"/>
      <c r="AV47" s="1202"/>
      <c r="AW47" s="641">
        <f ca="1">SUM(T47-NOW())</f>
        <v>-21.38453703704</v>
      </c>
      <c r="AX47" s="187" t="str">
        <f ca="1" t="shared" si="2"/>
        <v>WARNING</v>
      </c>
      <c r="AY47" s="1083">
        <f>12000000+500000</f>
        <v>12500000</v>
      </c>
      <c r="AZ47" s="1083">
        <v>1000000</v>
      </c>
      <c r="BA47" s="1083" t="s">
        <v>583</v>
      </c>
      <c r="BB47" s="1085">
        <f>1750000+500000</f>
        <v>2250000</v>
      </c>
      <c r="BC47" s="1083">
        <v>1500000</v>
      </c>
      <c r="BD47" s="1083"/>
      <c r="BE47" s="1221"/>
      <c r="BF47" s="1083" t="s">
        <v>583</v>
      </c>
      <c r="BG47" s="1224">
        <v>500000</v>
      </c>
      <c r="BH47" s="1083">
        <v>250000</v>
      </c>
      <c r="BI47" s="1049" t="s">
        <v>0</v>
      </c>
      <c r="BJ47" s="1078" t="s">
        <v>48</v>
      </c>
      <c r="BK47" s="1228" t="s">
        <v>48</v>
      </c>
      <c r="BL47" s="1049" t="s">
        <v>5326</v>
      </c>
      <c r="BM47" s="1102" t="s">
        <v>5327</v>
      </c>
      <c r="BN47" s="1103" t="s">
        <v>5328</v>
      </c>
      <c r="BO47" s="1103" t="s">
        <v>5329</v>
      </c>
      <c r="BP47" s="1107" t="s">
        <v>5330</v>
      </c>
      <c r="BQ47" s="1107" t="s">
        <v>5331</v>
      </c>
      <c r="BR47" s="1107" t="s">
        <v>5332</v>
      </c>
      <c r="BS47" s="1108"/>
      <c r="BT47" s="229" t="s">
        <v>5333</v>
      </c>
      <c r="BU47" s="1205" t="s">
        <v>4859</v>
      </c>
      <c r="BV47" s="1235" t="s">
        <v>4860</v>
      </c>
      <c r="BW47" s="1233" t="e">
        <v>#N/A</v>
      </c>
      <c r="BX47" s="1236" t="s">
        <v>3479</v>
      </c>
      <c r="BZ47" s="1237"/>
    </row>
    <row r="48" s="1189" customFormat="1" ht="21.75" customHeight="1" spans="2:78">
      <c r="B48" s="1562" t="s">
        <v>542</v>
      </c>
      <c r="C48" s="837" t="s">
        <v>5334</v>
      </c>
      <c r="D48" s="1035" t="s">
        <v>5335</v>
      </c>
      <c r="E48" s="975" t="s">
        <v>5336</v>
      </c>
      <c r="F48" s="978" t="s">
        <v>43</v>
      </c>
      <c r="G48" s="978" t="s">
        <v>44</v>
      </c>
      <c r="H48" s="978" t="s">
        <v>44</v>
      </c>
      <c r="I48" s="1049" t="s">
        <v>757</v>
      </c>
      <c r="J48" s="1049" t="s">
        <v>4970</v>
      </c>
      <c r="K48" s="1049" t="s">
        <v>722</v>
      </c>
      <c r="L48" s="1053">
        <v>42844</v>
      </c>
      <c r="M48" s="1053">
        <v>42904</v>
      </c>
      <c r="N48" s="1169">
        <v>43100</v>
      </c>
      <c r="O48" s="1169">
        <v>43190</v>
      </c>
      <c r="P48" s="1203">
        <v>43220</v>
      </c>
      <c r="Q48" s="1204">
        <v>43251</v>
      </c>
      <c r="R48" s="1057">
        <v>43373</v>
      </c>
      <c r="S48" s="1053"/>
      <c r="T48" s="1053"/>
      <c r="U48" s="1053"/>
      <c r="V48" s="1053"/>
      <c r="W48" s="1053"/>
      <c r="X48" s="1053"/>
      <c r="Y48" s="1053"/>
      <c r="Z48" s="1053"/>
      <c r="AA48" s="1053"/>
      <c r="AB48" s="1053"/>
      <c r="AC48" s="1053"/>
      <c r="AD48" s="1053"/>
      <c r="AE48" s="1053"/>
      <c r="AF48" s="1053"/>
      <c r="AG48" s="1053"/>
      <c r="AH48" s="1053"/>
      <c r="AI48" s="1053"/>
      <c r="AJ48" s="1053"/>
      <c r="AK48" s="1221"/>
      <c r="AL48" s="1221"/>
      <c r="AM48" s="1221"/>
      <c r="AN48" s="1221"/>
      <c r="AO48" s="1221"/>
      <c r="AP48" s="1221"/>
      <c r="AQ48" s="1221"/>
      <c r="AR48" s="1221"/>
      <c r="AS48" s="1221"/>
      <c r="AT48" s="1221"/>
      <c r="AU48" s="1169"/>
      <c r="AV48" s="1169"/>
      <c r="AW48" s="640">
        <f ca="1">SUM(R48-NOW())</f>
        <v>100.61546296296</v>
      </c>
      <c r="AX48" s="121" t="str">
        <f ca="1" t="shared" si="2"/>
        <v>ACTIVE</v>
      </c>
      <c r="AY48" s="1083">
        <f>750000+6000000</f>
        <v>6750000</v>
      </c>
      <c r="AZ48" s="1083">
        <v>500000</v>
      </c>
      <c r="BA48" s="1083" t="s">
        <v>583</v>
      </c>
      <c r="BB48" s="1085"/>
      <c r="BC48" s="1083" t="s">
        <v>583</v>
      </c>
      <c r="BD48" s="1083"/>
      <c r="BE48" s="1221"/>
      <c r="BF48" s="1083">
        <v>500000</v>
      </c>
      <c r="BG48" s="1224">
        <v>500000</v>
      </c>
      <c r="BH48" s="1083">
        <v>100000</v>
      </c>
      <c r="BI48" s="1049" t="s">
        <v>0</v>
      </c>
      <c r="BJ48" s="1078" t="s">
        <v>48</v>
      </c>
      <c r="BK48" s="1228" t="s">
        <v>48</v>
      </c>
      <c r="BL48" s="1049" t="s">
        <v>5337</v>
      </c>
      <c r="BM48" s="1102" t="s">
        <v>5338</v>
      </c>
      <c r="BN48" s="961" t="s">
        <v>5339</v>
      </c>
      <c r="BO48" s="1012" t="s">
        <v>5340</v>
      </c>
      <c r="BP48" s="1009" t="s">
        <v>5341</v>
      </c>
      <c r="BQ48" s="1009" t="s">
        <v>2574</v>
      </c>
      <c r="BR48" s="1009" t="s">
        <v>5342</v>
      </c>
      <c r="BS48" s="1108"/>
      <c r="BT48" s="130" t="s">
        <v>5343</v>
      </c>
      <c r="BU48" s="1187"/>
      <c r="BV48" s="1232" t="s">
        <v>4860</v>
      </c>
      <c r="BW48" s="1233" t="e">
        <v>#N/A</v>
      </c>
      <c r="BX48" s="1234" t="s">
        <v>3479</v>
      </c>
      <c r="BZ48" s="1238"/>
    </row>
    <row r="49" s="1191" customFormat="1" ht="27.75" customHeight="1" spans="2:77">
      <c r="B49" s="1563" t="s">
        <v>550</v>
      </c>
      <c r="C49" s="838" t="s">
        <v>5344</v>
      </c>
      <c r="D49" s="1038" t="s">
        <v>5345</v>
      </c>
      <c r="E49" s="1046" t="s">
        <v>5346</v>
      </c>
      <c r="F49" s="1201" t="s">
        <v>43</v>
      </c>
      <c r="G49" s="1201" t="s">
        <v>96</v>
      </c>
      <c r="H49" s="1201" t="s">
        <v>96</v>
      </c>
      <c r="I49" s="1051" t="s">
        <v>1269</v>
      </c>
      <c r="J49" s="1051" t="s">
        <v>5347</v>
      </c>
      <c r="K49" s="1051" t="s">
        <v>993</v>
      </c>
      <c r="L49" s="1054">
        <v>42644</v>
      </c>
      <c r="M49" s="1054">
        <v>42855</v>
      </c>
      <c r="N49" s="1054">
        <v>42886</v>
      </c>
      <c r="O49" s="1054">
        <v>42947</v>
      </c>
      <c r="P49" s="1054">
        <v>42978</v>
      </c>
      <c r="Q49" s="1205">
        <v>43008</v>
      </c>
      <c r="R49" s="1205">
        <v>43069</v>
      </c>
      <c r="S49" s="1202">
        <v>43100</v>
      </c>
      <c r="T49" s="1054">
        <v>43159</v>
      </c>
      <c r="U49" s="1207">
        <v>43190</v>
      </c>
      <c r="V49" s="1202">
        <v>43220</v>
      </c>
      <c r="W49" s="1207">
        <v>43251</v>
      </c>
      <c r="X49" s="1054"/>
      <c r="Y49" s="1054"/>
      <c r="Z49" s="1054"/>
      <c r="AA49" s="1054"/>
      <c r="AB49" s="1054"/>
      <c r="AC49" s="1054"/>
      <c r="AD49" s="1054"/>
      <c r="AE49" s="1054"/>
      <c r="AF49" s="1054"/>
      <c r="AG49" s="1054"/>
      <c r="AH49" s="1054"/>
      <c r="AI49" s="1054"/>
      <c r="AJ49" s="1054"/>
      <c r="AK49" s="1220"/>
      <c r="AL49" s="1220"/>
      <c r="AM49" s="1220"/>
      <c r="AN49" s="1220"/>
      <c r="AO49" s="1220"/>
      <c r="AP49" s="1220"/>
      <c r="AQ49" s="1220"/>
      <c r="AR49" s="1220"/>
      <c r="AS49" s="1220"/>
      <c r="AT49" s="1220"/>
      <c r="AU49" s="1202"/>
      <c r="AV49" s="1202"/>
      <c r="AW49" s="641">
        <f ca="1">SUM(W49-NOW())</f>
        <v>-21.38453703704</v>
      </c>
      <c r="AX49" s="187" t="str">
        <f ca="1" t="shared" si="2"/>
        <v>WARNING</v>
      </c>
      <c r="AY49" s="1083">
        <v>6500000</v>
      </c>
      <c r="AZ49" s="1083">
        <v>500000</v>
      </c>
      <c r="BA49" s="1083">
        <v>3000000</v>
      </c>
      <c r="BB49" s="1085"/>
      <c r="BC49" s="1083"/>
      <c r="BD49" s="1083"/>
      <c r="BE49" s="1221"/>
      <c r="BF49" s="1083"/>
      <c r="BG49" s="1083">
        <v>500000</v>
      </c>
      <c r="BH49" s="1083">
        <v>250000</v>
      </c>
      <c r="BI49" s="1103" t="s">
        <v>4684</v>
      </c>
      <c r="BJ49" s="1228" t="s">
        <v>48</v>
      </c>
      <c r="BK49" s="1228" t="s">
        <v>48</v>
      </c>
      <c r="BL49" s="1049" t="s">
        <v>5348</v>
      </c>
      <c r="BM49" s="1102" t="s">
        <v>5349</v>
      </c>
      <c r="BN49" s="1103" t="s">
        <v>5350</v>
      </c>
      <c r="BO49" s="1103" t="s">
        <v>5351</v>
      </c>
      <c r="BP49" s="1107" t="s">
        <v>5352</v>
      </c>
      <c r="BQ49" s="1107" t="s">
        <v>5353</v>
      </c>
      <c r="BR49" s="1107"/>
      <c r="BS49" s="1108"/>
      <c r="BT49" s="1095" t="s">
        <v>5354</v>
      </c>
      <c r="BU49" s="1205" t="s">
        <v>4859</v>
      </c>
      <c r="BV49" s="1235" t="s">
        <v>4860</v>
      </c>
      <c r="BW49" s="1233" t="e">
        <v>#N/A</v>
      </c>
      <c r="BX49" s="1236" t="s">
        <v>3479</v>
      </c>
      <c r="BY49" s="1190"/>
    </row>
    <row r="50" s="1192" customFormat="1" ht="14.1" customHeight="1" spans="2:77">
      <c r="B50" s="1562" t="s">
        <v>559</v>
      </c>
      <c r="C50" s="837" t="s">
        <v>5355</v>
      </c>
      <c r="D50" s="1162" t="s">
        <v>5356</v>
      </c>
      <c r="E50" s="1043" t="s">
        <v>5357</v>
      </c>
      <c r="F50" s="1043" t="s">
        <v>125</v>
      </c>
      <c r="G50" s="1043" t="s">
        <v>96</v>
      </c>
      <c r="H50" s="1043" t="s">
        <v>96</v>
      </c>
      <c r="I50" s="1049" t="s">
        <v>3528</v>
      </c>
      <c r="J50" s="1049"/>
      <c r="K50" s="1049" t="s">
        <v>5358</v>
      </c>
      <c r="L50" s="1169">
        <v>42948</v>
      </c>
      <c r="M50" s="1169">
        <v>43008</v>
      </c>
      <c r="N50" s="1187">
        <v>43039</v>
      </c>
      <c r="O50" s="1169">
        <v>43131</v>
      </c>
      <c r="P50" s="1203">
        <v>43190</v>
      </c>
      <c r="Q50" s="1169">
        <v>43220</v>
      </c>
      <c r="R50" s="1169">
        <v>43251</v>
      </c>
      <c r="S50" s="1204">
        <v>43281</v>
      </c>
      <c r="T50" s="1169"/>
      <c r="U50" s="1169"/>
      <c r="V50" s="1169"/>
      <c r="W50" s="1169"/>
      <c r="X50" s="1169"/>
      <c r="Y50" s="1169"/>
      <c r="Z50" s="1169"/>
      <c r="AA50" s="1169"/>
      <c r="AB50" s="1169"/>
      <c r="AC50" s="1169"/>
      <c r="AD50" s="1169"/>
      <c r="AE50" s="1169"/>
      <c r="AF50" s="1169"/>
      <c r="AG50" s="1169"/>
      <c r="AH50" s="1169"/>
      <c r="AI50" s="1169"/>
      <c r="AJ50" s="1169"/>
      <c r="AK50" s="1169"/>
      <c r="AL50" s="1169"/>
      <c r="AM50" s="1169"/>
      <c r="AN50" s="1169"/>
      <c r="AO50" s="1169"/>
      <c r="AP50" s="1169"/>
      <c r="AQ50" s="1169"/>
      <c r="AR50" s="1169"/>
      <c r="AS50" s="1169"/>
      <c r="AT50" s="1169"/>
      <c r="AU50" s="1169"/>
      <c r="AV50" s="1169"/>
      <c r="AW50" s="640">
        <f ca="1">SUM(S50-NOW())</f>
        <v>8.61546296296001</v>
      </c>
      <c r="AX50" s="121" t="str">
        <f ca="1" t="shared" si="2"/>
        <v>WARNING</v>
      </c>
      <c r="AY50" s="1077">
        <v>9144713</v>
      </c>
      <c r="AZ50" s="1077">
        <v>350000</v>
      </c>
      <c r="BA50" s="1078" t="s">
        <v>583</v>
      </c>
      <c r="BB50" s="1085"/>
      <c r="BC50" s="1078" t="s">
        <v>583</v>
      </c>
      <c r="BD50" s="1077"/>
      <c r="BE50" s="1077"/>
      <c r="BF50" s="1078"/>
      <c r="BG50" s="1078">
        <v>500000</v>
      </c>
      <c r="BH50" s="1078">
        <v>150000</v>
      </c>
      <c r="BI50" s="1049" t="s">
        <v>0</v>
      </c>
      <c r="BJ50" s="1078" t="s">
        <v>48</v>
      </c>
      <c r="BK50" s="1078" t="s">
        <v>48</v>
      </c>
      <c r="BL50" s="1049"/>
      <c r="BM50" s="1102" t="s">
        <v>5359</v>
      </c>
      <c r="BN50" s="1103"/>
      <c r="BO50" s="1103" t="s">
        <v>5360</v>
      </c>
      <c r="BP50" s="1536" t="s">
        <v>5361</v>
      </c>
      <c r="BQ50" s="1103" t="s">
        <v>5362</v>
      </c>
      <c r="BR50" s="1536" t="s">
        <v>5363</v>
      </c>
      <c r="BS50" s="1103" t="s">
        <v>5364</v>
      </c>
      <c r="BT50" s="130" t="s">
        <v>5365</v>
      </c>
      <c r="BU50" s="1187" t="s">
        <v>5146</v>
      </c>
      <c r="BV50" s="1232" t="s">
        <v>4860</v>
      </c>
      <c r="BW50" s="1233" t="s">
        <v>5365</v>
      </c>
      <c r="BX50" s="1234" t="s">
        <v>3479</v>
      </c>
      <c r="BY50" s="1189"/>
    </row>
    <row r="51" s="1192" customFormat="1" ht="21" spans="2:77">
      <c r="B51" s="1562" t="s">
        <v>569</v>
      </c>
      <c r="C51" s="1200" t="s">
        <v>5366</v>
      </c>
      <c r="D51" s="1162" t="s">
        <v>5367</v>
      </c>
      <c r="E51" s="1043" t="s">
        <v>5368</v>
      </c>
      <c r="F51" s="1043" t="s">
        <v>43</v>
      </c>
      <c r="G51" s="1043" t="s">
        <v>44</v>
      </c>
      <c r="H51" s="1043" t="s">
        <v>44</v>
      </c>
      <c r="I51" s="1049" t="s">
        <v>3528</v>
      </c>
      <c r="J51" s="1049"/>
      <c r="K51" s="1049" t="s">
        <v>722</v>
      </c>
      <c r="L51" s="1169">
        <v>42957</v>
      </c>
      <c r="M51" s="1169">
        <v>43008</v>
      </c>
      <c r="N51" s="1187">
        <v>43039</v>
      </c>
      <c r="O51" s="1169">
        <v>43069</v>
      </c>
      <c r="P51" s="1169">
        <v>43100</v>
      </c>
      <c r="Q51" s="1169">
        <v>43190</v>
      </c>
      <c r="R51" s="1169">
        <v>43220</v>
      </c>
      <c r="S51" s="1169">
        <v>43251</v>
      </c>
      <c r="T51" s="1204">
        <v>43281</v>
      </c>
      <c r="U51" s="1169"/>
      <c r="V51" s="1169"/>
      <c r="W51" s="1169"/>
      <c r="X51" s="1169"/>
      <c r="Y51" s="1169"/>
      <c r="Z51" s="1169"/>
      <c r="AA51" s="1169"/>
      <c r="AB51" s="1169"/>
      <c r="AC51" s="1169"/>
      <c r="AD51" s="1169"/>
      <c r="AE51" s="1169"/>
      <c r="AF51" s="1169"/>
      <c r="AG51" s="1169"/>
      <c r="AH51" s="1169"/>
      <c r="AI51" s="1169"/>
      <c r="AJ51" s="1169"/>
      <c r="AK51" s="1169"/>
      <c r="AL51" s="1169"/>
      <c r="AM51" s="1169"/>
      <c r="AN51" s="1169"/>
      <c r="AO51" s="1169"/>
      <c r="AP51" s="1169"/>
      <c r="AQ51" s="1169"/>
      <c r="AR51" s="1169"/>
      <c r="AS51" s="1169"/>
      <c r="AT51" s="1169"/>
      <c r="AU51" s="1169"/>
      <c r="AV51" s="1169"/>
      <c r="AW51" s="640">
        <f ca="1">SUM(T51-NOW())</f>
        <v>8.61546296296001</v>
      </c>
      <c r="AX51" s="121" t="str">
        <f ca="1" t="shared" si="2"/>
        <v>WARNING</v>
      </c>
      <c r="AY51" s="1077">
        <f>500000+3000000</f>
        <v>3500000</v>
      </c>
      <c r="AZ51" s="1077">
        <v>200000</v>
      </c>
      <c r="BA51" s="1078"/>
      <c r="BB51" s="1085"/>
      <c r="BC51" s="1078"/>
      <c r="BD51" s="1077"/>
      <c r="BE51" s="1077"/>
      <c r="BF51" s="1078"/>
      <c r="BG51" s="1078">
        <v>500000</v>
      </c>
      <c r="BH51" s="1078">
        <v>150000</v>
      </c>
      <c r="BI51" s="1049" t="s">
        <v>0</v>
      </c>
      <c r="BJ51" s="1078" t="s">
        <v>48</v>
      </c>
      <c r="BK51" s="1227" t="s">
        <v>5296</v>
      </c>
      <c r="BL51" s="1049" t="s">
        <v>5369</v>
      </c>
      <c r="BM51" s="1102" t="s">
        <v>5370</v>
      </c>
      <c r="BN51" s="1103" t="s">
        <v>5371</v>
      </c>
      <c r="BO51" s="1103" t="s">
        <v>5372</v>
      </c>
      <c r="BP51" s="1536" t="s">
        <v>5373</v>
      </c>
      <c r="BQ51" s="1103"/>
      <c r="BR51" s="1103"/>
      <c r="BS51" s="1103"/>
      <c r="BT51" s="130" t="s">
        <v>5374</v>
      </c>
      <c r="BU51" s="1187" t="s">
        <v>5146</v>
      </c>
      <c r="BV51" s="1232" t="s">
        <v>4860</v>
      </c>
      <c r="BW51" s="1233" t="s">
        <v>5374</v>
      </c>
      <c r="BX51" s="1234" t="s">
        <v>3479</v>
      </c>
      <c r="BY51" s="1189"/>
    </row>
    <row r="52" s="1193" customFormat="1" ht="27" customHeight="1" spans="2:77">
      <c r="B52" s="1562" t="s">
        <v>579</v>
      </c>
      <c r="C52" s="14" t="s">
        <v>5375</v>
      </c>
      <c r="D52" s="1162" t="s">
        <v>5376</v>
      </c>
      <c r="E52" s="1043" t="s">
        <v>5377</v>
      </c>
      <c r="F52" s="1043" t="s">
        <v>125</v>
      </c>
      <c r="G52" s="1043" t="s">
        <v>254</v>
      </c>
      <c r="H52" s="1043" t="s">
        <v>254</v>
      </c>
      <c r="I52" s="1049" t="s">
        <v>3528</v>
      </c>
      <c r="J52" s="1049"/>
      <c r="K52" s="1049" t="s">
        <v>5378</v>
      </c>
      <c r="L52" s="1169">
        <v>42975</v>
      </c>
      <c r="M52" s="1169">
        <v>43069</v>
      </c>
      <c r="N52" s="1169">
        <v>43100</v>
      </c>
      <c r="O52" s="1169">
        <v>43190</v>
      </c>
      <c r="P52" s="1203">
        <v>43281</v>
      </c>
      <c r="Q52" s="1169"/>
      <c r="R52" s="1169"/>
      <c r="S52" s="1169"/>
      <c r="T52" s="1169"/>
      <c r="U52" s="1169"/>
      <c r="V52" s="1169"/>
      <c r="W52" s="1169"/>
      <c r="X52" s="1169"/>
      <c r="Y52" s="1169"/>
      <c r="Z52" s="1169"/>
      <c r="AA52" s="1169"/>
      <c r="AB52" s="1169"/>
      <c r="AC52" s="1169"/>
      <c r="AD52" s="1169"/>
      <c r="AE52" s="1169"/>
      <c r="AF52" s="1169"/>
      <c r="AG52" s="1169"/>
      <c r="AH52" s="1169"/>
      <c r="AI52" s="1169"/>
      <c r="AJ52" s="1169"/>
      <c r="AK52" s="1169"/>
      <c r="AL52" s="1169"/>
      <c r="AM52" s="1169"/>
      <c r="AN52" s="1169"/>
      <c r="AO52" s="1169"/>
      <c r="AP52" s="1169"/>
      <c r="AQ52" s="1169"/>
      <c r="AR52" s="1169"/>
      <c r="AS52" s="1169"/>
      <c r="AT52" s="1169"/>
      <c r="AU52" s="1169"/>
      <c r="AV52" s="1169"/>
      <c r="AW52" s="640">
        <f ca="1">SUM(P52-NOW())</f>
        <v>8.61546296296001</v>
      </c>
      <c r="AX52" s="121" t="str">
        <f ca="1" t="shared" si="2"/>
        <v>WARNING</v>
      </c>
      <c r="AY52" s="1077">
        <v>5000000</v>
      </c>
      <c r="AZ52" s="1077">
        <v>250000</v>
      </c>
      <c r="BA52" s="1078"/>
      <c r="BB52" s="1085"/>
      <c r="BC52" s="1078"/>
      <c r="BD52" s="1077"/>
      <c r="BE52" s="1077"/>
      <c r="BF52" s="1078"/>
      <c r="BG52" s="1078">
        <v>500000</v>
      </c>
      <c r="BH52" s="1078">
        <v>150000</v>
      </c>
      <c r="BI52" s="1049" t="s">
        <v>0</v>
      </c>
      <c r="BJ52" s="1078" t="s">
        <v>48</v>
      </c>
      <c r="BK52" s="1078" t="s">
        <v>48</v>
      </c>
      <c r="BL52" s="1049"/>
      <c r="BM52" s="1102" t="s">
        <v>5379</v>
      </c>
      <c r="BN52" s="1103" t="s">
        <v>5380</v>
      </c>
      <c r="BO52" s="1103" t="s">
        <v>5381</v>
      </c>
      <c r="BP52" s="1536" t="s">
        <v>5382</v>
      </c>
      <c r="BQ52" s="1103" t="s">
        <v>5383</v>
      </c>
      <c r="BR52" s="1103" t="s">
        <v>5384</v>
      </c>
      <c r="BS52" s="1103"/>
      <c r="BT52" s="127" t="s">
        <v>5385</v>
      </c>
      <c r="BU52" s="1187"/>
      <c r="BV52" s="1232" t="s">
        <v>4845</v>
      </c>
      <c r="BW52" s="1233" t="s">
        <v>5385</v>
      </c>
      <c r="BX52" s="1234" t="s">
        <v>3479</v>
      </c>
      <c r="BY52" s="1189"/>
    </row>
    <row r="53" s="1191" customFormat="1" ht="27" customHeight="1" spans="2:77">
      <c r="B53" s="1563" t="s">
        <v>588</v>
      </c>
      <c r="C53" s="32" t="s">
        <v>5386</v>
      </c>
      <c r="D53" s="1199" t="s">
        <v>5387</v>
      </c>
      <c r="E53" s="1044" t="s">
        <v>5388</v>
      </c>
      <c r="F53" s="1044" t="s">
        <v>125</v>
      </c>
      <c r="G53" s="1044" t="s">
        <v>96</v>
      </c>
      <c r="H53" s="1044" t="s">
        <v>96</v>
      </c>
      <c r="I53" s="1051" t="s">
        <v>3528</v>
      </c>
      <c r="J53" s="1051"/>
      <c r="K53" s="1051" t="s">
        <v>5389</v>
      </c>
      <c r="L53" s="1202">
        <v>42979</v>
      </c>
      <c r="M53" s="1202">
        <v>43100</v>
      </c>
      <c r="N53" s="1202">
        <v>43190</v>
      </c>
      <c r="O53" s="1202">
        <v>43251</v>
      </c>
      <c r="P53" s="1206"/>
      <c r="Q53" s="1202"/>
      <c r="R53" s="1202"/>
      <c r="S53" s="1202"/>
      <c r="T53" s="1202"/>
      <c r="U53" s="1202"/>
      <c r="V53" s="1202"/>
      <c r="W53" s="1202"/>
      <c r="X53" s="1202"/>
      <c r="Y53" s="1202"/>
      <c r="Z53" s="1202"/>
      <c r="AA53" s="1202"/>
      <c r="AB53" s="1202"/>
      <c r="AC53" s="1202"/>
      <c r="AD53" s="1202"/>
      <c r="AE53" s="1202"/>
      <c r="AF53" s="1202"/>
      <c r="AG53" s="1202"/>
      <c r="AH53" s="1202"/>
      <c r="AI53" s="1202"/>
      <c r="AJ53" s="1202"/>
      <c r="AK53" s="1202"/>
      <c r="AL53" s="1202"/>
      <c r="AM53" s="1202"/>
      <c r="AN53" s="1202"/>
      <c r="AO53" s="1202"/>
      <c r="AP53" s="1202"/>
      <c r="AQ53" s="1202"/>
      <c r="AR53" s="1202"/>
      <c r="AS53" s="1202"/>
      <c r="AT53" s="1202"/>
      <c r="AU53" s="1202"/>
      <c r="AV53" s="1202"/>
      <c r="AW53" s="641">
        <f ca="1">SUM(O53-NOW())</f>
        <v>-21.38453703704</v>
      </c>
      <c r="AX53" s="187" t="str">
        <f ca="1" t="shared" si="2"/>
        <v>WARNING</v>
      </c>
      <c r="AY53" s="1080">
        <v>10000000</v>
      </c>
      <c r="AZ53" s="1080">
        <v>250000</v>
      </c>
      <c r="BA53" s="1081"/>
      <c r="BB53" s="1088"/>
      <c r="BC53" s="1081">
        <v>1000000</v>
      </c>
      <c r="BD53" s="1080"/>
      <c r="BE53" s="1080"/>
      <c r="BF53" s="1081"/>
      <c r="BG53" s="1081"/>
      <c r="BH53" s="1081">
        <v>150000</v>
      </c>
      <c r="BI53" s="1051" t="s">
        <v>0</v>
      </c>
      <c r="BJ53" s="1081" t="s">
        <v>48</v>
      </c>
      <c r="BK53" s="1081" t="s">
        <v>5390</v>
      </c>
      <c r="BL53" s="1051"/>
      <c r="BM53" s="1104" t="s">
        <v>5391</v>
      </c>
      <c r="BN53" s="1095" t="s">
        <v>5392</v>
      </c>
      <c r="BO53" s="1095" t="s">
        <v>5393</v>
      </c>
      <c r="BP53" s="1545" t="s">
        <v>5394</v>
      </c>
      <c r="BQ53" s="1095" t="s">
        <v>5395</v>
      </c>
      <c r="BR53" s="1095" t="s">
        <v>5396</v>
      </c>
      <c r="BS53" s="1545" t="s">
        <v>5397</v>
      </c>
      <c r="BT53" s="229" t="s">
        <v>5398</v>
      </c>
      <c r="BU53" s="1205" t="s">
        <v>4859</v>
      </c>
      <c r="BV53" s="1235" t="s">
        <v>5054</v>
      </c>
      <c r="BW53" s="1233" t="s">
        <v>5398</v>
      </c>
      <c r="BX53" s="1236" t="s">
        <v>3479</v>
      </c>
      <c r="BY53" s="1190"/>
    </row>
    <row r="54" s="1191" customFormat="1" ht="27" customHeight="1" spans="2:77">
      <c r="B54" s="1563" t="s">
        <v>598</v>
      </c>
      <c r="C54" s="32" t="s">
        <v>5399</v>
      </c>
      <c r="D54" s="1199" t="s">
        <v>5400</v>
      </c>
      <c r="E54" s="1044" t="s">
        <v>5401</v>
      </c>
      <c r="F54" s="1044" t="s">
        <v>43</v>
      </c>
      <c r="G54" s="1044" t="s">
        <v>96</v>
      </c>
      <c r="H54" s="1044" t="s">
        <v>96</v>
      </c>
      <c r="I54" s="1051" t="s">
        <v>757</v>
      </c>
      <c r="J54" s="1051"/>
      <c r="K54" s="1051" t="s">
        <v>5402</v>
      </c>
      <c r="L54" s="1202">
        <v>42979</v>
      </c>
      <c r="M54" s="1202">
        <v>43069</v>
      </c>
      <c r="N54" s="1202">
        <v>43100</v>
      </c>
      <c r="O54" s="1202">
        <v>43159</v>
      </c>
      <c r="P54" s="1207">
        <v>43190</v>
      </c>
      <c r="Q54" s="1207">
        <v>43220</v>
      </c>
      <c r="R54" s="1207">
        <v>43251</v>
      </c>
      <c r="S54" s="1202"/>
      <c r="T54" s="1202"/>
      <c r="U54" s="1202"/>
      <c r="V54" s="1202"/>
      <c r="W54" s="1202"/>
      <c r="X54" s="1202"/>
      <c r="Y54" s="1202"/>
      <c r="Z54" s="1202"/>
      <c r="AA54" s="1202"/>
      <c r="AB54" s="1202"/>
      <c r="AC54" s="1202"/>
      <c r="AD54" s="1202"/>
      <c r="AE54" s="1202"/>
      <c r="AF54" s="1202"/>
      <c r="AG54" s="1202"/>
      <c r="AH54" s="1202"/>
      <c r="AI54" s="1202"/>
      <c r="AJ54" s="1202"/>
      <c r="AK54" s="1202"/>
      <c r="AL54" s="1202"/>
      <c r="AM54" s="1202"/>
      <c r="AN54" s="1202"/>
      <c r="AO54" s="1202"/>
      <c r="AP54" s="1202"/>
      <c r="AQ54" s="1202"/>
      <c r="AR54" s="1202"/>
      <c r="AS54" s="1202"/>
      <c r="AT54" s="1202"/>
      <c r="AU54" s="1202"/>
      <c r="AV54" s="1202"/>
      <c r="AW54" s="641">
        <f ca="1">SUM(R54-NOW())</f>
        <v>-21.38453703704</v>
      </c>
      <c r="AX54" s="187" t="str">
        <f ca="1" t="shared" si="2"/>
        <v>WARNING</v>
      </c>
      <c r="AY54" s="1080">
        <v>16100000</v>
      </c>
      <c r="AZ54" s="1080">
        <v>500000</v>
      </c>
      <c r="BA54" s="1081"/>
      <c r="BB54" s="1081">
        <v>1000000</v>
      </c>
      <c r="BC54" s="1081">
        <v>1500000</v>
      </c>
      <c r="BD54" s="1080"/>
      <c r="BE54" s="1080"/>
      <c r="BF54" s="1081"/>
      <c r="BG54" s="1081"/>
      <c r="BH54" s="1081">
        <v>150000</v>
      </c>
      <c r="BI54" s="1051" t="s">
        <v>0</v>
      </c>
      <c r="BJ54" s="1081" t="s">
        <v>48</v>
      </c>
      <c r="BK54" s="1081" t="s">
        <v>48</v>
      </c>
      <c r="BL54" s="1051" t="s">
        <v>5403</v>
      </c>
      <c r="BM54" s="1104" t="s">
        <v>5404</v>
      </c>
      <c r="BN54" s="1095" t="s">
        <v>5405</v>
      </c>
      <c r="BO54" s="1095" t="s">
        <v>5406</v>
      </c>
      <c r="BP54" s="1545" t="s">
        <v>5407</v>
      </c>
      <c r="BQ54" s="1095" t="s">
        <v>5408</v>
      </c>
      <c r="BR54" s="1095"/>
      <c r="BS54" s="1095"/>
      <c r="BT54" s="229" t="s">
        <v>5409</v>
      </c>
      <c r="BU54" s="1205" t="s">
        <v>4859</v>
      </c>
      <c r="BV54" s="1235" t="s">
        <v>4860</v>
      </c>
      <c r="BW54" s="1233" t="e">
        <v>#N/A</v>
      </c>
      <c r="BX54" s="1236" t="s">
        <v>3479</v>
      </c>
      <c r="BY54" s="1190"/>
    </row>
    <row r="55" s="1193" customFormat="1" ht="27" customHeight="1" spans="2:77">
      <c r="B55" s="1562" t="s">
        <v>609</v>
      </c>
      <c r="C55" s="14" t="s">
        <v>5410</v>
      </c>
      <c r="D55" s="1162" t="s">
        <v>5411</v>
      </c>
      <c r="E55" s="1043" t="s">
        <v>5412</v>
      </c>
      <c r="F55" s="1043" t="s">
        <v>43</v>
      </c>
      <c r="G55" s="1043" t="s">
        <v>60</v>
      </c>
      <c r="H55" s="1043" t="s">
        <v>60</v>
      </c>
      <c r="I55" s="1049" t="s">
        <v>757</v>
      </c>
      <c r="J55" s="1049"/>
      <c r="K55" s="1049" t="s">
        <v>5413</v>
      </c>
      <c r="L55" s="1169">
        <v>43009</v>
      </c>
      <c r="M55" s="1169">
        <v>43100</v>
      </c>
      <c r="N55" s="1169">
        <v>43190</v>
      </c>
      <c r="O55" s="1203">
        <v>43220</v>
      </c>
      <c r="P55" s="1204">
        <v>43281</v>
      </c>
      <c r="Q55" s="1204">
        <v>43251</v>
      </c>
      <c r="R55" s="1204">
        <v>43373</v>
      </c>
      <c r="S55" s="1169"/>
      <c r="T55" s="1169"/>
      <c r="U55" s="1169"/>
      <c r="V55" s="1169"/>
      <c r="W55" s="1169"/>
      <c r="X55" s="1169"/>
      <c r="Y55" s="1169"/>
      <c r="Z55" s="1169"/>
      <c r="AA55" s="1169"/>
      <c r="AB55" s="1169"/>
      <c r="AC55" s="1169"/>
      <c r="AD55" s="1169"/>
      <c r="AE55" s="1169"/>
      <c r="AF55" s="1169"/>
      <c r="AG55" s="1169"/>
      <c r="AH55" s="1169"/>
      <c r="AI55" s="1169"/>
      <c r="AJ55" s="1169"/>
      <c r="AK55" s="1169"/>
      <c r="AL55" s="1169"/>
      <c r="AM55" s="1169"/>
      <c r="AN55" s="1169"/>
      <c r="AO55" s="1169"/>
      <c r="AP55" s="1169"/>
      <c r="AQ55" s="1169"/>
      <c r="AR55" s="1169"/>
      <c r="AS55" s="1169"/>
      <c r="AT55" s="1169"/>
      <c r="AU55" s="1169"/>
      <c r="AV55" s="1169"/>
      <c r="AW55" s="640">
        <f ca="1">SUM(R55-NOW())</f>
        <v>100.61546296296</v>
      </c>
      <c r="AX55" s="121" t="str">
        <f ca="1" t="shared" si="2"/>
        <v>ACTIVE</v>
      </c>
      <c r="AY55" s="1077">
        <v>16000000</v>
      </c>
      <c r="AZ55" s="1077">
        <v>500000</v>
      </c>
      <c r="BA55" s="1078"/>
      <c r="BB55" s="1085"/>
      <c r="BC55" s="1078">
        <v>2000000</v>
      </c>
      <c r="BD55" s="1077"/>
      <c r="BE55" s="1077"/>
      <c r="BF55" s="1078"/>
      <c r="BG55" s="1223">
        <v>500000</v>
      </c>
      <c r="BH55" s="1078">
        <v>200000</v>
      </c>
      <c r="BI55" s="1049" t="s">
        <v>0</v>
      </c>
      <c r="BJ55" s="1078" t="s">
        <v>48</v>
      </c>
      <c r="BK55" s="1078" t="s">
        <v>48</v>
      </c>
      <c r="BL55" s="1049" t="s">
        <v>5414</v>
      </c>
      <c r="BM55" s="1102" t="s">
        <v>5415</v>
      </c>
      <c r="BN55" s="1103" t="s">
        <v>5416</v>
      </c>
      <c r="BO55" s="1103" t="s">
        <v>5417</v>
      </c>
      <c r="BP55" s="1536" t="s">
        <v>5418</v>
      </c>
      <c r="BQ55" s="1103" t="s">
        <v>5419</v>
      </c>
      <c r="BR55" s="1103"/>
      <c r="BS55" s="1536" t="s">
        <v>5420</v>
      </c>
      <c r="BT55" s="127" t="s">
        <v>5421</v>
      </c>
      <c r="BU55" s="1187"/>
      <c r="BV55" s="1232" t="s">
        <v>4860</v>
      </c>
      <c r="BW55" s="1233" t="e">
        <v>#N/A</v>
      </c>
      <c r="BX55" s="1234" t="s">
        <v>5422</v>
      </c>
      <c r="BY55" s="1189"/>
    </row>
    <row r="56" s="1191" customFormat="1" ht="27" customHeight="1" spans="2:77">
      <c r="B56" s="1563" t="s">
        <v>619</v>
      </c>
      <c r="C56" s="838" t="s">
        <v>5423</v>
      </c>
      <c r="D56" s="1199" t="s">
        <v>5424</v>
      </c>
      <c r="E56" s="1044" t="s">
        <v>5425</v>
      </c>
      <c r="F56" s="1044" t="s">
        <v>43</v>
      </c>
      <c r="G56" s="1044" t="s">
        <v>60</v>
      </c>
      <c r="H56" s="1044" t="s">
        <v>60</v>
      </c>
      <c r="I56" s="1051" t="s">
        <v>665</v>
      </c>
      <c r="J56" s="1051" t="s">
        <v>4970</v>
      </c>
      <c r="K56" s="1051" t="s">
        <v>5426</v>
      </c>
      <c r="L56" s="1202">
        <v>42779</v>
      </c>
      <c r="M56" s="1202">
        <v>42886</v>
      </c>
      <c r="N56" s="1202">
        <v>42916</v>
      </c>
      <c r="O56" s="1202">
        <v>42978</v>
      </c>
      <c r="P56" s="1202">
        <v>43008</v>
      </c>
      <c r="Q56" s="1202">
        <v>43039</v>
      </c>
      <c r="R56" s="1202">
        <v>43100</v>
      </c>
      <c r="S56" s="1202">
        <v>43131</v>
      </c>
      <c r="T56" s="1208">
        <v>43190</v>
      </c>
      <c r="U56" s="1202">
        <v>43281</v>
      </c>
      <c r="V56" s="1207">
        <v>43251</v>
      </c>
      <c r="W56" s="1202"/>
      <c r="X56" s="1202"/>
      <c r="Y56" s="1202"/>
      <c r="Z56" s="1202"/>
      <c r="AA56" s="1202"/>
      <c r="AB56" s="1202"/>
      <c r="AC56" s="1202"/>
      <c r="AD56" s="1202"/>
      <c r="AE56" s="1202"/>
      <c r="AF56" s="1202"/>
      <c r="AG56" s="1202"/>
      <c r="AH56" s="1202"/>
      <c r="AI56" s="1202"/>
      <c r="AJ56" s="1202"/>
      <c r="AK56" s="1202"/>
      <c r="AL56" s="1202"/>
      <c r="AM56" s="1202"/>
      <c r="AN56" s="1202"/>
      <c r="AO56" s="1202"/>
      <c r="AP56" s="1202"/>
      <c r="AQ56" s="1202"/>
      <c r="AR56" s="1202"/>
      <c r="AS56" s="1202"/>
      <c r="AT56" s="1202"/>
      <c r="AU56" s="1202"/>
      <c r="AV56" s="1202"/>
      <c r="AW56" s="641">
        <f ca="1">SUM(U56-NOW())</f>
        <v>8.61546296296001</v>
      </c>
      <c r="AX56" s="187" t="str">
        <f ca="1" t="shared" si="2"/>
        <v>WARNING</v>
      </c>
      <c r="AY56" s="1080">
        <v>8000000</v>
      </c>
      <c r="AZ56" s="1080">
        <v>500000</v>
      </c>
      <c r="BA56" s="1081" t="s">
        <v>583</v>
      </c>
      <c r="BB56" s="1088"/>
      <c r="BC56" s="1081">
        <v>2500000</v>
      </c>
      <c r="BD56" s="1080"/>
      <c r="BE56" s="1080"/>
      <c r="BF56" s="1081" t="s">
        <v>583</v>
      </c>
      <c r="BG56" s="1081">
        <v>500000</v>
      </c>
      <c r="BH56" s="1081">
        <v>250000</v>
      </c>
      <c r="BI56" s="1051" t="s">
        <v>0</v>
      </c>
      <c r="BJ56" s="1081" t="s">
        <v>48</v>
      </c>
      <c r="BK56" s="1081" t="s">
        <v>48</v>
      </c>
      <c r="BL56" s="1051"/>
      <c r="BM56" s="1104" t="s">
        <v>5427</v>
      </c>
      <c r="BN56" s="1095" t="s">
        <v>5428</v>
      </c>
      <c r="BO56" s="1095" t="s">
        <v>5429</v>
      </c>
      <c r="BP56" s="1545" t="s">
        <v>5430</v>
      </c>
      <c r="BQ56" s="1095" t="s">
        <v>5431</v>
      </c>
      <c r="BR56" s="1095"/>
      <c r="BS56" s="1095"/>
      <c r="BT56" s="1126" t="s">
        <v>5432</v>
      </c>
      <c r="BU56" s="1205" t="s">
        <v>4859</v>
      </c>
      <c r="BV56" s="1235" t="s">
        <v>5089</v>
      </c>
      <c r="BW56" s="1233" t="e">
        <v>#N/A</v>
      </c>
      <c r="BX56" s="1236" t="s">
        <v>3479</v>
      </c>
      <c r="BY56" s="1190"/>
    </row>
    <row r="57" s="1193" customFormat="1" ht="18" customHeight="1" spans="2:77">
      <c r="B57" s="1562" t="s">
        <v>631</v>
      </c>
      <c r="C57" s="837" t="s">
        <v>5433</v>
      </c>
      <c r="D57" s="837" t="s">
        <v>5434</v>
      </c>
      <c r="E57" s="1043" t="s">
        <v>5435</v>
      </c>
      <c r="F57" s="1043" t="s">
        <v>43</v>
      </c>
      <c r="G57" s="1043" t="s">
        <v>60</v>
      </c>
      <c r="H57" s="1043" t="s">
        <v>60</v>
      </c>
      <c r="I57" s="1049" t="s">
        <v>3528</v>
      </c>
      <c r="J57" s="1049"/>
      <c r="K57" s="1049" t="s">
        <v>5436</v>
      </c>
      <c r="L57" s="1050">
        <v>43024</v>
      </c>
      <c r="M57" s="1050">
        <v>43100</v>
      </c>
      <c r="N57" s="1169">
        <v>43190</v>
      </c>
      <c r="O57" s="1203">
        <v>43281</v>
      </c>
      <c r="P57" s="1050"/>
      <c r="Q57" s="1187"/>
      <c r="R57" s="1050"/>
      <c r="S57" s="1050"/>
      <c r="T57" s="1050"/>
      <c r="U57" s="1050"/>
      <c r="V57" s="1050"/>
      <c r="W57" s="1050"/>
      <c r="X57" s="1050"/>
      <c r="Y57" s="1050"/>
      <c r="Z57" s="1050"/>
      <c r="AA57" s="1050"/>
      <c r="AB57" s="1050"/>
      <c r="AC57" s="1050"/>
      <c r="AD57" s="1050"/>
      <c r="AE57" s="1050"/>
      <c r="AF57" s="1050"/>
      <c r="AG57" s="1050"/>
      <c r="AH57" s="1050"/>
      <c r="AI57" s="1050"/>
      <c r="AJ57" s="1050"/>
      <c r="AK57" s="1050"/>
      <c r="AL57" s="1050"/>
      <c r="AM57" s="1050"/>
      <c r="AN57" s="1050"/>
      <c r="AO57" s="1050"/>
      <c r="AP57" s="1050"/>
      <c r="AQ57" s="1050"/>
      <c r="AR57" s="1050"/>
      <c r="AS57" s="1050"/>
      <c r="AT57" s="1050"/>
      <c r="AU57" s="1169"/>
      <c r="AV57" s="1169"/>
      <c r="AW57" s="640">
        <f ca="1" t="shared" ref="AW57:AW62" si="3">SUM(O57-NOW())</f>
        <v>8.61546296296001</v>
      </c>
      <c r="AX57" s="121" t="str">
        <f ca="1" t="shared" si="2"/>
        <v>WARNING</v>
      </c>
      <c r="AY57" s="1077">
        <v>12500000</v>
      </c>
      <c r="AZ57" s="1077">
        <v>500000</v>
      </c>
      <c r="BA57" s="1078"/>
      <c r="BB57" s="1085"/>
      <c r="BC57" s="1078">
        <v>1000000</v>
      </c>
      <c r="BD57" s="1077"/>
      <c r="BE57" s="1077"/>
      <c r="BF57" s="1078"/>
      <c r="BG57" s="1078">
        <v>500000</v>
      </c>
      <c r="BH57" s="1078">
        <v>250000</v>
      </c>
      <c r="BI57" s="1049" t="s">
        <v>0</v>
      </c>
      <c r="BJ57" s="1078" t="s">
        <v>48</v>
      </c>
      <c r="BK57" s="1078" t="s">
        <v>48</v>
      </c>
      <c r="BL57" s="1049"/>
      <c r="BM57" s="1102" t="s">
        <v>5437</v>
      </c>
      <c r="BN57" s="1103" t="s">
        <v>5438</v>
      </c>
      <c r="BO57" s="1103" t="s">
        <v>5439</v>
      </c>
      <c r="BP57" s="1536" t="s">
        <v>5440</v>
      </c>
      <c r="BQ57" s="1103" t="s">
        <v>5441</v>
      </c>
      <c r="BR57" s="1103" t="s">
        <v>5442</v>
      </c>
      <c r="BS57" s="1536" t="s">
        <v>5443</v>
      </c>
      <c r="BT57" s="127" t="s">
        <v>5444</v>
      </c>
      <c r="BU57" s="1187"/>
      <c r="BV57" s="1232" t="s">
        <v>4845</v>
      </c>
      <c r="BW57" s="1233" t="s">
        <v>5444</v>
      </c>
      <c r="BX57" s="1234" t="s">
        <v>3479</v>
      </c>
      <c r="BY57" s="1189"/>
    </row>
    <row r="58" s="1192" customFormat="1" ht="14.1" customHeight="1" spans="2:77">
      <c r="B58" s="1562" t="s">
        <v>642</v>
      </c>
      <c r="C58" s="837" t="s">
        <v>5445</v>
      </c>
      <c r="D58" s="1162" t="s">
        <v>5446</v>
      </c>
      <c r="E58" s="1043" t="s">
        <v>5447</v>
      </c>
      <c r="F58" s="1043" t="s">
        <v>43</v>
      </c>
      <c r="G58" s="1043" t="s">
        <v>60</v>
      </c>
      <c r="H58" s="1043" t="s">
        <v>60</v>
      </c>
      <c r="I58" s="1049" t="s">
        <v>3528</v>
      </c>
      <c r="J58" s="837" t="s">
        <v>4564</v>
      </c>
      <c r="K58" s="1049" t="s">
        <v>5448</v>
      </c>
      <c r="L58" s="1169">
        <v>43034</v>
      </c>
      <c r="M58" s="1169">
        <v>43100</v>
      </c>
      <c r="N58" s="1169">
        <v>43131</v>
      </c>
      <c r="O58" s="1203">
        <v>43159</v>
      </c>
      <c r="P58" s="1169">
        <v>43190</v>
      </c>
      <c r="Q58" s="1204">
        <v>43220</v>
      </c>
      <c r="R58" s="1204">
        <v>43251</v>
      </c>
      <c r="S58" s="1204">
        <v>43281</v>
      </c>
      <c r="T58" s="1169"/>
      <c r="U58" s="1169"/>
      <c r="V58" s="1169"/>
      <c r="W58" s="1169"/>
      <c r="X58" s="1169"/>
      <c r="Y58" s="1169"/>
      <c r="Z58" s="1169"/>
      <c r="AA58" s="1169"/>
      <c r="AB58" s="1169"/>
      <c r="AC58" s="1169"/>
      <c r="AD58" s="1169"/>
      <c r="AE58" s="1169"/>
      <c r="AF58" s="1169"/>
      <c r="AG58" s="1169"/>
      <c r="AH58" s="1169"/>
      <c r="AI58" s="1169"/>
      <c r="AJ58" s="1169"/>
      <c r="AK58" s="1169"/>
      <c r="AL58" s="1169"/>
      <c r="AM58" s="1169"/>
      <c r="AN58" s="1169"/>
      <c r="AO58" s="1169"/>
      <c r="AP58" s="1169"/>
      <c r="AQ58" s="1169"/>
      <c r="AR58" s="1169"/>
      <c r="AS58" s="1169"/>
      <c r="AT58" s="1169"/>
      <c r="AU58" s="1169"/>
      <c r="AV58" s="1169"/>
      <c r="AW58" s="640">
        <f ca="1">SUM(S58-NOW())</f>
        <v>8.61546296296001</v>
      </c>
      <c r="AX58" s="121" t="str">
        <f ca="1" t="shared" si="2"/>
        <v>WARNING</v>
      </c>
      <c r="AY58" s="1077">
        <v>6500000</v>
      </c>
      <c r="AZ58" s="1077">
        <v>250000</v>
      </c>
      <c r="BA58" s="1078"/>
      <c r="BB58" s="1085"/>
      <c r="BC58" s="1078"/>
      <c r="BD58" s="1077"/>
      <c r="BE58" s="1077"/>
      <c r="BF58" s="1078"/>
      <c r="BG58" s="1078">
        <v>500000</v>
      </c>
      <c r="BH58" s="1078">
        <v>150000</v>
      </c>
      <c r="BI58" s="1049" t="s">
        <v>112</v>
      </c>
      <c r="BJ58" s="1049" t="s">
        <v>113</v>
      </c>
      <c r="BK58" s="1078" t="s">
        <v>113</v>
      </c>
      <c r="BL58" s="1049"/>
      <c r="BM58" s="1102" t="s">
        <v>5449</v>
      </c>
      <c r="BN58" s="1103" t="s">
        <v>5450</v>
      </c>
      <c r="BO58" s="1103" t="s">
        <v>5451</v>
      </c>
      <c r="BP58" s="1536" t="s">
        <v>5452</v>
      </c>
      <c r="BQ58" s="1103" t="s">
        <v>5453</v>
      </c>
      <c r="BR58" s="1103"/>
      <c r="BS58" s="1103" t="s">
        <v>5454</v>
      </c>
      <c r="BT58" s="1230" t="s">
        <v>5455</v>
      </c>
      <c r="BU58" s="1187" t="s">
        <v>5456</v>
      </c>
      <c r="BV58" s="1232" t="s">
        <v>4860</v>
      </c>
      <c r="BW58" s="1233" t="s">
        <v>5457</v>
      </c>
      <c r="BX58" s="1234" t="s">
        <v>3479</v>
      </c>
      <c r="BY58" s="1189"/>
    </row>
    <row r="59" s="1193" customFormat="1" ht="14.1" customHeight="1" spans="2:77">
      <c r="B59" s="1562" t="s">
        <v>651</v>
      </c>
      <c r="C59" s="837" t="s">
        <v>5458</v>
      </c>
      <c r="D59" s="1162" t="s">
        <v>5459</v>
      </c>
      <c r="E59" s="1043" t="s">
        <v>5460</v>
      </c>
      <c r="F59" s="1043" t="s">
        <v>43</v>
      </c>
      <c r="G59" s="1043" t="s">
        <v>44</v>
      </c>
      <c r="H59" s="1043" t="s">
        <v>44</v>
      </c>
      <c r="I59" s="1049" t="s">
        <v>3904</v>
      </c>
      <c r="J59" s="837" t="s">
        <v>4564</v>
      </c>
      <c r="K59" s="1049" t="s">
        <v>2823</v>
      </c>
      <c r="L59" s="1169">
        <v>43040</v>
      </c>
      <c r="M59" s="1169">
        <v>43100</v>
      </c>
      <c r="N59" s="1169">
        <v>43159</v>
      </c>
      <c r="O59" s="1204">
        <v>43190</v>
      </c>
      <c r="P59" s="1204">
        <v>43281</v>
      </c>
      <c r="Q59" s="1169"/>
      <c r="R59" s="1210"/>
      <c r="S59" s="1169"/>
      <c r="T59" s="1169"/>
      <c r="U59" s="1169"/>
      <c r="V59" s="1169"/>
      <c r="W59" s="1169"/>
      <c r="X59" s="1169"/>
      <c r="Y59" s="1169"/>
      <c r="Z59" s="1169"/>
      <c r="AA59" s="1169"/>
      <c r="AB59" s="1169"/>
      <c r="AC59" s="1169"/>
      <c r="AD59" s="1169"/>
      <c r="AE59" s="1169"/>
      <c r="AF59" s="1169"/>
      <c r="AG59" s="1169"/>
      <c r="AH59" s="1169"/>
      <c r="AI59" s="1169"/>
      <c r="AJ59" s="1169"/>
      <c r="AK59" s="1169"/>
      <c r="AL59" s="1169"/>
      <c r="AM59" s="1169"/>
      <c r="AN59" s="1169"/>
      <c r="AO59" s="1169"/>
      <c r="AP59" s="1169"/>
      <c r="AQ59" s="1169"/>
      <c r="AR59" s="1169"/>
      <c r="AS59" s="1169"/>
      <c r="AT59" s="1169"/>
      <c r="AU59" s="1169"/>
      <c r="AV59" s="1169"/>
      <c r="AW59" s="640">
        <f ca="1">SUM(P59-NOW())</f>
        <v>8.61546296296001</v>
      </c>
      <c r="AX59" s="121" t="str">
        <f ca="1" t="shared" si="2"/>
        <v>WARNING</v>
      </c>
      <c r="AY59" s="1077">
        <v>2500000</v>
      </c>
      <c r="AZ59" s="1077">
        <v>100000</v>
      </c>
      <c r="BA59" s="1078"/>
      <c r="BB59" s="1085"/>
      <c r="BC59" s="1078"/>
      <c r="BD59" s="1077"/>
      <c r="BE59" s="1077"/>
      <c r="BF59" s="1078">
        <v>250000</v>
      </c>
      <c r="BG59" s="1078"/>
      <c r="BH59" s="1078"/>
      <c r="BI59" s="1049" t="s">
        <v>0</v>
      </c>
      <c r="BJ59" s="1078" t="s">
        <v>48</v>
      </c>
      <c r="BK59" s="1229" t="s">
        <v>5296</v>
      </c>
      <c r="BL59" s="1049"/>
      <c r="BM59" s="1102" t="s">
        <v>5461</v>
      </c>
      <c r="BN59" s="1103" t="s">
        <v>5462</v>
      </c>
      <c r="BO59" s="1103" t="s">
        <v>5463</v>
      </c>
      <c r="BP59" s="1536" t="s">
        <v>5464</v>
      </c>
      <c r="BQ59" s="1103"/>
      <c r="BR59" s="1103"/>
      <c r="BS59" s="1103"/>
      <c r="BT59" s="127"/>
      <c r="BU59" s="1187"/>
      <c r="BV59" s="1232" t="s">
        <v>4845</v>
      </c>
      <c r="BW59" s="1233" t="e">
        <v>#N/A</v>
      </c>
      <c r="BX59" s="1234" t="s">
        <v>3479</v>
      </c>
      <c r="BY59" s="1189"/>
    </row>
    <row r="60" s="1192" customFormat="1" ht="14.1" customHeight="1" spans="2:77">
      <c r="B60" s="1562" t="s">
        <v>661</v>
      </c>
      <c r="C60" s="837" t="s">
        <v>5465</v>
      </c>
      <c r="D60" s="1162" t="s">
        <v>5466</v>
      </c>
      <c r="E60" s="1043" t="s">
        <v>5467</v>
      </c>
      <c r="F60" s="1043" t="s">
        <v>125</v>
      </c>
      <c r="G60" s="1043" t="s">
        <v>254</v>
      </c>
      <c r="H60" s="1043" t="s">
        <v>254</v>
      </c>
      <c r="I60" s="1049" t="s">
        <v>3528</v>
      </c>
      <c r="J60" s="837" t="s">
        <v>4564</v>
      </c>
      <c r="K60" s="1049" t="s">
        <v>5389</v>
      </c>
      <c r="L60" s="1169">
        <v>43040</v>
      </c>
      <c r="M60" s="1169">
        <v>43100</v>
      </c>
      <c r="N60" s="1169">
        <v>43190</v>
      </c>
      <c r="O60" s="1169">
        <v>43281</v>
      </c>
      <c r="P60" s="1050"/>
      <c r="Q60" s="1169"/>
      <c r="R60" s="1210"/>
      <c r="S60" s="1169"/>
      <c r="T60" s="1169"/>
      <c r="U60" s="1169"/>
      <c r="V60" s="1169"/>
      <c r="W60" s="1169"/>
      <c r="X60" s="1169"/>
      <c r="Y60" s="1169"/>
      <c r="Z60" s="1169"/>
      <c r="AA60" s="1169"/>
      <c r="AB60" s="1169"/>
      <c r="AC60" s="1169"/>
      <c r="AD60" s="1169"/>
      <c r="AE60" s="1169"/>
      <c r="AF60" s="1169"/>
      <c r="AG60" s="1169"/>
      <c r="AH60" s="1169"/>
      <c r="AI60" s="1169"/>
      <c r="AJ60" s="1169"/>
      <c r="AK60" s="1169"/>
      <c r="AL60" s="1169"/>
      <c r="AM60" s="1169"/>
      <c r="AN60" s="1169"/>
      <c r="AO60" s="1169"/>
      <c r="AP60" s="1169"/>
      <c r="AQ60" s="1169"/>
      <c r="AR60" s="1169"/>
      <c r="AS60" s="1169"/>
      <c r="AT60" s="1169"/>
      <c r="AU60" s="1169"/>
      <c r="AV60" s="1169"/>
      <c r="AW60" s="640">
        <f ca="1" t="shared" si="3"/>
        <v>8.61546296296001</v>
      </c>
      <c r="AX60" s="121" t="str">
        <f ca="1" t="shared" si="2"/>
        <v>WARNING</v>
      </c>
      <c r="AY60" s="1077">
        <v>9000000</v>
      </c>
      <c r="AZ60" s="1077">
        <v>250000</v>
      </c>
      <c r="BA60" s="1078"/>
      <c r="BB60" s="1085">
        <v>2000000</v>
      </c>
      <c r="BC60" s="1078"/>
      <c r="BD60" s="1077"/>
      <c r="BE60" s="1077"/>
      <c r="BF60" s="1078"/>
      <c r="BG60" s="1078"/>
      <c r="BH60" s="1078">
        <v>150000</v>
      </c>
      <c r="BI60" s="1049" t="s">
        <v>112</v>
      </c>
      <c r="BJ60" s="1049" t="s">
        <v>113</v>
      </c>
      <c r="BK60" s="1078" t="s">
        <v>113</v>
      </c>
      <c r="BL60" s="1049"/>
      <c r="BM60" s="1102" t="s">
        <v>5468</v>
      </c>
      <c r="BN60" s="1536" t="s">
        <v>5469</v>
      </c>
      <c r="BO60" s="1103" t="s">
        <v>5470</v>
      </c>
      <c r="BP60" s="1536" t="s">
        <v>5471</v>
      </c>
      <c r="BQ60" s="1103" t="s">
        <v>5472</v>
      </c>
      <c r="BR60" s="1103"/>
      <c r="BS60" s="1103"/>
      <c r="BT60" s="130" t="s">
        <v>5473</v>
      </c>
      <c r="BU60" s="1187" t="s">
        <v>5146</v>
      </c>
      <c r="BV60" s="1232" t="s">
        <v>4845</v>
      </c>
      <c r="BW60" s="1233" t="s">
        <v>5473</v>
      </c>
      <c r="BX60" s="1234" t="s">
        <v>3479</v>
      </c>
      <c r="BY60" s="1189"/>
    </row>
    <row r="61" s="1191" customFormat="1" ht="14.1" customHeight="1" spans="2:77">
      <c r="B61" s="1563" t="s">
        <v>671</v>
      </c>
      <c r="C61" s="838" t="s">
        <v>5474</v>
      </c>
      <c r="D61" s="1199" t="s">
        <v>5475</v>
      </c>
      <c r="E61" s="1044" t="s">
        <v>5476</v>
      </c>
      <c r="F61" s="1044" t="s">
        <v>125</v>
      </c>
      <c r="G61" s="1044" t="s">
        <v>254</v>
      </c>
      <c r="H61" s="1044" t="s">
        <v>254</v>
      </c>
      <c r="I61" s="1051" t="s">
        <v>3528</v>
      </c>
      <c r="J61" s="838" t="s">
        <v>4564</v>
      </c>
      <c r="K61" s="1051" t="s">
        <v>5389</v>
      </c>
      <c r="L61" s="1202">
        <v>43040</v>
      </c>
      <c r="M61" s="1202">
        <v>43100</v>
      </c>
      <c r="N61" s="1202">
        <v>43190</v>
      </c>
      <c r="O61" s="1202">
        <v>43251</v>
      </c>
      <c r="P61" s="1052"/>
      <c r="Q61" s="1202"/>
      <c r="R61" s="1211"/>
      <c r="S61" s="1202"/>
      <c r="T61" s="1202"/>
      <c r="U61" s="1202"/>
      <c r="V61" s="1202"/>
      <c r="W61" s="1202"/>
      <c r="X61" s="1202"/>
      <c r="Y61" s="1202"/>
      <c r="Z61" s="1202"/>
      <c r="AA61" s="1202"/>
      <c r="AB61" s="1202"/>
      <c r="AC61" s="1202"/>
      <c r="AD61" s="1202"/>
      <c r="AE61" s="1202"/>
      <c r="AF61" s="1202"/>
      <c r="AG61" s="1202"/>
      <c r="AH61" s="1202"/>
      <c r="AI61" s="1202"/>
      <c r="AJ61" s="1202"/>
      <c r="AK61" s="1202"/>
      <c r="AL61" s="1202"/>
      <c r="AM61" s="1202"/>
      <c r="AN61" s="1202"/>
      <c r="AO61" s="1202"/>
      <c r="AP61" s="1202"/>
      <c r="AQ61" s="1202"/>
      <c r="AR61" s="1202"/>
      <c r="AS61" s="1202"/>
      <c r="AT61" s="1202"/>
      <c r="AU61" s="1202"/>
      <c r="AV61" s="1202"/>
      <c r="AW61" s="641">
        <f ca="1" t="shared" si="3"/>
        <v>-21.38453703704</v>
      </c>
      <c r="AX61" s="187" t="str">
        <f ca="1" t="shared" si="2"/>
        <v>WARNING</v>
      </c>
      <c r="AY61" s="1080">
        <v>9000000</v>
      </c>
      <c r="AZ61" s="1080">
        <v>250000</v>
      </c>
      <c r="BA61" s="1081"/>
      <c r="BB61" s="1088">
        <v>2000000</v>
      </c>
      <c r="BC61" s="1081"/>
      <c r="BD61" s="1080"/>
      <c r="BE61" s="1080"/>
      <c r="BF61" s="1081"/>
      <c r="BG61" s="1081"/>
      <c r="BH61" s="1081">
        <v>150000</v>
      </c>
      <c r="BI61" s="1051" t="s">
        <v>112</v>
      </c>
      <c r="BJ61" s="1051" t="s">
        <v>113</v>
      </c>
      <c r="BK61" s="1081" t="s">
        <v>5477</v>
      </c>
      <c r="BL61" s="1051"/>
      <c r="BM61" s="1104" t="s">
        <v>5478</v>
      </c>
      <c r="BN61" s="1095" t="s">
        <v>5479</v>
      </c>
      <c r="BO61" s="1095" t="s">
        <v>5480</v>
      </c>
      <c r="BP61" s="1545" t="s">
        <v>5481</v>
      </c>
      <c r="BQ61" s="1095" t="s">
        <v>5482</v>
      </c>
      <c r="BR61" s="1095" t="s">
        <v>5483</v>
      </c>
      <c r="BS61" s="1095"/>
      <c r="BT61" s="229" t="s">
        <v>5484</v>
      </c>
      <c r="BU61" s="1205" t="s">
        <v>4859</v>
      </c>
      <c r="BV61" s="1235" t="s">
        <v>5054</v>
      </c>
      <c r="BW61" s="1233" t="s">
        <v>5485</v>
      </c>
      <c r="BX61" s="1236" t="s">
        <v>3479</v>
      </c>
      <c r="BY61" s="1190"/>
    </row>
    <row r="62" s="1193" customFormat="1" ht="21" spans="2:77">
      <c r="B62" s="1562" t="s">
        <v>680</v>
      </c>
      <c r="C62" s="837" t="s">
        <v>5486</v>
      </c>
      <c r="D62" s="1162" t="s">
        <v>5487</v>
      </c>
      <c r="E62" s="1043" t="s">
        <v>5488</v>
      </c>
      <c r="F62" s="1043" t="s">
        <v>125</v>
      </c>
      <c r="G62" s="1043" t="s">
        <v>44</v>
      </c>
      <c r="H62" s="1043" t="s">
        <v>44</v>
      </c>
      <c r="I62" s="1049" t="s">
        <v>3528</v>
      </c>
      <c r="J62" s="837" t="s">
        <v>4564</v>
      </c>
      <c r="K62" s="1049" t="s">
        <v>722</v>
      </c>
      <c r="L62" s="1169">
        <v>43055</v>
      </c>
      <c r="M62" s="1169">
        <v>43131</v>
      </c>
      <c r="N62" s="1169">
        <v>43190</v>
      </c>
      <c r="O62" s="1204">
        <v>43281</v>
      </c>
      <c r="P62" s="1050"/>
      <c r="Q62" s="1169"/>
      <c r="R62" s="1210"/>
      <c r="S62" s="1169"/>
      <c r="T62" s="1169"/>
      <c r="U62" s="1169"/>
      <c r="V62" s="1169"/>
      <c r="W62" s="1169"/>
      <c r="X62" s="1169"/>
      <c r="Y62" s="1169"/>
      <c r="Z62" s="1169"/>
      <c r="AA62" s="1169"/>
      <c r="AB62" s="1169"/>
      <c r="AC62" s="1169"/>
      <c r="AD62" s="1169"/>
      <c r="AE62" s="1169"/>
      <c r="AF62" s="1169"/>
      <c r="AG62" s="1169"/>
      <c r="AH62" s="1169"/>
      <c r="AI62" s="1169"/>
      <c r="AJ62" s="1169"/>
      <c r="AK62" s="1169"/>
      <c r="AL62" s="1169"/>
      <c r="AM62" s="1169"/>
      <c r="AN62" s="1169"/>
      <c r="AO62" s="1169"/>
      <c r="AP62" s="1169"/>
      <c r="AQ62" s="1169"/>
      <c r="AR62" s="1169"/>
      <c r="AS62" s="1169"/>
      <c r="AT62" s="1169"/>
      <c r="AU62" s="1169"/>
      <c r="AV62" s="1169"/>
      <c r="AW62" s="640">
        <f ca="1" t="shared" si="3"/>
        <v>8.61546296296001</v>
      </c>
      <c r="AX62" s="121" t="str">
        <f ca="1" t="shared" si="2"/>
        <v>WARNING</v>
      </c>
      <c r="AY62" s="1077">
        <v>3000000</v>
      </c>
      <c r="AZ62" s="1077">
        <v>200000</v>
      </c>
      <c r="BA62" s="1078"/>
      <c r="BB62" s="1085">
        <v>700000</v>
      </c>
      <c r="BC62" s="1078"/>
      <c r="BD62" s="1077"/>
      <c r="BE62" s="1077"/>
      <c r="BF62" s="1078"/>
      <c r="BG62" s="1078">
        <v>500000</v>
      </c>
      <c r="BH62" s="1078">
        <v>150000</v>
      </c>
      <c r="BI62" s="1049" t="s">
        <v>112</v>
      </c>
      <c r="BJ62" s="1049" t="s">
        <v>113</v>
      </c>
      <c r="BK62" s="1229" t="s">
        <v>5296</v>
      </c>
      <c r="BL62" s="1049"/>
      <c r="BM62" s="1102" t="s">
        <v>5489</v>
      </c>
      <c r="BN62" s="1103" t="s">
        <v>5490</v>
      </c>
      <c r="BO62" s="1103" t="s">
        <v>5491</v>
      </c>
      <c r="BP62" s="1536" t="s">
        <v>5492</v>
      </c>
      <c r="BQ62" s="1103"/>
      <c r="BR62" s="1103"/>
      <c r="BS62" s="1103"/>
      <c r="BT62" s="127" t="s">
        <v>5493</v>
      </c>
      <c r="BU62" s="1187"/>
      <c r="BV62" s="1232" t="s">
        <v>4845</v>
      </c>
      <c r="BW62" s="1233" t="s">
        <v>5493</v>
      </c>
      <c r="BX62" s="1234" t="s">
        <v>3479</v>
      </c>
      <c r="BY62" s="1189"/>
    </row>
    <row r="63" s="1193" customFormat="1" ht="14.1" customHeight="1" spans="2:76">
      <c r="B63" s="1562" t="s">
        <v>690</v>
      </c>
      <c r="C63" s="837" t="s">
        <v>5494</v>
      </c>
      <c r="D63" s="1162" t="s">
        <v>5495</v>
      </c>
      <c r="E63" s="1043" t="s">
        <v>5496</v>
      </c>
      <c r="F63" s="1043" t="s">
        <v>43</v>
      </c>
      <c r="G63" s="1043" t="s">
        <v>254</v>
      </c>
      <c r="H63" s="1043" t="s">
        <v>254</v>
      </c>
      <c r="I63" s="1049" t="s">
        <v>1300</v>
      </c>
      <c r="J63" s="1049" t="s">
        <v>4970</v>
      </c>
      <c r="K63" s="1049" t="s">
        <v>5497</v>
      </c>
      <c r="L63" s="1169">
        <v>43122</v>
      </c>
      <c r="M63" s="1169">
        <v>43220</v>
      </c>
      <c r="N63" s="1204">
        <v>43281</v>
      </c>
      <c r="O63" s="1169"/>
      <c r="P63" s="1169"/>
      <c r="Q63" s="1169"/>
      <c r="R63" s="1169"/>
      <c r="S63" s="1169"/>
      <c r="T63" s="1169"/>
      <c r="U63" s="1169"/>
      <c r="V63" s="1169"/>
      <c r="W63" s="1169"/>
      <c r="X63" s="1169"/>
      <c r="Y63" s="1169"/>
      <c r="Z63" s="1169"/>
      <c r="AA63" s="1169"/>
      <c r="AB63" s="1169"/>
      <c r="AC63" s="1169"/>
      <c r="AD63" s="1169"/>
      <c r="AE63" s="1169"/>
      <c r="AF63" s="1169"/>
      <c r="AG63" s="1169"/>
      <c r="AH63" s="1169"/>
      <c r="AI63" s="1169"/>
      <c r="AJ63" s="1169"/>
      <c r="AK63" s="1169"/>
      <c r="AL63" s="1169"/>
      <c r="AM63" s="1169"/>
      <c r="AN63" s="1169"/>
      <c r="AO63" s="1169"/>
      <c r="AP63" s="1169"/>
      <c r="AQ63" s="1169"/>
      <c r="AR63" s="1169"/>
      <c r="AS63" s="1169"/>
      <c r="AT63" s="1169"/>
      <c r="AU63" s="1169"/>
      <c r="AV63" s="1169"/>
      <c r="AW63" s="640">
        <f ca="1" t="shared" ref="AW63:AW66" si="4">SUM(N63-NOW())</f>
        <v>8.61546296296001</v>
      </c>
      <c r="AX63" s="121" t="str">
        <f ca="1" t="shared" si="2"/>
        <v>WARNING</v>
      </c>
      <c r="AY63" s="1077">
        <v>20750000</v>
      </c>
      <c r="AZ63" s="1077">
        <v>1000000</v>
      </c>
      <c r="BA63" s="1078"/>
      <c r="BB63" s="1085"/>
      <c r="BC63" s="1078">
        <v>3500000</v>
      </c>
      <c r="BD63" s="1077"/>
      <c r="BE63" s="1077"/>
      <c r="BF63" s="1078">
        <v>8000000</v>
      </c>
      <c r="BG63" s="1078">
        <v>500000</v>
      </c>
      <c r="BH63" s="1078">
        <v>250000</v>
      </c>
      <c r="BI63" s="1078" t="s">
        <v>0</v>
      </c>
      <c r="BJ63" s="1049" t="s">
        <v>0</v>
      </c>
      <c r="BK63" s="1078" t="s">
        <v>48</v>
      </c>
      <c r="BL63" s="925" t="s">
        <v>5498</v>
      </c>
      <c r="BM63" s="1102" t="s">
        <v>5499</v>
      </c>
      <c r="BN63" s="961" t="s">
        <v>5500</v>
      </c>
      <c r="BO63" s="1012" t="s">
        <v>5501</v>
      </c>
      <c r="BP63" s="1009" t="s">
        <v>5502</v>
      </c>
      <c r="BQ63" s="1009" t="s">
        <v>5503</v>
      </c>
      <c r="BR63" s="1009" t="s">
        <v>5504</v>
      </c>
      <c r="BS63" s="1564" t="s">
        <v>5505</v>
      </c>
      <c r="BT63" s="127" t="s">
        <v>5506</v>
      </c>
      <c r="BU63" s="1187"/>
      <c r="BV63" s="1232" t="s">
        <v>5216</v>
      </c>
      <c r="BW63" s="1233" t="e">
        <v>#N/A</v>
      </c>
      <c r="BX63" s="1193" t="s">
        <v>3479</v>
      </c>
    </row>
    <row r="64" s="1191" customFormat="1" ht="14.1" customHeight="1" spans="2:76">
      <c r="B64" s="1562" t="s">
        <v>699</v>
      </c>
      <c r="C64" s="838" t="s">
        <v>4357</v>
      </c>
      <c r="D64" s="1199" t="s">
        <v>4358</v>
      </c>
      <c r="E64" s="1044" t="s">
        <v>4359</v>
      </c>
      <c r="F64" s="1044" t="s">
        <v>43</v>
      </c>
      <c r="G64" s="1044" t="s">
        <v>44</v>
      </c>
      <c r="H64" s="1044" t="s">
        <v>44</v>
      </c>
      <c r="I64" s="1051" t="s">
        <v>5507</v>
      </c>
      <c r="J64" s="1051"/>
      <c r="K64" s="1051" t="s">
        <v>5508</v>
      </c>
      <c r="L64" s="1202">
        <v>43141</v>
      </c>
      <c r="M64" s="1202">
        <v>43230</v>
      </c>
      <c r="N64" s="1207">
        <v>43281</v>
      </c>
      <c r="O64" s="1202"/>
      <c r="P64" s="1202"/>
      <c r="Q64" s="1202"/>
      <c r="R64" s="1202"/>
      <c r="S64" s="1202"/>
      <c r="T64" s="1202"/>
      <c r="U64" s="1202"/>
      <c r="V64" s="1202"/>
      <c r="W64" s="1202"/>
      <c r="X64" s="1202"/>
      <c r="Y64" s="1202"/>
      <c r="Z64" s="1202"/>
      <c r="AA64" s="1202"/>
      <c r="AB64" s="1202"/>
      <c r="AC64" s="1202"/>
      <c r="AD64" s="1202"/>
      <c r="AE64" s="1202"/>
      <c r="AF64" s="1202"/>
      <c r="AG64" s="1202"/>
      <c r="AH64" s="1202"/>
      <c r="AI64" s="1202"/>
      <c r="AJ64" s="1202"/>
      <c r="AK64" s="1202"/>
      <c r="AL64" s="1202"/>
      <c r="AM64" s="1202"/>
      <c r="AN64" s="1202"/>
      <c r="AO64" s="1202"/>
      <c r="AP64" s="1202"/>
      <c r="AQ64" s="1202"/>
      <c r="AR64" s="1202"/>
      <c r="AS64" s="1202"/>
      <c r="AT64" s="1202"/>
      <c r="AU64" s="1202"/>
      <c r="AV64" s="1202"/>
      <c r="AW64" s="641">
        <f ca="1" t="shared" si="4"/>
        <v>8.61546296296001</v>
      </c>
      <c r="AX64" s="187" t="str">
        <f ca="1" t="shared" si="2"/>
        <v>WARNING</v>
      </c>
      <c r="AY64" s="1080">
        <v>9750000</v>
      </c>
      <c r="AZ64" s="1080">
        <v>1000000</v>
      </c>
      <c r="BA64" s="1081"/>
      <c r="BB64" s="1088"/>
      <c r="BC64" s="1081">
        <v>3500000</v>
      </c>
      <c r="BD64" s="1080"/>
      <c r="BE64" s="1080"/>
      <c r="BF64" s="1081">
        <v>4000000</v>
      </c>
      <c r="BG64" s="1081">
        <v>500000</v>
      </c>
      <c r="BH64" s="1081">
        <v>250000</v>
      </c>
      <c r="BI64" s="1051" t="s">
        <v>0</v>
      </c>
      <c r="BJ64" s="1081" t="s">
        <v>48</v>
      </c>
      <c r="BK64" s="1081" t="s">
        <v>48</v>
      </c>
      <c r="BL64" s="1051"/>
      <c r="BM64" s="1104" t="s">
        <v>5509</v>
      </c>
      <c r="BN64" s="1095" t="s">
        <v>5510</v>
      </c>
      <c r="BO64" s="1095" t="s">
        <v>5511</v>
      </c>
      <c r="BP64" s="1545" t="s">
        <v>4362</v>
      </c>
      <c r="BQ64" s="1095" t="s">
        <v>5512</v>
      </c>
      <c r="BR64" s="1095" t="s">
        <v>4364</v>
      </c>
      <c r="BS64" s="1095"/>
      <c r="BT64" s="229" t="s">
        <v>4365</v>
      </c>
      <c r="BU64" s="1205" t="s">
        <v>5513</v>
      </c>
      <c r="BV64" s="1235" t="s">
        <v>5216</v>
      </c>
      <c r="BW64" s="1233" t="e">
        <v>#N/A</v>
      </c>
      <c r="BX64" s="1191" t="s">
        <v>3479</v>
      </c>
    </row>
    <row r="65" s="1025" customFormat="1" ht="14.1" customHeight="1" spans="2:76">
      <c r="B65" s="1562" t="s">
        <v>709</v>
      </c>
      <c r="C65" s="837" t="s">
        <v>5514</v>
      </c>
      <c r="D65" s="1162" t="s">
        <v>5515</v>
      </c>
      <c r="E65" s="1043" t="s">
        <v>5516</v>
      </c>
      <c r="F65" s="1043" t="s">
        <v>43</v>
      </c>
      <c r="G65" s="1043" t="s">
        <v>254</v>
      </c>
      <c r="H65" s="1043" t="s">
        <v>254</v>
      </c>
      <c r="I65" s="1049" t="s">
        <v>665</v>
      </c>
      <c r="J65" s="1049"/>
      <c r="K65" s="1049" t="s">
        <v>5517</v>
      </c>
      <c r="L65" s="1169">
        <v>43191</v>
      </c>
      <c r="M65" s="1169">
        <v>43251</v>
      </c>
      <c r="N65" s="1243">
        <v>43312</v>
      </c>
      <c r="O65" s="1169"/>
      <c r="P65" s="1169"/>
      <c r="Q65" s="1169"/>
      <c r="R65" s="1169" t="s">
        <v>583</v>
      </c>
      <c r="S65" s="1169"/>
      <c r="T65" s="1169"/>
      <c r="U65" s="1169"/>
      <c r="V65" s="1169"/>
      <c r="W65" s="1169"/>
      <c r="X65" s="1169"/>
      <c r="Y65" s="1169"/>
      <c r="Z65" s="1169"/>
      <c r="AA65" s="1169"/>
      <c r="AB65" s="1169"/>
      <c r="AC65" s="1169"/>
      <c r="AD65" s="1169"/>
      <c r="AE65" s="1169"/>
      <c r="AF65" s="1169"/>
      <c r="AG65" s="1169"/>
      <c r="AH65" s="1169"/>
      <c r="AI65" s="1169"/>
      <c r="AJ65" s="1169"/>
      <c r="AK65" s="1169"/>
      <c r="AL65" s="1169"/>
      <c r="AM65" s="1169"/>
      <c r="AN65" s="1169"/>
      <c r="AO65" s="1169"/>
      <c r="AP65" s="1169"/>
      <c r="AQ65" s="1169"/>
      <c r="AR65" s="1169"/>
      <c r="AS65" s="1169"/>
      <c r="AT65" s="1169"/>
      <c r="AU65" s="1169"/>
      <c r="AV65" s="1169"/>
      <c r="AW65" s="640">
        <f ca="1" t="shared" ref="AW65" si="5">SUM(M65-NOW())</f>
        <v>-21.38453703704</v>
      </c>
      <c r="AX65" s="121" t="str">
        <f ca="1" t="shared" ref="AX65:AX68" si="6">IF(AW65&lt;=40,"WARNING","ACTIVE")</f>
        <v>WARNING</v>
      </c>
      <c r="AY65" s="1077">
        <v>10000000</v>
      </c>
      <c r="AZ65" s="1077">
        <v>800000</v>
      </c>
      <c r="BA65" s="1078" t="s">
        <v>583</v>
      </c>
      <c r="BB65" s="1077">
        <v>1850000</v>
      </c>
      <c r="BC65" s="1077">
        <v>2600000</v>
      </c>
      <c r="BD65" s="1077"/>
      <c r="BE65" s="1077"/>
      <c r="BF65" s="1078"/>
      <c r="BG65" s="1077">
        <v>800000</v>
      </c>
      <c r="BH65" s="1077">
        <v>800000</v>
      </c>
      <c r="BI65" s="1049" t="s">
        <v>0</v>
      </c>
      <c r="BJ65" s="1078" t="s">
        <v>48</v>
      </c>
      <c r="BK65" s="1078" t="s">
        <v>48</v>
      </c>
      <c r="BL65" s="1049"/>
      <c r="BM65" s="1102" t="s">
        <v>5518</v>
      </c>
      <c r="BN65" s="1536" t="s">
        <v>5519</v>
      </c>
      <c r="BO65" s="1103" t="s">
        <v>5520</v>
      </c>
      <c r="BP65" s="1536" t="s">
        <v>5521</v>
      </c>
      <c r="BQ65" s="1103" t="s">
        <v>5522</v>
      </c>
      <c r="BR65" s="1103" t="s">
        <v>5523</v>
      </c>
      <c r="BS65" s="1536" t="s">
        <v>5524</v>
      </c>
      <c r="BT65" s="130" t="s">
        <v>5525</v>
      </c>
      <c r="BU65" s="1187"/>
      <c r="BV65" s="1232" t="s">
        <v>5054</v>
      </c>
      <c r="BW65" s="1233" t="e">
        <v>#N/A</v>
      </c>
      <c r="BX65" s="1025" t="s">
        <v>3479</v>
      </c>
    </row>
    <row r="66" s="1193" customFormat="1" ht="21" spans="2:75">
      <c r="B66" s="1562" t="s">
        <v>718</v>
      </c>
      <c r="C66" s="837" t="s">
        <v>5526</v>
      </c>
      <c r="D66" s="1162" t="s">
        <v>5527</v>
      </c>
      <c r="E66" s="1043" t="s">
        <v>5528</v>
      </c>
      <c r="F66" s="1043" t="s">
        <v>43</v>
      </c>
      <c r="G66" s="1043" t="s">
        <v>96</v>
      </c>
      <c r="H66" s="1043" t="s">
        <v>96</v>
      </c>
      <c r="I66" s="1049" t="s">
        <v>757</v>
      </c>
      <c r="J66" s="1049" t="s">
        <v>4834</v>
      </c>
      <c r="K66" s="1049" t="s">
        <v>5517</v>
      </c>
      <c r="L66" s="1169">
        <v>43191</v>
      </c>
      <c r="M66" s="1169">
        <v>43251</v>
      </c>
      <c r="N66" s="1243">
        <v>43343</v>
      </c>
      <c r="O66" s="1169"/>
      <c r="P66" s="1169"/>
      <c r="Q66" s="1169"/>
      <c r="R66" s="1169"/>
      <c r="S66" s="1169"/>
      <c r="T66" s="1169"/>
      <c r="U66" s="1169"/>
      <c r="V66" s="1169"/>
      <c r="W66" s="1169"/>
      <c r="X66" s="1169"/>
      <c r="Y66" s="1169"/>
      <c r="Z66" s="1169"/>
      <c r="AA66" s="1169"/>
      <c r="AB66" s="1169"/>
      <c r="AC66" s="1169"/>
      <c r="AD66" s="1169"/>
      <c r="AE66" s="1169"/>
      <c r="AF66" s="1169"/>
      <c r="AG66" s="1169"/>
      <c r="AH66" s="1169"/>
      <c r="AI66" s="1169"/>
      <c r="AJ66" s="1169"/>
      <c r="AK66" s="1169"/>
      <c r="AL66" s="1169"/>
      <c r="AM66" s="1169"/>
      <c r="AN66" s="1169"/>
      <c r="AO66" s="1169"/>
      <c r="AP66" s="1169"/>
      <c r="AQ66" s="1169"/>
      <c r="AR66" s="1169"/>
      <c r="AS66" s="1169"/>
      <c r="AT66" s="1169"/>
      <c r="AU66" s="1169"/>
      <c r="AV66" s="1169"/>
      <c r="AW66" s="640">
        <f ca="1" t="shared" si="4"/>
        <v>70.61546296296</v>
      </c>
      <c r="AX66" s="121" t="str">
        <f ca="1" t="shared" si="6"/>
        <v>ACTIVE</v>
      </c>
      <c r="AY66" s="1077">
        <v>10000000</v>
      </c>
      <c r="AZ66" s="1077">
        <v>800000</v>
      </c>
      <c r="BA66" s="1078"/>
      <c r="BB66" s="1077">
        <v>1850000</v>
      </c>
      <c r="BC66" s="1077">
        <v>2600000</v>
      </c>
      <c r="BD66" s="1077"/>
      <c r="BE66" s="1077"/>
      <c r="BF66" s="1078"/>
      <c r="BG66" s="1077">
        <v>800000</v>
      </c>
      <c r="BH66" s="1077">
        <v>800000</v>
      </c>
      <c r="BI66" s="1049" t="s">
        <v>0</v>
      </c>
      <c r="BJ66" s="1078" t="s">
        <v>48</v>
      </c>
      <c r="BK66" s="1078" t="s">
        <v>48</v>
      </c>
      <c r="BL66" s="1049"/>
      <c r="BM66" s="1102" t="s">
        <v>5529</v>
      </c>
      <c r="BN66" s="1536" t="s">
        <v>5530</v>
      </c>
      <c r="BO66" s="1103" t="s">
        <v>5531</v>
      </c>
      <c r="BP66" s="1536" t="s">
        <v>5532</v>
      </c>
      <c r="BQ66" s="1536" t="s">
        <v>5533</v>
      </c>
      <c r="BR66" s="1536" t="s">
        <v>5534</v>
      </c>
      <c r="BS66" s="1103"/>
      <c r="BT66" s="127" t="s">
        <v>5535</v>
      </c>
      <c r="BU66" s="1187"/>
      <c r="BV66" s="1232" t="e">
        <v>#N/A</v>
      </c>
      <c r="BW66" s="1233" t="e">
        <v>#N/A</v>
      </c>
    </row>
    <row r="67" s="1192" customFormat="1" ht="13.5" customHeight="1" spans="2:76">
      <c r="B67" s="1562" t="s">
        <v>730</v>
      </c>
      <c r="C67" s="837" t="s">
        <v>5536</v>
      </c>
      <c r="D67" s="1162" t="s">
        <v>5537</v>
      </c>
      <c r="E67" s="1043" t="s">
        <v>5538</v>
      </c>
      <c r="F67" s="1043" t="s">
        <v>43</v>
      </c>
      <c r="G67" s="1043" t="s">
        <v>96</v>
      </c>
      <c r="H67" s="1043" t="s">
        <v>96</v>
      </c>
      <c r="I67" s="1049" t="s">
        <v>4682</v>
      </c>
      <c r="J67" s="1049" t="s">
        <v>5347</v>
      </c>
      <c r="K67" s="1049" t="s">
        <v>4799</v>
      </c>
      <c r="L67" s="1169">
        <v>42644</v>
      </c>
      <c r="M67" s="1169">
        <v>42855</v>
      </c>
      <c r="N67" s="1169">
        <v>42916</v>
      </c>
      <c r="O67" s="1169">
        <v>42978</v>
      </c>
      <c r="P67" s="1187">
        <v>43008</v>
      </c>
      <c r="Q67" s="1187">
        <v>43039</v>
      </c>
      <c r="R67" s="1169">
        <v>43100</v>
      </c>
      <c r="S67" s="1169">
        <v>43159</v>
      </c>
      <c r="T67" s="1204">
        <v>43190</v>
      </c>
      <c r="U67" s="1169">
        <v>43281</v>
      </c>
      <c r="V67" s="1169"/>
      <c r="W67" s="1169"/>
      <c r="X67" s="1169"/>
      <c r="Y67" s="1169"/>
      <c r="Z67" s="1169"/>
      <c r="AA67" s="1169"/>
      <c r="AB67" s="1169"/>
      <c r="AC67" s="1169"/>
      <c r="AD67" s="1169"/>
      <c r="AE67" s="1169"/>
      <c r="AF67" s="1169"/>
      <c r="AG67" s="1169"/>
      <c r="AH67" s="1169"/>
      <c r="AI67" s="1169"/>
      <c r="AJ67" s="1169"/>
      <c r="AK67" s="1169"/>
      <c r="AL67" s="1169"/>
      <c r="AM67" s="1169"/>
      <c r="AN67" s="1169"/>
      <c r="AO67" s="1169"/>
      <c r="AP67" s="1169"/>
      <c r="AQ67" s="1169"/>
      <c r="AR67" s="1169"/>
      <c r="AS67" s="1169"/>
      <c r="AT67" s="1169"/>
      <c r="AU67" s="1169"/>
      <c r="AV67" s="1169"/>
      <c r="AW67" s="640">
        <v>65.5619320601836</v>
      </c>
      <c r="AX67" s="121" t="s">
        <v>745</v>
      </c>
      <c r="AY67" s="1077">
        <v>15000000</v>
      </c>
      <c r="AZ67" s="1077">
        <v>1000000</v>
      </c>
      <c r="BA67" s="1078"/>
      <c r="BB67" s="1085"/>
      <c r="BC67" s="1078">
        <v>3000000</v>
      </c>
      <c r="BD67" s="1077"/>
      <c r="BE67" s="1077"/>
      <c r="BF67" s="1078"/>
      <c r="BG67" s="1078">
        <v>500000</v>
      </c>
      <c r="BH67" s="1078">
        <v>250000</v>
      </c>
      <c r="BI67" s="1049" t="s">
        <v>0</v>
      </c>
      <c r="BJ67" s="1078" t="s">
        <v>48</v>
      </c>
      <c r="BK67" s="1078" t="s">
        <v>48</v>
      </c>
      <c r="BL67" s="1049"/>
      <c r="BM67" s="1102" t="s">
        <v>5539</v>
      </c>
      <c r="BN67" s="1103" t="s">
        <v>5540</v>
      </c>
      <c r="BO67" s="1103" t="s">
        <v>5541</v>
      </c>
      <c r="BP67" s="1536" t="s">
        <v>5542</v>
      </c>
      <c r="BQ67" s="1103" t="s">
        <v>5543</v>
      </c>
      <c r="BR67" s="1103"/>
      <c r="BS67" s="1103"/>
      <c r="BT67" s="1230" t="s">
        <v>5544</v>
      </c>
      <c r="BU67" s="1187" t="s">
        <v>5545</v>
      </c>
      <c r="BV67" s="1232" t="s">
        <v>5008</v>
      </c>
      <c r="BW67" s="1233" t="s">
        <v>5546</v>
      </c>
      <c r="BX67" s="1234" t="s">
        <v>5547</v>
      </c>
    </row>
    <row r="68" s="1192" customFormat="1" ht="13.5" customHeight="1" spans="2:76">
      <c r="B68" s="1562" t="s">
        <v>740</v>
      </c>
      <c r="C68" s="837" t="s">
        <v>5548</v>
      </c>
      <c r="D68" s="1162" t="s">
        <v>5549</v>
      </c>
      <c r="E68" s="1043">
        <v>30560</v>
      </c>
      <c r="F68" s="1043" t="s">
        <v>43</v>
      </c>
      <c r="G68" s="1043" t="s">
        <v>254</v>
      </c>
      <c r="H68" s="1043" t="s">
        <v>254</v>
      </c>
      <c r="I68" s="1049" t="s">
        <v>5550</v>
      </c>
      <c r="J68" s="1049" t="s">
        <v>4970</v>
      </c>
      <c r="K68" s="1049" t="s">
        <v>1069</v>
      </c>
      <c r="L68" s="1169">
        <v>42769</v>
      </c>
      <c r="M68" s="1169">
        <v>42855</v>
      </c>
      <c r="N68" s="1169">
        <v>42916</v>
      </c>
      <c r="O68" s="1169">
        <v>43100</v>
      </c>
      <c r="P68" s="1169">
        <v>43190</v>
      </c>
      <c r="Q68" s="1169">
        <v>43220</v>
      </c>
      <c r="R68" s="1204">
        <v>43281</v>
      </c>
      <c r="S68" s="1169"/>
      <c r="T68" s="1169"/>
      <c r="U68" s="1169"/>
      <c r="V68" s="1169"/>
      <c r="W68" s="1169"/>
      <c r="X68" s="1169"/>
      <c r="Y68" s="1169"/>
      <c r="Z68" s="1169"/>
      <c r="AA68" s="1169"/>
      <c r="AB68" s="1169"/>
      <c r="AC68" s="1169"/>
      <c r="AD68" s="1169"/>
      <c r="AE68" s="1169"/>
      <c r="AF68" s="1169"/>
      <c r="AG68" s="1169"/>
      <c r="AH68" s="1169"/>
      <c r="AI68" s="1169"/>
      <c r="AJ68" s="1169"/>
      <c r="AK68" s="1169"/>
      <c r="AL68" s="1169"/>
      <c r="AM68" s="1169"/>
      <c r="AN68" s="1169"/>
      <c r="AO68" s="1169"/>
      <c r="AP68" s="1169"/>
      <c r="AQ68" s="1169"/>
      <c r="AR68" s="1169"/>
      <c r="AS68" s="1169"/>
      <c r="AT68" s="1169"/>
      <c r="AU68" s="1169"/>
      <c r="AV68" s="1169"/>
      <c r="AW68" s="640">
        <f ca="1">SUM(R68-NOW())</f>
        <v>8.61546296296001</v>
      </c>
      <c r="AX68" s="121" t="str">
        <f ca="1" t="shared" si="6"/>
        <v>WARNING</v>
      </c>
      <c r="AY68" s="1078">
        <v>21250000</v>
      </c>
      <c r="AZ68" s="1078">
        <v>1000000</v>
      </c>
      <c r="BA68" s="1078"/>
      <c r="BB68" s="1225">
        <v>5000000</v>
      </c>
      <c r="BC68" s="1078"/>
      <c r="BD68" s="1078"/>
      <c r="BE68" s="1078"/>
      <c r="BF68" s="1078"/>
      <c r="BG68" s="1078">
        <v>500000</v>
      </c>
      <c r="BH68" s="1078">
        <v>250000</v>
      </c>
      <c r="BI68" s="1049" t="s">
        <v>0</v>
      </c>
      <c r="BJ68" s="1078" t="s">
        <v>48</v>
      </c>
      <c r="BK68" s="1078" t="s">
        <v>48</v>
      </c>
      <c r="BL68" s="1049" t="s">
        <v>5551</v>
      </c>
      <c r="BM68" s="1102" t="s">
        <v>5552</v>
      </c>
      <c r="BN68" s="1103" t="s">
        <v>5553</v>
      </c>
      <c r="BO68" s="1103" t="s">
        <v>5554</v>
      </c>
      <c r="BP68" s="1536" t="s">
        <v>5555</v>
      </c>
      <c r="BQ68" s="1103" t="s">
        <v>5556</v>
      </c>
      <c r="BR68" s="1103">
        <v>14029227445</v>
      </c>
      <c r="BS68" s="1103"/>
      <c r="BT68" s="1230" t="s">
        <v>5557</v>
      </c>
      <c r="BU68" s="1187" t="s">
        <v>5545</v>
      </c>
      <c r="BV68" s="1232" t="s">
        <v>5008</v>
      </c>
      <c r="BW68" s="1233" t="e">
        <v>#N/A</v>
      </c>
      <c r="BX68" s="1234" t="s">
        <v>3479</v>
      </c>
    </row>
    <row r="69" s="1192" customFormat="1" ht="13.5" customHeight="1" spans="2:76">
      <c r="B69" s="1562" t="s">
        <v>753</v>
      </c>
      <c r="C69" s="837" t="s">
        <v>5558</v>
      </c>
      <c r="D69" s="1162" t="s">
        <v>5559</v>
      </c>
      <c r="E69" s="1043" t="s">
        <v>5560</v>
      </c>
      <c r="F69" s="1043" t="s">
        <v>125</v>
      </c>
      <c r="G69" s="1043" t="s">
        <v>96</v>
      </c>
      <c r="H69" s="1043" t="s">
        <v>96</v>
      </c>
      <c r="I69" s="1049" t="s">
        <v>5561</v>
      </c>
      <c r="J69" s="1049" t="s">
        <v>4970</v>
      </c>
      <c r="K69" s="1049" t="s">
        <v>4922</v>
      </c>
      <c r="L69" s="1169">
        <v>42663</v>
      </c>
      <c r="M69" s="1169">
        <v>42754</v>
      </c>
      <c r="N69" s="1169">
        <v>42844</v>
      </c>
      <c r="O69" s="1169">
        <v>42916</v>
      </c>
      <c r="P69" s="1169">
        <v>43008</v>
      </c>
      <c r="Q69" s="1169">
        <v>43100</v>
      </c>
      <c r="R69" s="1169">
        <v>43190</v>
      </c>
      <c r="S69" s="1169">
        <v>43281</v>
      </c>
      <c r="T69" s="1169"/>
      <c r="U69" s="1169"/>
      <c r="V69" s="1169"/>
      <c r="W69" s="1169"/>
      <c r="X69" s="1169"/>
      <c r="Y69" s="1169"/>
      <c r="Z69" s="1169"/>
      <c r="AA69" s="1169"/>
      <c r="AB69" s="1169"/>
      <c r="AC69" s="1169"/>
      <c r="AD69" s="1169"/>
      <c r="AE69" s="1169"/>
      <c r="AF69" s="1169"/>
      <c r="AG69" s="1169"/>
      <c r="AH69" s="1169"/>
      <c r="AI69" s="1169"/>
      <c r="AJ69" s="1169"/>
      <c r="AK69" s="1169"/>
      <c r="AL69" s="1169"/>
      <c r="AM69" s="1169"/>
      <c r="AN69" s="1169"/>
      <c r="AO69" s="1169"/>
      <c r="AP69" s="1169"/>
      <c r="AQ69" s="1169"/>
      <c r="AR69" s="1169"/>
      <c r="AS69" s="1169"/>
      <c r="AT69" s="1169"/>
      <c r="AU69" s="1169"/>
      <c r="AV69" s="1169"/>
      <c r="AW69" s="640">
        <v>65.5619320601836</v>
      </c>
      <c r="AX69" s="121" t="s">
        <v>745</v>
      </c>
      <c r="AY69" s="1077">
        <v>4675000</v>
      </c>
      <c r="AZ69" s="1077">
        <v>250000</v>
      </c>
      <c r="BA69" s="1078"/>
      <c r="BB69" s="1085"/>
      <c r="BC69" s="1078"/>
      <c r="BD69" s="1077"/>
      <c r="BE69" s="1077"/>
      <c r="BF69" s="1078"/>
      <c r="BG69" s="1078">
        <v>500000</v>
      </c>
      <c r="BH69" s="1078">
        <v>250000</v>
      </c>
      <c r="BI69" s="1049" t="s">
        <v>112</v>
      </c>
      <c r="BJ69" s="1078" t="s">
        <v>48</v>
      </c>
      <c r="BK69" s="1078" t="s">
        <v>48</v>
      </c>
      <c r="BL69" s="1049" t="s">
        <v>5562</v>
      </c>
      <c r="BM69" s="1102" t="s">
        <v>5563</v>
      </c>
      <c r="BN69" s="1103" t="s">
        <v>5564</v>
      </c>
      <c r="BO69" s="1103" t="s">
        <v>5565</v>
      </c>
      <c r="BP69" s="1536" t="s">
        <v>5566</v>
      </c>
      <c r="BQ69" s="1103" t="s">
        <v>5567</v>
      </c>
      <c r="BR69" s="1103" t="s">
        <v>2574</v>
      </c>
      <c r="BS69" s="1103" t="s">
        <v>5568</v>
      </c>
      <c r="BT69" s="1230" t="s">
        <v>5569</v>
      </c>
      <c r="BU69" s="1187" t="s">
        <v>5545</v>
      </c>
      <c r="BV69" s="1232" t="s">
        <v>5008</v>
      </c>
      <c r="BW69" s="1233" t="s">
        <v>5569</v>
      </c>
      <c r="BX69" s="1234" t="s">
        <v>5547</v>
      </c>
    </row>
    <row r="70" s="1193" customFormat="1" ht="13.5" customHeight="1" spans="2:76">
      <c r="B70" s="1562" t="s">
        <v>766</v>
      </c>
      <c r="C70" s="837" t="s">
        <v>5570</v>
      </c>
      <c r="D70" s="1162" t="s">
        <v>5571</v>
      </c>
      <c r="E70" s="1043" t="s">
        <v>5572</v>
      </c>
      <c r="F70" s="1043" t="s">
        <v>43</v>
      </c>
      <c r="G70" s="1043" t="s">
        <v>254</v>
      </c>
      <c r="H70" s="1043" t="s">
        <v>254</v>
      </c>
      <c r="I70" s="1049" t="s">
        <v>3904</v>
      </c>
      <c r="J70" s="1049" t="s">
        <v>4970</v>
      </c>
      <c r="K70" s="1049" t="s">
        <v>5573</v>
      </c>
      <c r="L70" s="1212">
        <v>43221</v>
      </c>
      <c r="M70" s="1212">
        <v>43312</v>
      </c>
      <c r="N70" s="1169"/>
      <c r="O70" s="1169"/>
      <c r="P70" s="1169"/>
      <c r="Q70" s="1169"/>
      <c r="R70" s="1169"/>
      <c r="S70" s="1169"/>
      <c r="T70" s="1169"/>
      <c r="U70" s="1169"/>
      <c r="V70" s="1169"/>
      <c r="W70" s="1169"/>
      <c r="X70" s="1169"/>
      <c r="Y70" s="1169"/>
      <c r="Z70" s="1169"/>
      <c r="AA70" s="1169"/>
      <c r="AB70" s="1169"/>
      <c r="AC70" s="1169"/>
      <c r="AD70" s="1169"/>
      <c r="AE70" s="1169"/>
      <c r="AF70" s="1169"/>
      <c r="AG70" s="1169"/>
      <c r="AH70" s="1169"/>
      <c r="AI70" s="1169"/>
      <c r="AJ70" s="1169"/>
      <c r="AK70" s="1169"/>
      <c r="AL70" s="1169"/>
      <c r="AM70" s="1169"/>
      <c r="AN70" s="1169"/>
      <c r="AO70" s="1169"/>
      <c r="AP70" s="1169"/>
      <c r="AQ70" s="1169"/>
      <c r="AR70" s="1169"/>
      <c r="AS70" s="1169"/>
      <c r="AT70" s="1169"/>
      <c r="AU70" s="1169"/>
      <c r="AV70" s="1169"/>
      <c r="AW70" s="640">
        <v>65.5619320601836</v>
      </c>
      <c r="AX70" s="121" t="s">
        <v>745</v>
      </c>
      <c r="AY70" s="1077">
        <v>30000000</v>
      </c>
      <c r="AZ70" s="1077" t="s">
        <v>583</v>
      </c>
      <c r="BA70" s="1078" t="s">
        <v>583</v>
      </c>
      <c r="BB70" s="1085" t="s">
        <v>583</v>
      </c>
      <c r="BC70" s="1078" t="s">
        <v>583</v>
      </c>
      <c r="BD70" s="1077" t="s">
        <v>583</v>
      </c>
      <c r="BE70" s="1077" t="s">
        <v>583</v>
      </c>
      <c r="BF70" s="1078" t="s">
        <v>583</v>
      </c>
      <c r="BG70" s="1078" t="s">
        <v>583</v>
      </c>
      <c r="BH70" s="1078"/>
      <c r="BI70" s="1049" t="s">
        <v>112</v>
      </c>
      <c r="BJ70" s="1078" t="s">
        <v>0</v>
      </c>
      <c r="BK70" s="1078" t="s">
        <v>48</v>
      </c>
      <c r="BL70" s="1049"/>
      <c r="BM70" s="1102" t="s">
        <v>5574</v>
      </c>
      <c r="BN70" s="1536" t="s">
        <v>5575</v>
      </c>
      <c r="BO70" s="1103" t="s">
        <v>5576</v>
      </c>
      <c r="BP70" s="1536" t="s">
        <v>5577</v>
      </c>
      <c r="BQ70" s="1103" t="s">
        <v>5578</v>
      </c>
      <c r="BR70" s="1103"/>
      <c r="BS70" s="1536" t="s">
        <v>5579</v>
      </c>
      <c r="BT70" s="127" t="s">
        <v>5580</v>
      </c>
      <c r="BU70" s="1187"/>
      <c r="BV70" s="1255"/>
      <c r="BW70" s="1256"/>
      <c r="BX70" s="1236"/>
    </row>
    <row r="71" s="1193" customFormat="1" ht="12" spans="2:75">
      <c r="B71" s="1562" t="s">
        <v>777</v>
      </c>
      <c r="C71" s="837"/>
      <c r="D71" s="1162" t="s">
        <v>5581</v>
      </c>
      <c r="E71" s="1043" t="s">
        <v>5582</v>
      </c>
      <c r="F71" s="1043" t="s">
        <v>43</v>
      </c>
      <c r="G71" s="1043" t="s">
        <v>96</v>
      </c>
      <c r="H71" s="1043" t="s">
        <v>96</v>
      </c>
      <c r="I71" s="1049" t="s">
        <v>3997</v>
      </c>
      <c r="J71" s="1049"/>
      <c r="K71" s="1049" t="s">
        <v>993</v>
      </c>
      <c r="L71" s="1169">
        <v>43231</v>
      </c>
      <c r="M71" s="1169">
        <v>43281</v>
      </c>
      <c r="N71" s="1169"/>
      <c r="O71" s="1169"/>
      <c r="P71" s="1169"/>
      <c r="Q71" s="1169"/>
      <c r="R71" s="1169"/>
      <c r="S71" s="1169"/>
      <c r="T71" s="1169"/>
      <c r="U71" s="1169"/>
      <c r="V71" s="1169"/>
      <c r="W71" s="1169"/>
      <c r="X71" s="1169"/>
      <c r="Y71" s="1169"/>
      <c r="Z71" s="1169"/>
      <c r="AA71" s="1169"/>
      <c r="AB71" s="1169"/>
      <c r="AC71" s="1169"/>
      <c r="AD71" s="1169"/>
      <c r="AE71" s="1169"/>
      <c r="AF71" s="1169"/>
      <c r="AG71" s="1169"/>
      <c r="AH71" s="1169"/>
      <c r="AI71" s="1169"/>
      <c r="AJ71" s="1169"/>
      <c r="AK71" s="1169"/>
      <c r="AL71" s="1169"/>
      <c r="AM71" s="1169"/>
      <c r="AN71" s="1169"/>
      <c r="AO71" s="1169"/>
      <c r="AP71" s="1169"/>
      <c r="AQ71" s="1169"/>
      <c r="AR71" s="1169"/>
      <c r="AS71" s="1169"/>
      <c r="AT71" s="1169"/>
      <c r="AU71" s="1169"/>
      <c r="AV71" s="1169"/>
      <c r="AW71" s="640">
        <v>66.5619320601836</v>
      </c>
      <c r="AX71" s="121" t="s">
        <v>745</v>
      </c>
      <c r="AY71" s="1077">
        <v>6500000</v>
      </c>
      <c r="AZ71" s="1077">
        <v>500000</v>
      </c>
      <c r="BA71" s="1078"/>
      <c r="BB71" s="1085" t="s">
        <v>583</v>
      </c>
      <c r="BC71" s="1078">
        <v>750000</v>
      </c>
      <c r="BD71" s="1077" t="s">
        <v>583</v>
      </c>
      <c r="BE71" s="1077"/>
      <c r="BF71" s="1078"/>
      <c r="BG71" s="1078">
        <v>500000</v>
      </c>
      <c r="BH71" s="1078">
        <v>150000</v>
      </c>
      <c r="BI71" s="1049" t="s">
        <v>112</v>
      </c>
      <c r="BJ71" s="1078" t="s">
        <v>48</v>
      </c>
      <c r="BK71" s="1078" t="s">
        <v>48</v>
      </c>
      <c r="BL71" s="1049"/>
      <c r="BM71" s="1102" t="s">
        <v>5583</v>
      </c>
      <c r="BN71" s="1536" t="s">
        <v>5584</v>
      </c>
      <c r="BO71" s="1103" t="s">
        <v>5585</v>
      </c>
      <c r="BP71" s="1536" t="s">
        <v>5586</v>
      </c>
      <c r="BQ71" s="1536" t="s">
        <v>5587</v>
      </c>
      <c r="BR71" s="1103"/>
      <c r="BS71" s="1103"/>
      <c r="BT71" s="127" t="s">
        <v>5588</v>
      </c>
      <c r="BU71" s="1187"/>
      <c r="BV71" s="1257"/>
      <c r="BW71" s="1188"/>
    </row>
    <row r="72" s="1193" customFormat="1" ht="12" spans="2:75">
      <c r="B72" s="1562" t="s">
        <v>790</v>
      </c>
      <c r="C72" s="837" t="s">
        <v>5589</v>
      </c>
      <c r="D72" s="1162" t="s">
        <v>5590</v>
      </c>
      <c r="E72" s="1043" t="s">
        <v>5591</v>
      </c>
      <c r="F72" s="1043" t="s">
        <v>43</v>
      </c>
      <c r="G72" s="1043" t="s">
        <v>44</v>
      </c>
      <c r="H72" s="1043" t="s">
        <v>44</v>
      </c>
      <c r="I72" s="1049" t="s">
        <v>3904</v>
      </c>
      <c r="J72" s="1049"/>
      <c r="K72" s="1049" t="s">
        <v>722</v>
      </c>
      <c r="L72" s="1169">
        <v>43230</v>
      </c>
      <c r="M72" s="1169">
        <v>43281</v>
      </c>
      <c r="N72" s="1169"/>
      <c r="O72" s="1169"/>
      <c r="P72" s="1169"/>
      <c r="Q72" s="1169"/>
      <c r="R72" s="1169"/>
      <c r="S72" s="1169"/>
      <c r="T72" s="1169"/>
      <c r="U72" s="1169"/>
      <c r="V72" s="1169"/>
      <c r="W72" s="1169"/>
      <c r="X72" s="1169"/>
      <c r="Y72" s="1169"/>
      <c r="Z72" s="1169"/>
      <c r="AA72" s="1169"/>
      <c r="AB72" s="1169"/>
      <c r="AC72" s="1169"/>
      <c r="AD72" s="1169"/>
      <c r="AE72" s="1169"/>
      <c r="AF72" s="1169"/>
      <c r="AG72" s="1169"/>
      <c r="AH72" s="1169"/>
      <c r="AI72" s="1169"/>
      <c r="AJ72" s="1169"/>
      <c r="AK72" s="1169"/>
      <c r="AL72" s="1169"/>
      <c r="AM72" s="1169"/>
      <c r="AN72" s="1169"/>
      <c r="AO72" s="1169"/>
      <c r="AP72" s="1169"/>
      <c r="AQ72" s="1169"/>
      <c r="AR72" s="1169"/>
      <c r="AS72" s="1169"/>
      <c r="AT72" s="1169"/>
      <c r="AU72" s="1169"/>
      <c r="AV72" s="1169"/>
      <c r="AW72" s="640">
        <v>67.5619320601836</v>
      </c>
      <c r="AX72" s="121" t="s">
        <v>745</v>
      </c>
      <c r="AY72" s="1077">
        <v>4000000</v>
      </c>
      <c r="AZ72" s="1077">
        <v>500000</v>
      </c>
      <c r="BA72" s="1078"/>
      <c r="BB72" s="1085" t="s">
        <v>583</v>
      </c>
      <c r="BC72" s="1078"/>
      <c r="BD72" s="1077" t="s">
        <v>583</v>
      </c>
      <c r="BE72" s="1077"/>
      <c r="BF72" s="1078" t="s">
        <v>583</v>
      </c>
      <c r="BG72" s="1078">
        <v>500000</v>
      </c>
      <c r="BH72" s="1078">
        <v>250000</v>
      </c>
      <c r="BI72" s="1049" t="s">
        <v>112</v>
      </c>
      <c r="BJ72" s="1078" t="s">
        <v>48</v>
      </c>
      <c r="BK72" s="1078" t="s">
        <v>48</v>
      </c>
      <c r="BL72" s="1049"/>
      <c r="BM72" s="1102" t="s">
        <v>5592</v>
      </c>
      <c r="BN72" s="1536" t="s">
        <v>5593</v>
      </c>
      <c r="BO72" s="1103" t="s">
        <v>5594</v>
      </c>
      <c r="BP72" s="1536" t="s">
        <v>5595</v>
      </c>
      <c r="BQ72" s="1103"/>
      <c r="BR72" s="1536" t="s">
        <v>5596</v>
      </c>
      <c r="BS72" s="1103"/>
      <c r="BT72" s="127" t="s">
        <v>5597</v>
      </c>
      <c r="BU72" s="1187"/>
      <c r="BV72" s="1257"/>
      <c r="BW72" s="1188"/>
    </row>
    <row r="73" s="1191" customFormat="1" ht="21" spans="2:75">
      <c r="B73" s="1562" t="s">
        <v>798</v>
      </c>
      <c r="C73" s="838" t="s">
        <v>5598</v>
      </c>
      <c r="D73" s="1199" t="s">
        <v>5599</v>
      </c>
      <c r="E73" s="1044" t="s">
        <v>5600</v>
      </c>
      <c r="F73" s="1044" t="s">
        <v>43</v>
      </c>
      <c r="G73" s="1044" t="s">
        <v>254</v>
      </c>
      <c r="H73" s="1044" t="s">
        <v>254</v>
      </c>
      <c r="I73" s="1051" t="s">
        <v>3528</v>
      </c>
      <c r="J73" s="1051"/>
      <c r="K73" s="1051" t="s">
        <v>5601</v>
      </c>
      <c r="L73" s="1202">
        <v>43235</v>
      </c>
      <c r="M73" s="1202">
        <v>43248</v>
      </c>
      <c r="N73" s="1202"/>
      <c r="O73" s="1202"/>
      <c r="P73" s="1202"/>
      <c r="Q73" s="1202"/>
      <c r="R73" s="1202"/>
      <c r="S73" s="1202"/>
      <c r="T73" s="1202"/>
      <c r="U73" s="1202"/>
      <c r="V73" s="1202"/>
      <c r="W73" s="1202"/>
      <c r="X73" s="1202"/>
      <c r="Y73" s="1202"/>
      <c r="Z73" s="1202"/>
      <c r="AA73" s="1202"/>
      <c r="AB73" s="1202"/>
      <c r="AC73" s="1202"/>
      <c r="AD73" s="1202"/>
      <c r="AE73" s="1202"/>
      <c r="AF73" s="1202"/>
      <c r="AG73" s="1202"/>
      <c r="AH73" s="1202"/>
      <c r="AI73" s="1202"/>
      <c r="AJ73" s="1202"/>
      <c r="AK73" s="1202"/>
      <c r="AL73" s="1202"/>
      <c r="AM73" s="1202"/>
      <c r="AN73" s="1202"/>
      <c r="AO73" s="1202"/>
      <c r="AP73" s="1202"/>
      <c r="AQ73" s="1202"/>
      <c r="AR73" s="1202"/>
      <c r="AS73" s="1202"/>
      <c r="AT73" s="1202"/>
      <c r="AU73" s="1202"/>
      <c r="AV73" s="1202"/>
      <c r="AW73" s="641">
        <v>68.5619320601836</v>
      </c>
      <c r="AX73" s="187" t="s">
        <v>745</v>
      </c>
      <c r="AY73" s="1080">
        <v>8000000</v>
      </c>
      <c r="AZ73" s="1080" t="s">
        <v>583</v>
      </c>
      <c r="BA73" s="1081"/>
      <c r="BB73" s="1088" t="s">
        <v>583</v>
      </c>
      <c r="BC73" s="1081" t="s">
        <v>583</v>
      </c>
      <c r="BD73" s="1080" t="s">
        <v>583</v>
      </c>
      <c r="BE73" s="1080" t="s">
        <v>583</v>
      </c>
      <c r="BF73" s="1081" t="s">
        <v>583</v>
      </c>
      <c r="BG73" s="1081" t="s">
        <v>583</v>
      </c>
      <c r="BH73" s="1081"/>
      <c r="BI73" s="1051" t="s">
        <v>112</v>
      </c>
      <c r="BJ73" s="1051" t="s">
        <v>112</v>
      </c>
      <c r="BK73" s="1051" t="s">
        <v>112</v>
      </c>
      <c r="BL73" s="1051"/>
      <c r="BM73" s="1104" t="s">
        <v>5602</v>
      </c>
      <c r="BN73" s="1095"/>
      <c r="BO73" s="1095" t="s">
        <v>5603</v>
      </c>
      <c r="BP73" s="1545" t="s">
        <v>5604</v>
      </c>
      <c r="BQ73" s="1095" t="s">
        <v>5605</v>
      </c>
      <c r="BR73" s="1095"/>
      <c r="BS73" s="1545" t="s">
        <v>5606</v>
      </c>
      <c r="BT73" s="229" t="s">
        <v>5607</v>
      </c>
      <c r="BU73" s="1205" t="s">
        <v>5608</v>
      </c>
      <c r="BV73" s="1258"/>
      <c r="BW73" s="1259"/>
    </row>
    <row r="74" s="1192" customFormat="1" ht="24" spans="2:75">
      <c r="B74" s="1562" t="s">
        <v>806</v>
      </c>
      <c r="C74" s="837" t="s">
        <v>5609</v>
      </c>
      <c r="D74" s="1162" t="s">
        <v>5610</v>
      </c>
      <c r="E74" s="1043" t="s">
        <v>5611</v>
      </c>
      <c r="F74" s="1043" t="s">
        <v>43</v>
      </c>
      <c r="G74" s="1043" t="s">
        <v>96</v>
      </c>
      <c r="H74" s="1043" t="s">
        <v>96</v>
      </c>
      <c r="I74" s="1049" t="s">
        <v>3528</v>
      </c>
      <c r="J74" s="1049"/>
      <c r="K74" s="1049" t="s">
        <v>5601</v>
      </c>
      <c r="L74" s="1169">
        <v>43235</v>
      </c>
      <c r="M74" s="1169">
        <v>43248</v>
      </c>
      <c r="N74" s="1204">
        <v>43262</v>
      </c>
      <c r="O74" s="1169"/>
      <c r="P74" s="1169"/>
      <c r="Q74" s="1169"/>
      <c r="R74" s="1169"/>
      <c r="S74" s="1169"/>
      <c r="T74" s="1169"/>
      <c r="U74" s="1169"/>
      <c r="V74" s="1169"/>
      <c r="W74" s="1169"/>
      <c r="X74" s="1169"/>
      <c r="Y74" s="1169"/>
      <c r="Z74" s="1169"/>
      <c r="AA74" s="1169"/>
      <c r="AB74" s="1169"/>
      <c r="AC74" s="1169"/>
      <c r="AD74" s="1169"/>
      <c r="AE74" s="1169"/>
      <c r="AF74" s="1169"/>
      <c r="AG74" s="1169"/>
      <c r="AH74" s="1169"/>
      <c r="AI74" s="1169"/>
      <c r="AJ74" s="1169"/>
      <c r="AK74" s="1169"/>
      <c r="AL74" s="1169"/>
      <c r="AM74" s="1169"/>
      <c r="AN74" s="1169"/>
      <c r="AO74" s="1169"/>
      <c r="AP74" s="1169"/>
      <c r="AQ74" s="1169"/>
      <c r="AR74" s="1169"/>
      <c r="AS74" s="1169"/>
      <c r="AT74" s="1169"/>
      <c r="AU74" s="1169"/>
      <c r="AV74" s="1169"/>
      <c r="AW74" s="640">
        <v>69.5619320601836</v>
      </c>
      <c r="AX74" s="121" t="s">
        <v>745</v>
      </c>
      <c r="AY74" s="1077">
        <v>8000000</v>
      </c>
      <c r="AZ74" s="1077" t="s">
        <v>583</v>
      </c>
      <c r="BA74" s="1078"/>
      <c r="BB74" s="1085" t="s">
        <v>583</v>
      </c>
      <c r="BC74" s="1078" t="s">
        <v>583</v>
      </c>
      <c r="BD74" s="1077" t="s">
        <v>583</v>
      </c>
      <c r="BE74" s="1077" t="s">
        <v>583</v>
      </c>
      <c r="BF74" s="1078" t="s">
        <v>583</v>
      </c>
      <c r="BG74" s="1078" t="s">
        <v>583</v>
      </c>
      <c r="BH74" s="1078"/>
      <c r="BI74" s="1049" t="s">
        <v>112</v>
      </c>
      <c r="BJ74" s="1049" t="s">
        <v>112</v>
      </c>
      <c r="BK74" s="1049" t="s">
        <v>112</v>
      </c>
      <c r="BL74" s="1049"/>
      <c r="BM74" s="1102" t="s">
        <v>5612</v>
      </c>
      <c r="BN74" s="1536" t="s">
        <v>5613</v>
      </c>
      <c r="BO74" s="1103" t="s">
        <v>5614</v>
      </c>
      <c r="BP74" s="1536" t="s">
        <v>5615</v>
      </c>
      <c r="BQ74" s="1103" t="s">
        <v>5616</v>
      </c>
      <c r="BR74" s="1103"/>
      <c r="BS74" s="1536" t="s">
        <v>5617</v>
      </c>
      <c r="BT74" s="130" t="s">
        <v>5618</v>
      </c>
      <c r="BU74" s="1187"/>
      <c r="BV74" s="1260"/>
      <c r="BW74" s="1261"/>
    </row>
    <row r="75" s="1193" customFormat="1" ht="21" spans="2:75">
      <c r="B75" s="1562" t="s">
        <v>816</v>
      </c>
      <c r="C75" s="837" t="s">
        <v>5619</v>
      </c>
      <c r="D75" s="1162" t="s">
        <v>4254</v>
      </c>
      <c r="E75" s="1043" t="s">
        <v>4255</v>
      </c>
      <c r="F75" s="1043" t="s">
        <v>43</v>
      </c>
      <c r="G75" s="1043" t="s">
        <v>404</v>
      </c>
      <c r="H75" s="1043" t="s">
        <v>404</v>
      </c>
      <c r="I75" s="1049" t="s">
        <v>3904</v>
      </c>
      <c r="J75" s="1049"/>
      <c r="K75" s="1049" t="s">
        <v>5508</v>
      </c>
      <c r="L75" s="1212">
        <v>43238</v>
      </c>
      <c r="M75" s="1212">
        <v>43329</v>
      </c>
      <c r="N75" s="1169" t="s">
        <v>583</v>
      </c>
      <c r="O75" s="1169" t="s">
        <v>583</v>
      </c>
      <c r="P75" s="1169" t="s">
        <v>583</v>
      </c>
      <c r="Q75" s="1169" t="s">
        <v>583</v>
      </c>
      <c r="R75" s="1169" t="s">
        <v>583</v>
      </c>
      <c r="S75" s="1169" t="s">
        <v>583</v>
      </c>
      <c r="T75" s="1169"/>
      <c r="U75" s="1169"/>
      <c r="V75" s="1169"/>
      <c r="W75" s="1169"/>
      <c r="X75" s="1169"/>
      <c r="Y75" s="1169"/>
      <c r="Z75" s="1169"/>
      <c r="AA75" s="1169"/>
      <c r="AB75" s="1169"/>
      <c r="AC75" s="1169"/>
      <c r="AD75" s="1169"/>
      <c r="AE75" s="1169"/>
      <c r="AF75" s="1169"/>
      <c r="AG75" s="1169"/>
      <c r="AH75" s="1169"/>
      <c r="AI75" s="1169"/>
      <c r="AJ75" s="1169"/>
      <c r="AK75" s="1169"/>
      <c r="AL75" s="1169"/>
      <c r="AM75" s="1169"/>
      <c r="AN75" s="1169"/>
      <c r="AO75" s="1169"/>
      <c r="AP75" s="1169"/>
      <c r="AQ75" s="1169"/>
      <c r="AR75" s="1169"/>
      <c r="AS75" s="1169"/>
      <c r="AT75" s="1169"/>
      <c r="AU75" s="1169"/>
      <c r="AV75" s="1169"/>
      <c r="AW75" s="640">
        <v>70.5619320601836</v>
      </c>
      <c r="AX75" s="121" t="s">
        <v>745</v>
      </c>
      <c r="AY75" s="1077">
        <v>30000000</v>
      </c>
      <c r="AZ75" s="1077"/>
      <c r="BA75" s="1078"/>
      <c r="BB75" s="1085"/>
      <c r="BC75" s="1078"/>
      <c r="BD75" s="1077"/>
      <c r="BE75" s="1077"/>
      <c r="BF75" s="1078"/>
      <c r="BG75" s="1078"/>
      <c r="BH75" s="1078"/>
      <c r="BI75" s="1049" t="s">
        <v>112</v>
      </c>
      <c r="BJ75" s="1049" t="s">
        <v>112</v>
      </c>
      <c r="BK75" s="1049" t="s">
        <v>112</v>
      </c>
      <c r="BL75" s="1049"/>
      <c r="BM75" s="1102" t="s">
        <v>4256</v>
      </c>
      <c r="BN75" s="1536" t="s">
        <v>4257</v>
      </c>
      <c r="BO75" s="1103" t="s">
        <v>5620</v>
      </c>
      <c r="BP75" s="1536" t="s">
        <v>4259</v>
      </c>
      <c r="BQ75" s="1536" t="s">
        <v>4260</v>
      </c>
      <c r="BR75" s="1536" t="s">
        <v>5621</v>
      </c>
      <c r="BS75" s="1536" t="s">
        <v>4261</v>
      </c>
      <c r="BT75" s="127" t="s">
        <v>4262</v>
      </c>
      <c r="BU75" s="1187"/>
      <c r="BV75" s="1257"/>
      <c r="BW75" s="1188"/>
    </row>
    <row r="76" s="1193" customFormat="1" ht="24" spans="2:75">
      <c r="B76" s="1562" t="s">
        <v>828</v>
      </c>
      <c r="C76" s="837"/>
      <c r="D76" s="1162" t="s">
        <v>5622</v>
      </c>
      <c r="E76" s="1043" t="s">
        <v>5623</v>
      </c>
      <c r="F76" s="1043" t="s">
        <v>43</v>
      </c>
      <c r="G76" s="1043" t="s">
        <v>254</v>
      </c>
      <c r="H76" s="1043" t="s">
        <v>254</v>
      </c>
      <c r="I76" s="1049" t="s">
        <v>3904</v>
      </c>
      <c r="J76" s="1049"/>
      <c r="K76" s="1049" t="s">
        <v>5624</v>
      </c>
      <c r="L76" s="1169">
        <v>43236</v>
      </c>
      <c r="M76" s="1169">
        <v>43296</v>
      </c>
      <c r="N76" s="1169"/>
      <c r="O76" s="1169"/>
      <c r="P76" s="1169"/>
      <c r="Q76" s="1169"/>
      <c r="R76" s="1169"/>
      <c r="S76" s="1169"/>
      <c r="T76" s="1169"/>
      <c r="U76" s="1169"/>
      <c r="V76" s="1169"/>
      <c r="W76" s="1169"/>
      <c r="X76" s="1169"/>
      <c r="Y76" s="1169"/>
      <c r="Z76" s="1169"/>
      <c r="AA76" s="1169"/>
      <c r="AB76" s="1169"/>
      <c r="AC76" s="1169"/>
      <c r="AD76" s="1169"/>
      <c r="AE76" s="1169"/>
      <c r="AF76" s="1169"/>
      <c r="AG76" s="1169"/>
      <c r="AH76" s="1169"/>
      <c r="AI76" s="1169"/>
      <c r="AJ76" s="1169"/>
      <c r="AK76" s="1169"/>
      <c r="AL76" s="1169"/>
      <c r="AM76" s="1169"/>
      <c r="AN76" s="1169"/>
      <c r="AO76" s="1169"/>
      <c r="AP76" s="1169"/>
      <c r="AQ76" s="1169"/>
      <c r="AR76" s="1169"/>
      <c r="AS76" s="1169"/>
      <c r="AT76" s="1169"/>
      <c r="AU76" s="1169"/>
      <c r="AV76" s="1169"/>
      <c r="AW76" s="640">
        <v>71.5619320601836</v>
      </c>
      <c r="AX76" s="121" t="s">
        <v>745</v>
      </c>
      <c r="AY76" s="1077">
        <v>15000000</v>
      </c>
      <c r="AZ76" s="1077">
        <v>500000</v>
      </c>
      <c r="BA76" s="1078"/>
      <c r="BB76" s="1085" t="s">
        <v>583</v>
      </c>
      <c r="BC76" s="1078">
        <v>1500000</v>
      </c>
      <c r="BD76" s="1077" t="s">
        <v>583</v>
      </c>
      <c r="BE76" s="1077"/>
      <c r="BF76" s="1078"/>
      <c r="BG76" s="1078">
        <v>500000</v>
      </c>
      <c r="BH76" s="1078">
        <v>250000</v>
      </c>
      <c r="BI76" s="1049" t="s">
        <v>112</v>
      </c>
      <c r="BJ76" s="1049" t="s">
        <v>48</v>
      </c>
      <c r="BK76" s="1049" t="s">
        <v>48</v>
      </c>
      <c r="BL76" s="1049"/>
      <c r="BM76" s="1102" t="s">
        <v>5625</v>
      </c>
      <c r="BN76" s="1536" t="s">
        <v>5626</v>
      </c>
      <c r="BO76" s="1103" t="s">
        <v>5627</v>
      </c>
      <c r="BP76" s="1536" t="s">
        <v>5628</v>
      </c>
      <c r="BQ76" s="1536" t="s">
        <v>5629</v>
      </c>
      <c r="BR76" s="1103"/>
      <c r="BS76" s="1103"/>
      <c r="BT76" s="127" t="s">
        <v>5630</v>
      </c>
      <c r="BU76" s="1187"/>
      <c r="BV76" s="1257"/>
      <c r="BW76" s="1188"/>
    </row>
    <row r="77" s="1193" customFormat="1" spans="54:75">
      <c r="BB77" s="1248"/>
      <c r="BN77" s="1197"/>
      <c r="BO77" s="1197"/>
      <c r="BP77" s="1197"/>
      <c r="BQ77" s="1197"/>
      <c r="BR77" s="1197"/>
      <c r="BS77" s="1197"/>
      <c r="BT77" s="1197"/>
      <c r="BU77" s="1197"/>
      <c r="BV77" s="1257"/>
      <c r="BW77" s="1188"/>
    </row>
    <row r="78" s="1193" customFormat="1" spans="54:75">
      <c r="BB78" s="1248"/>
      <c r="BN78" s="1197"/>
      <c r="BO78" s="1197"/>
      <c r="BP78" s="1197"/>
      <c r="BQ78" s="1197"/>
      <c r="BR78" s="1197"/>
      <c r="BS78" s="1197"/>
      <c r="BT78" s="1197"/>
      <c r="BU78" s="1197"/>
      <c r="BV78" s="1257"/>
      <c r="BW78" s="1188"/>
    </row>
    <row r="79" s="1193" customFormat="1" spans="54:75">
      <c r="BB79" s="1248"/>
      <c r="BN79" s="1197"/>
      <c r="BO79" s="1197"/>
      <c r="BP79" s="1197"/>
      <c r="BQ79" s="1197"/>
      <c r="BR79" s="1197"/>
      <c r="BS79" s="1197"/>
      <c r="BT79" s="1197"/>
      <c r="BU79" s="1197"/>
      <c r="BV79" s="1257"/>
      <c r="BW79" s="1188"/>
    </row>
    <row r="80" s="1193" customFormat="1" spans="54:75">
      <c r="BB80" s="1248"/>
      <c r="BN80" s="1197"/>
      <c r="BO80" s="1197"/>
      <c r="BP80" s="1197"/>
      <c r="BQ80" s="1197"/>
      <c r="BR80" s="1197"/>
      <c r="BS80" s="1197"/>
      <c r="BT80" s="1197"/>
      <c r="BU80" s="1197"/>
      <c r="BV80" s="1257"/>
      <c r="BW80" s="1188"/>
    </row>
    <row r="81" s="1193" customFormat="1" ht="11.25" spans="54:75">
      <c r="BB81" s="1248"/>
      <c r="BN81" s="1197"/>
      <c r="BO81" s="1197"/>
      <c r="BP81" s="1197"/>
      <c r="BQ81" s="1197"/>
      <c r="BR81" s="1197"/>
      <c r="BS81" s="1197"/>
      <c r="BT81" s="1197"/>
      <c r="BU81" s="1197"/>
      <c r="BV81" s="1257"/>
      <c r="BW81" s="1188"/>
    </row>
    <row r="82" s="1193" customFormat="1" ht="11.25" spans="2:75">
      <c r="B82" s="1239" t="s">
        <v>2552</v>
      </c>
      <c r="C82" s="1240"/>
      <c r="BB82" s="1248"/>
      <c r="BN82" s="1197"/>
      <c r="BO82" s="1197"/>
      <c r="BP82" s="1197"/>
      <c r="BQ82" s="1197"/>
      <c r="BR82" s="1197"/>
      <c r="BS82" s="1197"/>
      <c r="BT82" s="1197"/>
      <c r="BU82" s="1197"/>
      <c r="BV82" s="1257"/>
      <c r="BW82" s="1188"/>
    </row>
    <row r="83" s="1193" customFormat="1" ht="14.1" customHeight="1" spans="2:75">
      <c r="B83" s="1563" t="s">
        <v>215</v>
      </c>
      <c r="C83" s="838" t="s">
        <v>5631</v>
      </c>
      <c r="D83" s="1199" t="s">
        <v>5632</v>
      </c>
      <c r="E83" s="1044" t="s">
        <v>5633</v>
      </c>
      <c r="F83" s="1044" t="s">
        <v>125</v>
      </c>
      <c r="G83" s="1044" t="s">
        <v>44</v>
      </c>
      <c r="H83" s="1044" t="s">
        <v>44</v>
      </c>
      <c r="I83" s="1051" t="s">
        <v>3528</v>
      </c>
      <c r="J83" s="1051" t="s">
        <v>4834</v>
      </c>
      <c r="K83" s="1051" t="s">
        <v>722</v>
      </c>
      <c r="L83" s="1202">
        <v>42184</v>
      </c>
      <c r="M83" s="1202">
        <v>42275</v>
      </c>
      <c r="N83" s="1202">
        <v>42369</v>
      </c>
      <c r="O83" s="1202">
        <v>42460</v>
      </c>
      <c r="P83" s="1202">
        <v>42551</v>
      </c>
      <c r="Q83" s="1202">
        <v>42582</v>
      </c>
      <c r="R83" s="1202">
        <v>42613</v>
      </c>
      <c r="S83" s="1202">
        <v>42674</v>
      </c>
      <c r="T83" s="1202">
        <v>42735</v>
      </c>
      <c r="U83" s="1202">
        <v>42914</v>
      </c>
      <c r="V83" s="1202"/>
      <c r="W83" s="1202"/>
      <c r="X83" s="1202"/>
      <c r="Y83" s="1202"/>
      <c r="Z83" s="1202">
        <v>42915</v>
      </c>
      <c r="AA83" s="1202">
        <v>42916</v>
      </c>
      <c r="AB83" s="1202">
        <v>43100</v>
      </c>
      <c r="AC83" s="1202"/>
      <c r="AD83" s="1202"/>
      <c r="AE83" s="1202"/>
      <c r="AF83" s="1202"/>
      <c r="AG83" s="1202"/>
      <c r="AH83" s="1202"/>
      <c r="AI83" s="1202"/>
      <c r="AJ83" s="1202"/>
      <c r="AK83" s="1202"/>
      <c r="AL83" s="1202"/>
      <c r="AM83" s="1202"/>
      <c r="AN83" s="1202"/>
      <c r="AO83" s="1202"/>
      <c r="AP83" s="1202"/>
      <c r="AQ83" s="1202"/>
      <c r="AR83" s="1202"/>
      <c r="AS83" s="1202"/>
      <c r="AT83" s="1202"/>
      <c r="AU83" s="1202"/>
      <c r="AV83" s="1202"/>
      <c r="AW83" s="325">
        <v>148.37625439815</v>
      </c>
      <c r="AX83" s="1247" t="s">
        <v>745</v>
      </c>
      <c r="AY83" s="1080">
        <v>5500000</v>
      </c>
      <c r="AZ83" s="1080">
        <v>250000</v>
      </c>
      <c r="BA83" s="1081" t="s">
        <v>583</v>
      </c>
      <c r="BB83" s="1088"/>
      <c r="BC83" s="1081"/>
      <c r="BD83" s="1080"/>
      <c r="BE83" s="1080"/>
      <c r="BF83" s="1081">
        <v>500000</v>
      </c>
      <c r="BG83" s="1081">
        <v>500000</v>
      </c>
      <c r="BH83" s="1081"/>
      <c r="BI83" s="1051" t="s">
        <v>5634</v>
      </c>
      <c r="BJ83" s="1081" t="s">
        <v>48</v>
      </c>
      <c r="BK83" s="1081" t="s">
        <v>48</v>
      </c>
      <c r="BL83" s="1051" t="s">
        <v>5635</v>
      </c>
      <c r="BM83" s="1104" t="s">
        <v>5636</v>
      </c>
      <c r="BN83" s="1095" t="s">
        <v>5637</v>
      </c>
      <c r="BO83" s="1095" t="s">
        <v>5638</v>
      </c>
      <c r="BP83" s="1545" t="s">
        <v>5639</v>
      </c>
      <c r="BQ83" s="1095" t="s">
        <v>5640</v>
      </c>
      <c r="BR83" s="1095" t="s">
        <v>2574</v>
      </c>
      <c r="BS83" s="1095" t="s">
        <v>5641</v>
      </c>
      <c r="BT83" s="1126" t="s">
        <v>5642</v>
      </c>
      <c r="BU83" s="1262" t="s">
        <v>5643</v>
      </c>
      <c r="BV83" s="1235">
        <v>43100</v>
      </c>
      <c r="BW83" s="1188"/>
    </row>
    <row r="84" s="1193" customFormat="1" ht="14.1" customHeight="1" spans="2:75">
      <c r="B84" s="1563" t="s">
        <v>661</v>
      </c>
      <c r="C84" s="838" t="s">
        <v>5445</v>
      </c>
      <c r="D84" s="1199" t="s">
        <v>5446</v>
      </c>
      <c r="E84" s="1044" t="s">
        <v>5447</v>
      </c>
      <c r="F84" s="1044" t="s">
        <v>43</v>
      </c>
      <c r="G84" s="1044" t="s">
        <v>60</v>
      </c>
      <c r="H84" s="1044" t="s">
        <v>60</v>
      </c>
      <c r="I84" s="1051" t="s">
        <v>5644</v>
      </c>
      <c r="J84" s="1051" t="s">
        <v>4970</v>
      </c>
      <c r="K84" s="1051" t="s">
        <v>5645</v>
      </c>
      <c r="L84" s="1202">
        <v>42768</v>
      </c>
      <c r="M84" s="1202">
        <v>42947</v>
      </c>
      <c r="N84" s="1202"/>
      <c r="O84" s="1202"/>
      <c r="P84" s="1202"/>
      <c r="Q84" s="1202"/>
      <c r="R84" s="1202"/>
      <c r="S84" s="1202"/>
      <c r="T84" s="1202"/>
      <c r="U84" s="1202"/>
      <c r="V84" s="1202"/>
      <c r="W84" s="1202"/>
      <c r="X84" s="1202"/>
      <c r="Y84" s="1202"/>
      <c r="Z84" s="1202"/>
      <c r="AA84" s="1202"/>
      <c r="AB84" s="1202"/>
      <c r="AC84" s="1202"/>
      <c r="AD84" s="1202"/>
      <c r="AE84" s="1202"/>
      <c r="AF84" s="1202"/>
      <c r="AG84" s="1202"/>
      <c r="AH84" s="1202"/>
      <c r="AI84" s="1202"/>
      <c r="AJ84" s="1202"/>
      <c r="AK84" s="1202"/>
      <c r="AL84" s="1202"/>
      <c r="AM84" s="1202"/>
      <c r="AN84" s="1202"/>
      <c r="AO84" s="1202"/>
      <c r="AP84" s="1202"/>
      <c r="AQ84" s="1202"/>
      <c r="AR84" s="1202"/>
      <c r="AS84" s="1202"/>
      <c r="AT84" s="1202"/>
      <c r="AU84" s="1202"/>
      <c r="AV84" s="1202"/>
      <c r="AW84" s="325">
        <v>-4.62374560184981</v>
      </c>
      <c r="AX84" s="1247" t="s">
        <v>2569</v>
      </c>
      <c r="AY84" s="1080">
        <v>5000000</v>
      </c>
      <c r="AZ84" s="1080">
        <v>250000</v>
      </c>
      <c r="BA84" s="1081" t="s">
        <v>583</v>
      </c>
      <c r="BB84" s="1088"/>
      <c r="BC84" s="1081">
        <v>1500000</v>
      </c>
      <c r="BD84" s="1080"/>
      <c r="BE84" s="1080"/>
      <c r="BF84" s="1081" t="s">
        <v>583</v>
      </c>
      <c r="BG84" s="1081">
        <v>500000</v>
      </c>
      <c r="BH84" s="1081">
        <v>250000</v>
      </c>
      <c r="BI84" s="1051" t="s">
        <v>0</v>
      </c>
      <c r="BJ84" s="1081" t="s">
        <v>48</v>
      </c>
      <c r="BK84" s="1081" t="s">
        <v>48</v>
      </c>
      <c r="BL84" s="1051" t="s">
        <v>5646</v>
      </c>
      <c r="BM84" s="1104" t="s">
        <v>5449</v>
      </c>
      <c r="BN84" s="1095" t="s">
        <v>5450</v>
      </c>
      <c r="BO84" s="1095" t="s">
        <v>5451</v>
      </c>
      <c r="BP84" s="1545" t="s">
        <v>5452</v>
      </c>
      <c r="BQ84" s="1095" t="s">
        <v>5453</v>
      </c>
      <c r="BR84" s="1095" t="s">
        <v>5647</v>
      </c>
      <c r="BS84" s="1095" t="s">
        <v>5454</v>
      </c>
      <c r="BT84" s="1126" t="s">
        <v>5648</v>
      </c>
      <c r="BU84" s="1262" t="s">
        <v>2679</v>
      </c>
      <c r="BV84" s="1235">
        <v>42947</v>
      </c>
      <c r="BW84" s="1188"/>
    </row>
    <row r="85" s="1193" customFormat="1" ht="14.1" customHeight="1" spans="2:75">
      <c r="B85" s="1563" t="s">
        <v>888</v>
      </c>
      <c r="C85" s="838" t="s">
        <v>5649</v>
      </c>
      <c r="D85" s="1199" t="s">
        <v>4403</v>
      </c>
      <c r="E85" s="1044" t="s">
        <v>4404</v>
      </c>
      <c r="F85" s="1044" t="s">
        <v>43</v>
      </c>
      <c r="G85" s="1044" t="s">
        <v>254</v>
      </c>
      <c r="H85" s="1044" t="s">
        <v>254</v>
      </c>
      <c r="I85" s="1051" t="s">
        <v>2832</v>
      </c>
      <c r="J85" s="1051" t="s">
        <v>4970</v>
      </c>
      <c r="K85" s="1051" t="s">
        <v>5242</v>
      </c>
      <c r="L85" s="1202">
        <v>42793</v>
      </c>
      <c r="M85" s="1202">
        <v>42886</v>
      </c>
      <c r="N85" s="1202">
        <v>42916</v>
      </c>
      <c r="O85" s="1202">
        <v>42947</v>
      </c>
      <c r="P85" s="1202"/>
      <c r="Q85" s="1202"/>
      <c r="R85" s="1202"/>
      <c r="S85" s="1202"/>
      <c r="T85" s="1202"/>
      <c r="U85" s="1202"/>
      <c r="V85" s="1202"/>
      <c r="W85" s="1202"/>
      <c r="X85" s="1202"/>
      <c r="Y85" s="1202"/>
      <c r="Z85" s="1202"/>
      <c r="AA85" s="1202"/>
      <c r="AB85" s="1202"/>
      <c r="AC85" s="1202"/>
      <c r="AD85" s="1202"/>
      <c r="AE85" s="1202"/>
      <c r="AF85" s="1202"/>
      <c r="AG85" s="1202"/>
      <c r="AH85" s="1202"/>
      <c r="AI85" s="1202"/>
      <c r="AJ85" s="1202"/>
      <c r="AK85" s="1202"/>
      <c r="AL85" s="1202"/>
      <c r="AM85" s="1202"/>
      <c r="AN85" s="1202"/>
      <c r="AO85" s="1202"/>
      <c r="AP85" s="1202"/>
      <c r="AQ85" s="1202"/>
      <c r="AR85" s="1202"/>
      <c r="AS85" s="1202"/>
      <c r="AT85" s="1202"/>
      <c r="AU85" s="1202"/>
      <c r="AV85" s="1202"/>
      <c r="AW85" s="325">
        <v>-4.62374560184981</v>
      </c>
      <c r="AX85" s="1247" t="s">
        <v>2569</v>
      </c>
      <c r="AY85" s="1080">
        <v>14000000</v>
      </c>
      <c r="AZ85" s="1080">
        <v>1000000</v>
      </c>
      <c r="BA85" s="1081" t="s">
        <v>583</v>
      </c>
      <c r="BB85" s="1088" t="s">
        <v>583</v>
      </c>
      <c r="BC85" s="1081" t="s">
        <v>583</v>
      </c>
      <c r="BD85" s="1080"/>
      <c r="BE85" s="1080"/>
      <c r="BF85" s="1081">
        <v>2500000</v>
      </c>
      <c r="BG85" s="1081">
        <v>500000</v>
      </c>
      <c r="BH85" s="1081">
        <v>250000</v>
      </c>
      <c r="BI85" s="1051" t="s">
        <v>0</v>
      </c>
      <c r="BJ85" s="1081" t="s">
        <v>48</v>
      </c>
      <c r="BK85" s="1081" t="s">
        <v>48</v>
      </c>
      <c r="BL85" s="1051"/>
      <c r="BM85" s="1104" t="s">
        <v>4405</v>
      </c>
      <c r="BN85" s="1095" t="s">
        <v>5650</v>
      </c>
      <c r="BO85" s="1095" t="s">
        <v>5651</v>
      </c>
      <c r="BP85" s="1545" t="s">
        <v>5652</v>
      </c>
      <c r="BQ85" s="1095" t="s">
        <v>5653</v>
      </c>
      <c r="BR85" s="1095" t="s">
        <v>5654</v>
      </c>
      <c r="BS85" s="1095" t="s">
        <v>5655</v>
      </c>
      <c r="BT85" s="1126" t="s">
        <v>5656</v>
      </c>
      <c r="BU85" s="1262" t="s">
        <v>2679</v>
      </c>
      <c r="BV85" s="1235" t="s">
        <v>5657</v>
      </c>
      <c r="BW85" s="1188"/>
    </row>
    <row r="86" s="1193" customFormat="1" ht="14.1" customHeight="1" spans="2:75">
      <c r="B86" s="1563" t="s">
        <v>940</v>
      </c>
      <c r="C86" s="838" t="s">
        <v>5658</v>
      </c>
      <c r="D86" s="1199" t="s">
        <v>5659</v>
      </c>
      <c r="E86" s="1044" t="s">
        <v>5660</v>
      </c>
      <c r="F86" s="1044" t="s">
        <v>43</v>
      </c>
      <c r="G86" s="1044" t="s">
        <v>60</v>
      </c>
      <c r="H86" s="1044" t="s">
        <v>60</v>
      </c>
      <c r="I86" s="1051" t="s">
        <v>3528</v>
      </c>
      <c r="J86" s="1051" t="s">
        <v>4970</v>
      </c>
      <c r="K86" s="1051" t="s">
        <v>5130</v>
      </c>
      <c r="L86" s="1202">
        <v>42787</v>
      </c>
      <c r="M86" s="1202">
        <v>42875</v>
      </c>
      <c r="N86" s="1202">
        <v>42906</v>
      </c>
      <c r="O86" s="1202">
        <v>42947</v>
      </c>
      <c r="P86" s="1202"/>
      <c r="Q86" s="1202"/>
      <c r="R86" s="1202"/>
      <c r="S86" s="1202"/>
      <c r="T86" s="1202"/>
      <c r="U86" s="1202"/>
      <c r="V86" s="1202"/>
      <c r="W86" s="1202"/>
      <c r="X86" s="1202"/>
      <c r="Y86" s="1202"/>
      <c r="Z86" s="1202"/>
      <c r="AA86" s="1202"/>
      <c r="AB86" s="1202"/>
      <c r="AC86" s="1202"/>
      <c r="AD86" s="1202"/>
      <c r="AE86" s="1202"/>
      <c r="AF86" s="1202"/>
      <c r="AG86" s="1202"/>
      <c r="AH86" s="1202"/>
      <c r="AI86" s="1202"/>
      <c r="AJ86" s="1202"/>
      <c r="AK86" s="1202"/>
      <c r="AL86" s="1202"/>
      <c r="AM86" s="1202"/>
      <c r="AN86" s="1202"/>
      <c r="AO86" s="1202"/>
      <c r="AP86" s="1202"/>
      <c r="AQ86" s="1202"/>
      <c r="AR86" s="1202"/>
      <c r="AS86" s="1202"/>
      <c r="AT86" s="1202"/>
      <c r="AU86" s="1202"/>
      <c r="AV86" s="1202"/>
      <c r="AW86" s="325">
        <v>-4.62374560184981</v>
      </c>
      <c r="AX86" s="1247" t="s">
        <v>2569</v>
      </c>
      <c r="AY86" s="1080">
        <v>15750000</v>
      </c>
      <c r="AZ86" s="1080">
        <v>1000000</v>
      </c>
      <c r="BA86" s="1081" t="s">
        <v>583</v>
      </c>
      <c r="BB86" s="1088">
        <v>3000000</v>
      </c>
      <c r="BC86" s="1081">
        <v>1500000</v>
      </c>
      <c r="BD86" s="1080"/>
      <c r="BE86" s="1080"/>
      <c r="BF86" s="1081">
        <v>3000000</v>
      </c>
      <c r="BG86" s="1081">
        <v>500000</v>
      </c>
      <c r="BH86" s="1081">
        <v>250000</v>
      </c>
      <c r="BI86" s="1051" t="s">
        <v>0</v>
      </c>
      <c r="BJ86" s="1081" t="s">
        <v>48</v>
      </c>
      <c r="BK86" s="1081" t="s">
        <v>48</v>
      </c>
      <c r="BL86" s="1051"/>
      <c r="BM86" s="1104" t="s">
        <v>5661</v>
      </c>
      <c r="BN86" s="1095" t="s">
        <v>5662</v>
      </c>
      <c r="BO86" s="1095" t="s">
        <v>5663</v>
      </c>
      <c r="BP86" s="1545" t="s">
        <v>5664</v>
      </c>
      <c r="BQ86" s="1095" t="s">
        <v>5665</v>
      </c>
      <c r="BR86" s="1095" t="s">
        <v>5666</v>
      </c>
      <c r="BS86" s="1095"/>
      <c r="BT86" s="1126" t="s">
        <v>5667</v>
      </c>
      <c r="BU86" s="1262" t="s">
        <v>5668</v>
      </c>
      <c r="BV86" s="1235" t="s">
        <v>5669</v>
      </c>
      <c r="BW86" s="1188"/>
    </row>
    <row r="87" s="1193" customFormat="1" ht="14.1" customHeight="1" spans="2:75">
      <c r="B87" s="1563" t="s">
        <v>3139</v>
      </c>
      <c r="C87" s="838" t="s">
        <v>4385</v>
      </c>
      <c r="D87" s="919" t="s">
        <v>4386</v>
      </c>
      <c r="E87" s="923" t="s">
        <v>4387</v>
      </c>
      <c r="F87" s="923" t="s">
        <v>43</v>
      </c>
      <c r="G87" s="923" t="s">
        <v>96</v>
      </c>
      <c r="H87" s="923" t="s">
        <v>96</v>
      </c>
      <c r="I87" s="927" t="s">
        <v>3528</v>
      </c>
      <c r="J87" s="927" t="s">
        <v>5670</v>
      </c>
      <c r="K87" s="919" t="s">
        <v>3529</v>
      </c>
      <c r="L87" s="928">
        <v>42713</v>
      </c>
      <c r="M87" s="928">
        <v>42894</v>
      </c>
      <c r="N87" s="928">
        <v>42947</v>
      </c>
      <c r="O87" s="1202">
        <v>43008</v>
      </c>
      <c r="P87" s="928"/>
      <c r="Q87" s="928"/>
      <c r="R87" s="928"/>
      <c r="S87" s="928"/>
      <c r="T87" s="1206"/>
      <c r="U87" s="1206"/>
      <c r="V87" s="1206"/>
      <c r="W87" s="1206"/>
      <c r="X87" s="1206"/>
      <c r="Y87" s="1206"/>
      <c r="Z87" s="1206"/>
      <c r="AA87" s="1206"/>
      <c r="AB87" s="1206"/>
      <c r="AC87" s="1206"/>
      <c r="AD87" s="1206"/>
      <c r="AE87" s="1206"/>
      <c r="AF87" s="1206"/>
      <c r="AG87" s="1206"/>
      <c r="AH87" s="1206"/>
      <c r="AI87" s="1206"/>
      <c r="AJ87" s="1206"/>
      <c r="AK87" s="1206"/>
      <c r="AL87" s="1206"/>
      <c r="AM87" s="1206"/>
      <c r="AN87" s="1206"/>
      <c r="AO87" s="1206"/>
      <c r="AP87" s="1206"/>
      <c r="AQ87" s="1206"/>
      <c r="AR87" s="1206"/>
      <c r="AS87" s="1206"/>
      <c r="AT87" s="1206"/>
      <c r="AU87" s="1206"/>
      <c r="AV87" s="1206"/>
      <c r="AW87" s="325">
        <v>56.3762543981502</v>
      </c>
      <c r="AX87" s="187" t="s">
        <v>745</v>
      </c>
      <c r="AY87" s="1070">
        <v>14000000</v>
      </c>
      <c r="AZ87" s="1070">
        <v>1000000</v>
      </c>
      <c r="BA87" s="1206"/>
      <c r="BB87" s="1249"/>
      <c r="BC87" s="1070">
        <v>1250000</v>
      </c>
      <c r="BD87" s="1070"/>
      <c r="BE87" s="1206"/>
      <c r="BF87" s="1070">
        <v>1000000</v>
      </c>
      <c r="BG87" s="1006">
        <v>500000</v>
      </c>
      <c r="BH87" s="1070">
        <v>250000</v>
      </c>
      <c r="BI87" s="1070" t="s">
        <v>0</v>
      </c>
      <c r="BJ87" s="960" t="s">
        <v>48</v>
      </c>
      <c r="BK87" s="960" t="s">
        <v>48</v>
      </c>
      <c r="BL87" s="927"/>
      <c r="BM87" s="290" t="s">
        <v>5671</v>
      </c>
      <c r="BN87" s="1556" t="s">
        <v>5672</v>
      </c>
      <c r="BO87" s="290" t="s">
        <v>5673</v>
      </c>
      <c r="BP87" s="1556" t="s">
        <v>4390</v>
      </c>
      <c r="BQ87" s="1556" t="s">
        <v>4391</v>
      </c>
      <c r="BR87" s="290" t="s">
        <v>5674</v>
      </c>
      <c r="BS87" s="290"/>
      <c r="BT87" s="968" t="s">
        <v>4394</v>
      </c>
      <c r="BU87" s="1263" t="s">
        <v>5675</v>
      </c>
      <c r="BV87" s="1264"/>
      <c r="BW87" s="1188"/>
    </row>
    <row r="88" s="1193" customFormat="1" ht="14.1" customHeight="1" spans="2:75">
      <c r="B88" s="1563" t="s">
        <v>542</v>
      </c>
      <c r="C88" s="838" t="s">
        <v>4814</v>
      </c>
      <c r="D88" s="1199" t="s">
        <v>4815</v>
      </c>
      <c r="E88" s="1044" t="s">
        <v>4816</v>
      </c>
      <c r="F88" s="1044" t="s">
        <v>43</v>
      </c>
      <c r="G88" s="1044" t="s">
        <v>96</v>
      </c>
      <c r="H88" s="1044" t="s">
        <v>96</v>
      </c>
      <c r="I88" s="1051" t="s">
        <v>3528</v>
      </c>
      <c r="J88" s="1051" t="s">
        <v>4970</v>
      </c>
      <c r="K88" s="1051" t="s">
        <v>4818</v>
      </c>
      <c r="L88" s="1202">
        <v>42769</v>
      </c>
      <c r="M88" s="1202">
        <v>42825</v>
      </c>
      <c r="N88" s="1202">
        <v>42886</v>
      </c>
      <c r="O88" s="1202">
        <v>42916</v>
      </c>
      <c r="P88" s="1202">
        <v>43008</v>
      </c>
      <c r="Q88" s="1202"/>
      <c r="R88" s="1202"/>
      <c r="S88" s="1202"/>
      <c r="T88" s="1202"/>
      <c r="U88" s="1202"/>
      <c r="V88" s="1202"/>
      <c r="W88" s="1202"/>
      <c r="X88" s="1202"/>
      <c r="Y88" s="1202"/>
      <c r="Z88" s="1202"/>
      <c r="AA88" s="1202"/>
      <c r="AB88" s="1202"/>
      <c r="AC88" s="1202"/>
      <c r="AD88" s="1202"/>
      <c r="AE88" s="1202"/>
      <c r="AF88" s="1202"/>
      <c r="AG88" s="1202"/>
      <c r="AH88" s="1202"/>
      <c r="AI88" s="1202"/>
      <c r="AJ88" s="1202"/>
      <c r="AK88" s="1202"/>
      <c r="AL88" s="1202"/>
      <c r="AM88" s="1202"/>
      <c r="AN88" s="1202"/>
      <c r="AO88" s="1202"/>
      <c r="AP88" s="1202"/>
      <c r="AQ88" s="1202"/>
      <c r="AR88" s="1202"/>
      <c r="AS88" s="1202"/>
      <c r="AT88" s="1202"/>
      <c r="AU88" s="1202"/>
      <c r="AV88" s="1202"/>
      <c r="AW88" s="325">
        <v>-109.537142476853</v>
      </c>
      <c r="AX88" s="1247" t="s">
        <v>2569</v>
      </c>
      <c r="AY88" s="1080">
        <v>15000000</v>
      </c>
      <c r="AZ88" s="1080">
        <v>1000000</v>
      </c>
      <c r="BA88" s="1081"/>
      <c r="BB88" s="1088">
        <v>4500000</v>
      </c>
      <c r="BC88" s="1081" t="s">
        <v>583</v>
      </c>
      <c r="BD88" s="1080"/>
      <c r="BE88" s="1080"/>
      <c r="BF88" s="1081" t="s">
        <v>583</v>
      </c>
      <c r="BG88" s="1081">
        <v>0</v>
      </c>
      <c r="BH88" s="1081">
        <v>250000</v>
      </c>
      <c r="BI88" s="1051" t="s">
        <v>0</v>
      </c>
      <c r="BJ88" s="1081" t="s">
        <v>48</v>
      </c>
      <c r="BK88" s="1081" t="s">
        <v>48</v>
      </c>
      <c r="BL88" s="1051" t="s">
        <v>5676</v>
      </c>
      <c r="BM88" s="1104" t="s">
        <v>4820</v>
      </c>
      <c r="BN88" s="1095" t="s">
        <v>4821</v>
      </c>
      <c r="BO88" s="1095" t="s">
        <v>4822</v>
      </c>
      <c r="BP88" s="1545" t="s">
        <v>4823</v>
      </c>
      <c r="BQ88" s="1095" t="s">
        <v>4824</v>
      </c>
      <c r="BR88" s="1095"/>
      <c r="BS88" s="1095"/>
      <c r="BT88" s="1126" t="s">
        <v>4825</v>
      </c>
      <c r="BU88" s="1265" t="s">
        <v>5677</v>
      </c>
      <c r="BV88" s="1235">
        <v>43008</v>
      </c>
      <c r="BW88" s="1188"/>
    </row>
    <row r="89" s="1193" customFormat="1" ht="14.1" customHeight="1" spans="2:75">
      <c r="B89" s="1563" t="s">
        <v>239</v>
      </c>
      <c r="C89" s="838" t="s">
        <v>848</v>
      </c>
      <c r="D89" s="1199" t="s">
        <v>849</v>
      </c>
      <c r="E89" s="1044" t="s">
        <v>850</v>
      </c>
      <c r="F89" s="1044" t="s">
        <v>43</v>
      </c>
      <c r="G89" s="1044" t="s">
        <v>44</v>
      </c>
      <c r="H89" s="1044" t="s">
        <v>44</v>
      </c>
      <c r="I89" s="1051" t="s">
        <v>5678</v>
      </c>
      <c r="J89" s="1051" t="s">
        <v>4970</v>
      </c>
      <c r="K89" s="1051" t="s">
        <v>5679</v>
      </c>
      <c r="L89" s="1202">
        <v>42626</v>
      </c>
      <c r="M89" s="1202">
        <v>42704</v>
      </c>
      <c r="N89" s="1202">
        <v>42735</v>
      </c>
      <c r="O89" s="1202">
        <v>42766</v>
      </c>
      <c r="P89" s="1202">
        <v>42855</v>
      </c>
      <c r="Q89" s="1202">
        <v>42916</v>
      </c>
      <c r="R89" s="1202">
        <v>42947</v>
      </c>
      <c r="S89" s="1202">
        <v>42978</v>
      </c>
      <c r="T89" s="1202"/>
      <c r="U89" s="1202"/>
      <c r="V89" s="1202"/>
      <c r="W89" s="1202"/>
      <c r="X89" s="1202"/>
      <c r="Y89" s="1202"/>
      <c r="Z89" s="1202"/>
      <c r="AA89" s="1202"/>
      <c r="AB89" s="1202"/>
      <c r="AC89" s="1202"/>
      <c r="AD89" s="1202"/>
      <c r="AE89" s="1202"/>
      <c r="AF89" s="1202"/>
      <c r="AG89" s="1202"/>
      <c r="AH89" s="1202"/>
      <c r="AI89" s="1202"/>
      <c r="AJ89" s="1202"/>
      <c r="AK89" s="1202"/>
      <c r="AL89" s="1202"/>
      <c r="AM89" s="1202"/>
      <c r="AN89" s="1202"/>
      <c r="AO89" s="1202"/>
      <c r="AP89" s="1202"/>
      <c r="AQ89" s="1202"/>
      <c r="AR89" s="1202"/>
      <c r="AS89" s="1202"/>
      <c r="AT89" s="1202"/>
      <c r="AU89" s="1202"/>
      <c r="AV89" s="1202"/>
      <c r="AW89" s="325">
        <v>-22.498647106484</v>
      </c>
      <c r="AX89" s="1247" t="s">
        <v>2569</v>
      </c>
      <c r="AY89" s="1080">
        <v>8000000</v>
      </c>
      <c r="AZ89" s="1080">
        <v>500000</v>
      </c>
      <c r="BA89" s="1081"/>
      <c r="BB89" s="1088"/>
      <c r="BC89" s="1081">
        <v>1500000</v>
      </c>
      <c r="BD89" s="1080"/>
      <c r="BE89" s="1080"/>
      <c r="BF89" s="1081"/>
      <c r="BG89" s="1081">
        <v>500000</v>
      </c>
      <c r="BH89" s="1081">
        <v>200000</v>
      </c>
      <c r="BI89" s="1051" t="s">
        <v>112</v>
      </c>
      <c r="BJ89" s="1081" t="s">
        <v>48</v>
      </c>
      <c r="BK89" s="1081" t="s">
        <v>48</v>
      </c>
      <c r="BL89" s="1051" t="s">
        <v>5680</v>
      </c>
      <c r="BM89" s="1104" t="s">
        <v>5681</v>
      </c>
      <c r="BN89" s="1095" t="s">
        <v>854</v>
      </c>
      <c r="BO89" s="1095" t="s">
        <v>855</v>
      </c>
      <c r="BP89" s="1545" t="s">
        <v>856</v>
      </c>
      <c r="BQ89" s="1095"/>
      <c r="BR89" s="1095"/>
      <c r="BS89" s="1095"/>
      <c r="BT89" s="1126" t="s">
        <v>5682</v>
      </c>
      <c r="BU89" s="1262" t="s">
        <v>2828</v>
      </c>
      <c r="BV89" s="1232" t="e">
        <v>#N/A</v>
      </c>
      <c r="BW89" s="1188"/>
    </row>
    <row r="90" s="1193" customFormat="1" ht="14.1" customHeight="1" spans="2:75">
      <c r="B90" s="1563" t="s">
        <v>261</v>
      </c>
      <c r="C90" s="838" t="s">
        <v>741</v>
      </c>
      <c r="D90" s="1199" t="s">
        <v>742</v>
      </c>
      <c r="E90" s="1044" t="s">
        <v>743</v>
      </c>
      <c r="F90" s="1044" t="s">
        <v>43</v>
      </c>
      <c r="G90" s="1044" t="s">
        <v>60</v>
      </c>
      <c r="H90" s="1044" t="s">
        <v>60</v>
      </c>
      <c r="I90" s="1051" t="s">
        <v>5683</v>
      </c>
      <c r="J90" s="1051" t="s">
        <v>4970</v>
      </c>
      <c r="K90" s="1051" t="s">
        <v>5684</v>
      </c>
      <c r="L90" s="1202">
        <v>42648</v>
      </c>
      <c r="M90" s="1202">
        <v>42735</v>
      </c>
      <c r="N90" s="1202">
        <v>42794</v>
      </c>
      <c r="O90" s="1202">
        <v>42886</v>
      </c>
      <c r="P90" s="1202">
        <v>42916</v>
      </c>
      <c r="Q90" s="1202">
        <v>42978</v>
      </c>
      <c r="R90" s="1205">
        <v>43008</v>
      </c>
      <c r="S90" s="1202"/>
      <c r="T90" s="1202"/>
      <c r="U90" s="1202"/>
      <c r="V90" s="1202"/>
      <c r="W90" s="1202"/>
      <c r="X90" s="1202"/>
      <c r="Y90" s="1202"/>
      <c r="Z90" s="1202"/>
      <c r="AA90" s="1202"/>
      <c r="AB90" s="1202"/>
      <c r="AC90" s="1202"/>
      <c r="AD90" s="1202"/>
      <c r="AE90" s="1202"/>
      <c r="AF90" s="1202"/>
      <c r="AG90" s="1202"/>
      <c r="AH90" s="1202"/>
      <c r="AI90" s="1202"/>
      <c r="AJ90" s="1202"/>
      <c r="AK90" s="1202"/>
      <c r="AL90" s="1202"/>
      <c r="AM90" s="1202"/>
      <c r="AN90" s="1202"/>
      <c r="AO90" s="1202"/>
      <c r="AP90" s="1202"/>
      <c r="AQ90" s="1202"/>
      <c r="AR90" s="1202"/>
      <c r="AS90" s="1202"/>
      <c r="AT90" s="1202"/>
      <c r="AU90" s="1202"/>
      <c r="AV90" s="1202"/>
      <c r="AW90" s="325">
        <v>7.50135289351601</v>
      </c>
      <c r="AX90" s="1247" t="s">
        <v>2569</v>
      </c>
      <c r="AY90" s="1080">
        <v>7150000</v>
      </c>
      <c r="AZ90" s="1080">
        <v>1000000</v>
      </c>
      <c r="BA90" s="1081"/>
      <c r="BB90" s="1088"/>
      <c r="BC90" s="1081"/>
      <c r="BD90" s="1080"/>
      <c r="BE90" s="1080"/>
      <c r="BF90" s="1081">
        <v>1500000</v>
      </c>
      <c r="BG90" s="1081">
        <v>500000</v>
      </c>
      <c r="BH90" s="1081">
        <v>200000</v>
      </c>
      <c r="BI90" s="1051" t="s">
        <v>112</v>
      </c>
      <c r="BJ90" s="1081" t="s">
        <v>48</v>
      </c>
      <c r="BK90" s="1081" t="s">
        <v>48</v>
      </c>
      <c r="BL90" s="1051" t="s">
        <v>5685</v>
      </c>
      <c r="BM90" s="1104" t="s">
        <v>5686</v>
      </c>
      <c r="BN90" s="1095" t="s">
        <v>747</v>
      </c>
      <c r="BO90" s="1095" t="s">
        <v>748</v>
      </c>
      <c r="BP90" s="1545" t="s">
        <v>5687</v>
      </c>
      <c r="BQ90" s="1095" t="s">
        <v>750</v>
      </c>
      <c r="BR90" s="1095"/>
      <c r="BS90" s="1095" t="s">
        <v>751</v>
      </c>
      <c r="BT90" s="1126" t="s">
        <v>752</v>
      </c>
      <c r="BU90" s="1262" t="s">
        <v>5688</v>
      </c>
      <c r="BV90" s="1232" t="e">
        <v>#N/A</v>
      </c>
      <c r="BW90" s="1188"/>
    </row>
    <row r="91" s="1193" customFormat="1" ht="14.1" customHeight="1" spans="2:75">
      <c r="B91" s="1562" t="s">
        <v>333</v>
      </c>
      <c r="C91" s="838" t="s">
        <v>5689</v>
      </c>
      <c r="D91" s="1199" t="s">
        <v>5690</v>
      </c>
      <c r="E91" s="1044" t="s">
        <v>5691</v>
      </c>
      <c r="F91" s="1044" t="s">
        <v>125</v>
      </c>
      <c r="G91" s="1044" t="s">
        <v>44</v>
      </c>
      <c r="H91" s="1044" t="s">
        <v>44</v>
      </c>
      <c r="I91" s="1051" t="s">
        <v>3528</v>
      </c>
      <c r="J91" s="1051" t="s">
        <v>4970</v>
      </c>
      <c r="K91" s="1051" t="s">
        <v>5692</v>
      </c>
      <c r="L91" s="1202">
        <v>42685</v>
      </c>
      <c r="M91" s="1202">
        <v>42865</v>
      </c>
      <c r="N91" s="1202">
        <v>42916</v>
      </c>
      <c r="O91" s="1202">
        <v>43100</v>
      </c>
      <c r="P91" s="1202"/>
      <c r="Q91" s="1202"/>
      <c r="R91" s="1052"/>
      <c r="S91" s="1202"/>
      <c r="T91" s="1202"/>
      <c r="U91" s="1202"/>
      <c r="V91" s="1202"/>
      <c r="W91" s="1202"/>
      <c r="X91" s="1202"/>
      <c r="Y91" s="1202"/>
      <c r="Z91" s="1202"/>
      <c r="AA91" s="1202"/>
      <c r="AB91" s="1202"/>
      <c r="AC91" s="1202"/>
      <c r="AD91" s="1202"/>
      <c r="AE91" s="1202"/>
      <c r="AF91" s="1202"/>
      <c r="AG91" s="1202"/>
      <c r="AH91" s="1202"/>
      <c r="AI91" s="1202"/>
      <c r="AJ91" s="1202"/>
      <c r="AK91" s="1202"/>
      <c r="AL91" s="1202"/>
      <c r="AM91" s="1202"/>
      <c r="AN91" s="1202"/>
      <c r="AO91" s="1202"/>
      <c r="AP91" s="1202"/>
      <c r="AQ91" s="1202"/>
      <c r="AR91" s="1202"/>
      <c r="AS91" s="1202"/>
      <c r="AT91" s="1202"/>
      <c r="AU91" s="1202"/>
      <c r="AV91" s="1202"/>
      <c r="AW91" s="325">
        <v>99.501352893516</v>
      </c>
      <c r="AX91" s="1247" t="s">
        <v>745</v>
      </c>
      <c r="AY91" s="1080">
        <v>3900000</v>
      </c>
      <c r="AZ91" s="1080">
        <v>250000</v>
      </c>
      <c r="BA91" s="1081"/>
      <c r="BB91" s="1088"/>
      <c r="BC91" s="1081"/>
      <c r="BD91" s="1080"/>
      <c r="BE91" s="1080"/>
      <c r="BF91" s="1081">
        <v>500000</v>
      </c>
      <c r="BG91" s="1081"/>
      <c r="BH91" s="1081">
        <v>100000</v>
      </c>
      <c r="BI91" s="1051" t="s">
        <v>112</v>
      </c>
      <c r="BJ91" s="1081" t="s">
        <v>48</v>
      </c>
      <c r="BK91" s="1081" t="s">
        <v>48</v>
      </c>
      <c r="BL91" s="1051" t="s">
        <v>5693</v>
      </c>
      <c r="BM91" s="1104" t="s">
        <v>5694</v>
      </c>
      <c r="BN91" s="1095"/>
      <c r="BO91" s="1095" t="s">
        <v>5695</v>
      </c>
      <c r="BP91" s="1545" t="s">
        <v>5696</v>
      </c>
      <c r="BQ91" s="1095" t="s">
        <v>5697</v>
      </c>
      <c r="BR91" s="1095"/>
      <c r="BS91" s="1095"/>
      <c r="BT91" s="1126" t="s">
        <v>5698</v>
      </c>
      <c r="BU91" s="1262" t="s">
        <v>5699</v>
      </c>
      <c r="BV91" s="1232" t="e">
        <v>#N/A</v>
      </c>
      <c r="BW91" s="1188"/>
    </row>
    <row r="92" s="1193" customFormat="1" ht="14.1" customHeight="1" spans="2:75">
      <c r="B92" s="1563" t="s">
        <v>424</v>
      </c>
      <c r="C92" s="838" t="s">
        <v>5700</v>
      </c>
      <c r="D92" s="1199" t="s">
        <v>5701</v>
      </c>
      <c r="E92" s="1044" t="s">
        <v>5702</v>
      </c>
      <c r="F92" s="1044" t="s">
        <v>43</v>
      </c>
      <c r="G92" s="1044" t="s">
        <v>404</v>
      </c>
      <c r="H92" s="1044" t="s">
        <v>404</v>
      </c>
      <c r="I92" s="1051" t="s">
        <v>5703</v>
      </c>
      <c r="J92" s="1051" t="s">
        <v>4970</v>
      </c>
      <c r="K92" s="1051" t="s">
        <v>993</v>
      </c>
      <c r="L92" s="1202">
        <v>42759</v>
      </c>
      <c r="M92" s="1202">
        <v>42805</v>
      </c>
      <c r="N92" s="1202">
        <v>42855</v>
      </c>
      <c r="O92" s="1202">
        <v>42916</v>
      </c>
      <c r="P92" s="1202">
        <v>42947</v>
      </c>
      <c r="Q92" s="1202">
        <v>42978</v>
      </c>
      <c r="R92" s="1202"/>
      <c r="S92" s="1202"/>
      <c r="T92" s="1202"/>
      <c r="U92" s="1202"/>
      <c r="V92" s="1202"/>
      <c r="W92" s="1202"/>
      <c r="X92" s="1202"/>
      <c r="Y92" s="1202"/>
      <c r="Z92" s="1202"/>
      <c r="AA92" s="1202"/>
      <c r="AB92" s="1202"/>
      <c r="AC92" s="1202"/>
      <c r="AD92" s="1202"/>
      <c r="AE92" s="1202"/>
      <c r="AF92" s="1202"/>
      <c r="AG92" s="1202"/>
      <c r="AH92" s="1202"/>
      <c r="AI92" s="1202"/>
      <c r="AJ92" s="1202"/>
      <c r="AK92" s="1202"/>
      <c r="AL92" s="1202"/>
      <c r="AM92" s="1202"/>
      <c r="AN92" s="1202"/>
      <c r="AO92" s="1202"/>
      <c r="AP92" s="1202"/>
      <c r="AQ92" s="1202"/>
      <c r="AR92" s="1202"/>
      <c r="AS92" s="1202"/>
      <c r="AT92" s="1202"/>
      <c r="AU92" s="1202"/>
      <c r="AV92" s="1202"/>
      <c r="AW92" s="325">
        <v>-22.498647106484</v>
      </c>
      <c r="AX92" s="1247" t="s">
        <v>2569</v>
      </c>
      <c r="AY92" s="1080">
        <v>7000000</v>
      </c>
      <c r="AZ92" s="1080">
        <v>500000</v>
      </c>
      <c r="BA92" s="1081"/>
      <c r="BB92" s="1088"/>
      <c r="BC92" s="1081">
        <v>2500000</v>
      </c>
      <c r="BD92" s="1080"/>
      <c r="BE92" s="1080"/>
      <c r="BF92" s="1081"/>
      <c r="BG92" s="1081">
        <v>500000</v>
      </c>
      <c r="BH92" s="1081">
        <v>250000</v>
      </c>
      <c r="BI92" s="1051" t="s">
        <v>0</v>
      </c>
      <c r="BJ92" s="1081" t="s">
        <v>48</v>
      </c>
      <c r="BK92" s="1081" t="s">
        <v>48</v>
      </c>
      <c r="BL92" s="1051" t="s">
        <v>5704</v>
      </c>
      <c r="BM92" s="1104" t="s">
        <v>5705</v>
      </c>
      <c r="BN92" s="1095" t="s">
        <v>5706</v>
      </c>
      <c r="BO92" s="1095" t="s">
        <v>5707</v>
      </c>
      <c r="BP92" s="1545" t="s">
        <v>5708</v>
      </c>
      <c r="BQ92" s="1095" t="s">
        <v>5709</v>
      </c>
      <c r="BR92" s="1095">
        <v>13039888147</v>
      </c>
      <c r="BS92" s="1095" t="s">
        <v>5710</v>
      </c>
      <c r="BT92" s="1126" t="s">
        <v>5711</v>
      </c>
      <c r="BU92" s="1262" t="s">
        <v>2828</v>
      </c>
      <c r="BV92" s="1232" t="e">
        <v>#N/A</v>
      </c>
      <c r="BW92" s="1188"/>
    </row>
    <row r="93" s="1193" customFormat="1" ht="14.1" customHeight="1" spans="2:75">
      <c r="B93" s="1563" t="s">
        <v>450</v>
      </c>
      <c r="C93" s="838" t="s">
        <v>5712</v>
      </c>
      <c r="D93" s="1199" t="s">
        <v>5581</v>
      </c>
      <c r="E93" s="1044" t="s">
        <v>5582</v>
      </c>
      <c r="F93" s="1044" t="s">
        <v>43</v>
      </c>
      <c r="G93" s="1044" t="s">
        <v>96</v>
      </c>
      <c r="H93" s="1044" t="s">
        <v>96</v>
      </c>
      <c r="I93" s="1051" t="s">
        <v>3904</v>
      </c>
      <c r="J93" s="1051" t="s">
        <v>4970</v>
      </c>
      <c r="K93" s="1051" t="s">
        <v>993</v>
      </c>
      <c r="L93" s="1202">
        <v>42772</v>
      </c>
      <c r="M93" s="1202">
        <v>42855</v>
      </c>
      <c r="N93" s="1202">
        <v>42916</v>
      </c>
      <c r="O93" s="1202">
        <v>42947</v>
      </c>
      <c r="P93" s="1202">
        <v>42978</v>
      </c>
      <c r="Q93" s="1202"/>
      <c r="R93" s="1202"/>
      <c r="S93" s="1202"/>
      <c r="T93" s="1202"/>
      <c r="U93" s="1202"/>
      <c r="V93" s="1202"/>
      <c r="W93" s="1202"/>
      <c r="X93" s="1202"/>
      <c r="Y93" s="1202"/>
      <c r="Z93" s="1202"/>
      <c r="AA93" s="1202"/>
      <c r="AB93" s="1202"/>
      <c r="AC93" s="1202"/>
      <c r="AD93" s="1202"/>
      <c r="AE93" s="1202"/>
      <c r="AF93" s="1202"/>
      <c r="AG93" s="1202"/>
      <c r="AH93" s="1202"/>
      <c r="AI93" s="1202"/>
      <c r="AJ93" s="1202"/>
      <c r="AK93" s="1202"/>
      <c r="AL93" s="1202"/>
      <c r="AM93" s="1202"/>
      <c r="AN93" s="1202"/>
      <c r="AO93" s="1202"/>
      <c r="AP93" s="1202"/>
      <c r="AQ93" s="1202"/>
      <c r="AR93" s="1202"/>
      <c r="AS93" s="1202"/>
      <c r="AT93" s="1202"/>
      <c r="AU93" s="1202"/>
      <c r="AV93" s="1202"/>
      <c r="AW93" s="325">
        <v>-22.498647106484</v>
      </c>
      <c r="AX93" s="1247" t="s">
        <v>2569</v>
      </c>
      <c r="AY93" s="1080">
        <v>8000000</v>
      </c>
      <c r="AZ93" s="1080">
        <v>1000000</v>
      </c>
      <c r="BA93" s="1081" t="s">
        <v>583</v>
      </c>
      <c r="BB93" s="1088"/>
      <c r="BC93" s="1081">
        <v>1500000</v>
      </c>
      <c r="BD93" s="1080"/>
      <c r="BE93" s="1080"/>
      <c r="BF93" s="1081" t="s">
        <v>583</v>
      </c>
      <c r="BG93" s="1081">
        <v>500000</v>
      </c>
      <c r="BH93" s="1081">
        <v>250000</v>
      </c>
      <c r="BI93" s="1051" t="s">
        <v>0</v>
      </c>
      <c r="BJ93" s="1081" t="s">
        <v>48</v>
      </c>
      <c r="BK93" s="1081" t="s">
        <v>48</v>
      </c>
      <c r="BL93" s="1051"/>
      <c r="BM93" s="1104" t="s">
        <v>5583</v>
      </c>
      <c r="BN93" s="1095" t="s">
        <v>5713</v>
      </c>
      <c r="BO93" s="1095" t="s">
        <v>5714</v>
      </c>
      <c r="BP93" s="1545" t="s">
        <v>5586</v>
      </c>
      <c r="BQ93" s="1095" t="s">
        <v>5715</v>
      </c>
      <c r="BR93" s="1095"/>
      <c r="BS93" s="1095"/>
      <c r="BT93" s="1126" t="s">
        <v>5716</v>
      </c>
      <c r="BU93" s="1262" t="s">
        <v>2828</v>
      </c>
      <c r="BV93" s="1232" t="e">
        <v>#N/A</v>
      </c>
      <c r="BW93" s="1188"/>
    </row>
    <row r="94" s="1193" customFormat="1" ht="14.1" customHeight="1" spans="2:75">
      <c r="B94" s="1563" t="s">
        <v>588</v>
      </c>
      <c r="C94" s="838" t="s">
        <v>5717</v>
      </c>
      <c r="D94" s="1199" t="s">
        <v>5718</v>
      </c>
      <c r="E94" s="1044" t="s">
        <v>5719</v>
      </c>
      <c r="F94" s="1044" t="s">
        <v>43</v>
      </c>
      <c r="G94" s="1044" t="s">
        <v>254</v>
      </c>
      <c r="H94" s="1044" t="s">
        <v>254</v>
      </c>
      <c r="I94" s="1051" t="s">
        <v>3528</v>
      </c>
      <c r="J94" s="1051" t="s">
        <v>4970</v>
      </c>
      <c r="K94" s="1051" t="s">
        <v>5720</v>
      </c>
      <c r="L94" s="1202">
        <v>42779</v>
      </c>
      <c r="M94" s="1202">
        <v>42837</v>
      </c>
      <c r="N94" s="1202">
        <v>42867</v>
      </c>
      <c r="O94" s="1202">
        <v>42898</v>
      </c>
      <c r="P94" s="1202">
        <v>42916</v>
      </c>
      <c r="Q94" s="1202">
        <v>42978</v>
      </c>
      <c r="R94" s="1211">
        <v>43008</v>
      </c>
      <c r="S94" s="1202"/>
      <c r="T94" s="1202"/>
      <c r="U94" s="1202"/>
      <c r="V94" s="1202"/>
      <c r="W94" s="1202"/>
      <c r="X94" s="1202"/>
      <c r="Y94" s="1202"/>
      <c r="Z94" s="1202"/>
      <c r="AA94" s="1202"/>
      <c r="AB94" s="1202"/>
      <c r="AC94" s="1202"/>
      <c r="AD94" s="1202"/>
      <c r="AE94" s="1202"/>
      <c r="AF94" s="1202"/>
      <c r="AG94" s="1202"/>
      <c r="AH94" s="1202"/>
      <c r="AI94" s="1202"/>
      <c r="AJ94" s="1202"/>
      <c r="AK94" s="1202"/>
      <c r="AL94" s="1202"/>
      <c r="AM94" s="1202"/>
      <c r="AN94" s="1202"/>
      <c r="AO94" s="1202"/>
      <c r="AP94" s="1202"/>
      <c r="AQ94" s="1202"/>
      <c r="AR94" s="1202"/>
      <c r="AS94" s="1202"/>
      <c r="AT94" s="1202"/>
      <c r="AU94" s="1202"/>
      <c r="AV94" s="1202"/>
      <c r="AW94" s="325">
        <v>7.50135289351601</v>
      </c>
      <c r="AX94" s="1247" t="s">
        <v>2569</v>
      </c>
      <c r="AY94" s="1080">
        <v>11000000</v>
      </c>
      <c r="AZ94" s="1080">
        <v>1000000</v>
      </c>
      <c r="BA94" s="1081" t="s">
        <v>583</v>
      </c>
      <c r="BB94" s="1088"/>
      <c r="BC94" s="1081" t="s">
        <v>583</v>
      </c>
      <c r="BD94" s="1080"/>
      <c r="BE94" s="1080"/>
      <c r="BF94" s="1081" t="s">
        <v>583</v>
      </c>
      <c r="BG94" s="1081">
        <v>500000</v>
      </c>
      <c r="BH94" s="1081">
        <v>250000</v>
      </c>
      <c r="BI94" s="1051" t="s">
        <v>0</v>
      </c>
      <c r="BJ94" s="1081" t="s">
        <v>48</v>
      </c>
      <c r="BK94" s="1081" t="s">
        <v>48</v>
      </c>
      <c r="BL94" s="1051" t="s">
        <v>5721</v>
      </c>
      <c r="BM94" s="1104" t="s">
        <v>5722</v>
      </c>
      <c r="BN94" s="1095" t="s">
        <v>5723</v>
      </c>
      <c r="BO94" s="1095" t="s">
        <v>5724</v>
      </c>
      <c r="BP94" s="1545" t="s">
        <v>5725</v>
      </c>
      <c r="BQ94" s="1095" t="s">
        <v>5726</v>
      </c>
      <c r="BR94" s="1095"/>
      <c r="BS94" s="1095" t="s">
        <v>5727</v>
      </c>
      <c r="BT94" s="1126" t="s">
        <v>5728</v>
      </c>
      <c r="BU94" s="1262" t="s">
        <v>2828</v>
      </c>
      <c r="BV94" s="1232" t="e">
        <v>#N/A</v>
      </c>
      <c r="BW94" s="1188"/>
    </row>
    <row r="95" s="1193" customFormat="1" ht="14.1" customHeight="1" spans="2:75">
      <c r="B95" s="1563" t="s">
        <v>642</v>
      </c>
      <c r="C95" s="838" t="s">
        <v>5729</v>
      </c>
      <c r="D95" s="1199" t="s">
        <v>5730</v>
      </c>
      <c r="E95" s="1044" t="s">
        <v>5731</v>
      </c>
      <c r="F95" s="1044" t="s">
        <v>43</v>
      </c>
      <c r="G95" s="1044" t="s">
        <v>254</v>
      </c>
      <c r="H95" s="1044" t="s">
        <v>254</v>
      </c>
      <c r="I95" s="1051" t="s">
        <v>5732</v>
      </c>
      <c r="J95" s="1051" t="s">
        <v>4970</v>
      </c>
      <c r="K95" s="1051" t="s">
        <v>5130</v>
      </c>
      <c r="L95" s="1202">
        <v>42779</v>
      </c>
      <c r="M95" s="1202">
        <v>42855</v>
      </c>
      <c r="N95" s="1202">
        <v>42916</v>
      </c>
      <c r="O95" s="1202">
        <v>42947</v>
      </c>
      <c r="P95" s="1202">
        <v>42978</v>
      </c>
      <c r="Q95" s="1202"/>
      <c r="R95" s="1202"/>
      <c r="S95" s="1202"/>
      <c r="T95" s="1202"/>
      <c r="U95" s="1202"/>
      <c r="V95" s="1202"/>
      <c r="W95" s="1202"/>
      <c r="X95" s="1202"/>
      <c r="Y95" s="1202"/>
      <c r="Z95" s="1202"/>
      <c r="AA95" s="1202"/>
      <c r="AB95" s="1202"/>
      <c r="AC95" s="1202"/>
      <c r="AD95" s="1202"/>
      <c r="AE95" s="1202"/>
      <c r="AF95" s="1202"/>
      <c r="AG95" s="1202"/>
      <c r="AH95" s="1202"/>
      <c r="AI95" s="1202"/>
      <c r="AJ95" s="1202"/>
      <c r="AK95" s="1202"/>
      <c r="AL95" s="1202"/>
      <c r="AM95" s="1202"/>
      <c r="AN95" s="1202"/>
      <c r="AO95" s="1202"/>
      <c r="AP95" s="1202"/>
      <c r="AQ95" s="1202"/>
      <c r="AR95" s="1202"/>
      <c r="AS95" s="1202"/>
      <c r="AT95" s="1202"/>
      <c r="AU95" s="1202"/>
      <c r="AV95" s="1202"/>
      <c r="AW95" s="325">
        <v>-22.498647106484</v>
      </c>
      <c r="AX95" s="1247" t="s">
        <v>2569</v>
      </c>
      <c r="AY95" s="1080">
        <v>8000000</v>
      </c>
      <c r="AZ95" s="1080">
        <v>1000000</v>
      </c>
      <c r="BA95" s="1081" t="s">
        <v>583</v>
      </c>
      <c r="BB95" s="1088"/>
      <c r="BC95" s="1081">
        <v>2500000</v>
      </c>
      <c r="BD95" s="1080"/>
      <c r="BE95" s="1080"/>
      <c r="BF95" s="1081" t="s">
        <v>583</v>
      </c>
      <c r="BG95" s="1081">
        <v>500000</v>
      </c>
      <c r="BH95" s="1081">
        <v>250000</v>
      </c>
      <c r="BI95" s="1051" t="s">
        <v>0</v>
      </c>
      <c r="BJ95" s="1081" t="s">
        <v>48</v>
      </c>
      <c r="BK95" s="1081" t="s">
        <v>48</v>
      </c>
      <c r="BL95" s="1051"/>
      <c r="BM95" s="1104" t="s">
        <v>5733</v>
      </c>
      <c r="BN95" s="1095" t="s">
        <v>5734</v>
      </c>
      <c r="BO95" s="1095" t="s">
        <v>5735</v>
      </c>
      <c r="BP95" s="1545" t="s">
        <v>5736</v>
      </c>
      <c r="BQ95" s="1095" t="s">
        <v>5737</v>
      </c>
      <c r="BR95" s="1095"/>
      <c r="BS95" s="1095"/>
      <c r="BT95" s="1126" t="s">
        <v>5738</v>
      </c>
      <c r="BU95" s="1262" t="s">
        <v>2828</v>
      </c>
      <c r="BV95" s="1232" t="e">
        <v>#N/A</v>
      </c>
      <c r="BW95" s="1188"/>
    </row>
    <row r="96" s="1193" customFormat="1" ht="14.1" customHeight="1" spans="2:75">
      <c r="B96" s="1563" t="s">
        <v>671</v>
      </c>
      <c r="C96" s="838" t="s">
        <v>5739</v>
      </c>
      <c r="D96" s="1199" t="s">
        <v>5740</v>
      </c>
      <c r="E96" s="1044" t="s">
        <v>5741</v>
      </c>
      <c r="F96" s="1044" t="s">
        <v>43</v>
      </c>
      <c r="G96" s="1044" t="s">
        <v>60</v>
      </c>
      <c r="H96" s="1044" t="s">
        <v>60</v>
      </c>
      <c r="I96" s="1051" t="s">
        <v>1793</v>
      </c>
      <c r="J96" s="1051" t="s">
        <v>4970</v>
      </c>
      <c r="K96" s="1051" t="s">
        <v>5130</v>
      </c>
      <c r="L96" s="1202">
        <v>42779</v>
      </c>
      <c r="M96" s="1202">
        <v>42855</v>
      </c>
      <c r="N96" s="1202">
        <v>42916</v>
      </c>
      <c r="O96" s="1202">
        <v>42947</v>
      </c>
      <c r="P96" s="1202">
        <v>42978</v>
      </c>
      <c r="Q96" s="1202"/>
      <c r="R96" s="1202"/>
      <c r="S96" s="1202"/>
      <c r="T96" s="1202"/>
      <c r="U96" s="1202"/>
      <c r="V96" s="1202"/>
      <c r="W96" s="1202"/>
      <c r="X96" s="1202"/>
      <c r="Y96" s="1202"/>
      <c r="Z96" s="1202"/>
      <c r="AA96" s="1202"/>
      <c r="AB96" s="1202"/>
      <c r="AC96" s="1202"/>
      <c r="AD96" s="1202"/>
      <c r="AE96" s="1202"/>
      <c r="AF96" s="1202"/>
      <c r="AG96" s="1202"/>
      <c r="AH96" s="1202"/>
      <c r="AI96" s="1202"/>
      <c r="AJ96" s="1202"/>
      <c r="AK96" s="1202"/>
      <c r="AL96" s="1202"/>
      <c r="AM96" s="1202"/>
      <c r="AN96" s="1202"/>
      <c r="AO96" s="1202"/>
      <c r="AP96" s="1202"/>
      <c r="AQ96" s="1202"/>
      <c r="AR96" s="1202"/>
      <c r="AS96" s="1202"/>
      <c r="AT96" s="1202"/>
      <c r="AU96" s="1202"/>
      <c r="AV96" s="1202"/>
      <c r="AW96" s="325">
        <v>-22.498647106484</v>
      </c>
      <c r="AX96" s="1247" t="s">
        <v>2569</v>
      </c>
      <c r="AY96" s="1080">
        <v>8000000</v>
      </c>
      <c r="AZ96" s="1080">
        <v>1000000</v>
      </c>
      <c r="BA96" s="1081" t="s">
        <v>583</v>
      </c>
      <c r="BB96" s="1088"/>
      <c r="BC96" s="1081">
        <v>1500000</v>
      </c>
      <c r="BD96" s="1080"/>
      <c r="BE96" s="1080"/>
      <c r="BF96" s="1081" t="s">
        <v>583</v>
      </c>
      <c r="BG96" s="1081">
        <v>500000</v>
      </c>
      <c r="BH96" s="1081">
        <v>250000</v>
      </c>
      <c r="BI96" s="1051" t="s">
        <v>0</v>
      </c>
      <c r="BJ96" s="1081" t="s">
        <v>48</v>
      </c>
      <c r="BK96" s="1081" t="s">
        <v>48</v>
      </c>
      <c r="BL96" s="1051"/>
      <c r="BM96" s="1104" t="s">
        <v>5742</v>
      </c>
      <c r="BN96" s="1095" t="s">
        <v>5743</v>
      </c>
      <c r="BO96" s="1095" t="s">
        <v>5744</v>
      </c>
      <c r="BP96" s="1545" t="s">
        <v>5745</v>
      </c>
      <c r="BQ96" s="1095" t="s">
        <v>5746</v>
      </c>
      <c r="BR96" s="1095" t="s">
        <v>5747</v>
      </c>
      <c r="BS96" s="1095"/>
      <c r="BT96" s="1126" t="s">
        <v>5748</v>
      </c>
      <c r="BU96" s="1262" t="s">
        <v>2828</v>
      </c>
      <c r="BV96" s="1232" t="e">
        <v>#N/A</v>
      </c>
      <c r="BW96" s="1188"/>
    </row>
    <row r="97" s="1193" customFormat="1" ht="14.1" customHeight="1" spans="2:75">
      <c r="B97" s="1563" t="s">
        <v>709</v>
      </c>
      <c r="C97" s="838" t="s">
        <v>5749</v>
      </c>
      <c r="D97" s="1199" t="s">
        <v>5750</v>
      </c>
      <c r="E97" s="1044" t="s">
        <v>5751</v>
      </c>
      <c r="F97" s="1044" t="s">
        <v>43</v>
      </c>
      <c r="G97" s="1044" t="s">
        <v>254</v>
      </c>
      <c r="H97" s="1044" t="s">
        <v>254</v>
      </c>
      <c r="I97" s="1051" t="s">
        <v>1300</v>
      </c>
      <c r="J97" s="1051" t="s">
        <v>4970</v>
      </c>
      <c r="K97" s="1051" t="s">
        <v>5130</v>
      </c>
      <c r="L97" s="1202">
        <v>42779</v>
      </c>
      <c r="M97" s="1202">
        <v>42855</v>
      </c>
      <c r="N97" s="1202">
        <v>42916</v>
      </c>
      <c r="O97" s="1202">
        <v>42947</v>
      </c>
      <c r="P97" s="1202">
        <v>42978</v>
      </c>
      <c r="Q97" s="1202"/>
      <c r="R97" s="1052"/>
      <c r="S97" s="1202"/>
      <c r="T97" s="1202"/>
      <c r="U97" s="1202"/>
      <c r="V97" s="1202"/>
      <c r="W97" s="1202"/>
      <c r="X97" s="1202"/>
      <c r="Y97" s="1202"/>
      <c r="Z97" s="1202"/>
      <c r="AA97" s="1202"/>
      <c r="AB97" s="1202"/>
      <c r="AC97" s="1202"/>
      <c r="AD97" s="1202"/>
      <c r="AE97" s="1202"/>
      <c r="AF97" s="1202"/>
      <c r="AG97" s="1202"/>
      <c r="AH97" s="1202"/>
      <c r="AI97" s="1202"/>
      <c r="AJ97" s="1202"/>
      <c r="AK97" s="1202"/>
      <c r="AL97" s="1202"/>
      <c r="AM97" s="1202"/>
      <c r="AN97" s="1202"/>
      <c r="AO97" s="1202"/>
      <c r="AP97" s="1202"/>
      <c r="AQ97" s="1202"/>
      <c r="AR97" s="1202"/>
      <c r="AS97" s="1202"/>
      <c r="AT97" s="1202"/>
      <c r="AU97" s="1202"/>
      <c r="AV97" s="1202"/>
      <c r="AW97" s="325">
        <v>-22.498647106484</v>
      </c>
      <c r="AX97" s="1247" t="s">
        <v>2569</v>
      </c>
      <c r="AY97" s="1080">
        <v>8000000</v>
      </c>
      <c r="AZ97" s="1080">
        <v>500000</v>
      </c>
      <c r="BA97" s="1081" t="s">
        <v>583</v>
      </c>
      <c r="BB97" s="1088"/>
      <c r="BC97" s="1081">
        <v>1500000</v>
      </c>
      <c r="BD97" s="1080"/>
      <c r="BE97" s="1080"/>
      <c r="BF97" s="1081" t="s">
        <v>583</v>
      </c>
      <c r="BG97" s="1081">
        <v>500000</v>
      </c>
      <c r="BH97" s="1081">
        <v>200000</v>
      </c>
      <c r="BI97" s="1051" t="s">
        <v>0</v>
      </c>
      <c r="BJ97" s="1081" t="s">
        <v>48</v>
      </c>
      <c r="BK97" s="1081" t="s">
        <v>48</v>
      </c>
      <c r="BL97" s="1051"/>
      <c r="BM97" s="1104" t="s">
        <v>5752</v>
      </c>
      <c r="BN97" s="1095" t="s">
        <v>5753</v>
      </c>
      <c r="BO97" s="1095" t="s">
        <v>5754</v>
      </c>
      <c r="BP97" s="1545" t="s">
        <v>5755</v>
      </c>
      <c r="BQ97" s="1095" t="s">
        <v>5756</v>
      </c>
      <c r="BR97" s="1095"/>
      <c r="BS97" s="1095" t="s">
        <v>5757</v>
      </c>
      <c r="BT97" s="1126" t="s">
        <v>5758</v>
      </c>
      <c r="BU97" s="1262" t="s">
        <v>2828</v>
      </c>
      <c r="BV97" s="1232" t="e">
        <v>#N/A</v>
      </c>
      <c r="BW97" s="1188"/>
    </row>
    <row r="98" s="1193" customFormat="1" ht="14.1" customHeight="1" spans="2:75">
      <c r="B98" s="1563" t="s">
        <v>766</v>
      </c>
      <c r="C98" s="838" t="s">
        <v>5759</v>
      </c>
      <c r="D98" s="1199" t="s">
        <v>5760</v>
      </c>
      <c r="E98" s="1044" t="s">
        <v>5761</v>
      </c>
      <c r="F98" s="1044" t="s">
        <v>43</v>
      </c>
      <c r="G98" s="1044" t="s">
        <v>254</v>
      </c>
      <c r="H98" s="1044" t="s">
        <v>254</v>
      </c>
      <c r="I98" s="1051" t="s">
        <v>5762</v>
      </c>
      <c r="J98" s="1051" t="s">
        <v>4970</v>
      </c>
      <c r="K98" s="1051" t="s">
        <v>5130</v>
      </c>
      <c r="L98" s="1202">
        <v>42783</v>
      </c>
      <c r="M98" s="1202">
        <v>42825</v>
      </c>
      <c r="N98" s="1202">
        <v>42841</v>
      </c>
      <c r="O98" s="1202">
        <v>42871</v>
      </c>
      <c r="P98" s="1202">
        <v>42916</v>
      </c>
      <c r="Q98" s="1202">
        <v>42947</v>
      </c>
      <c r="R98" s="1052">
        <v>42978</v>
      </c>
      <c r="S98" s="1202"/>
      <c r="T98" s="1202"/>
      <c r="U98" s="1202"/>
      <c r="V98" s="1202"/>
      <c r="W98" s="1202"/>
      <c r="X98" s="1202"/>
      <c r="Y98" s="1202"/>
      <c r="Z98" s="1202"/>
      <c r="AA98" s="1202"/>
      <c r="AB98" s="1202"/>
      <c r="AC98" s="1202"/>
      <c r="AD98" s="1202"/>
      <c r="AE98" s="1202"/>
      <c r="AF98" s="1202"/>
      <c r="AG98" s="1202"/>
      <c r="AH98" s="1202"/>
      <c r="AI98" s="1202"/>
      <c r="AJ98" s="1202"/>
      <c r="AK98" s="1202"/>
      <c r="AL98" s="1202"/>
      <c r="AM98" s="1202"/>
      <c r="AN98" s="1202"/>
      <c r="AO98" s="1202"/>
      <c r="AP98" s="1202"/>
      <c r="AQ98" s="1202"/>
      <c r="AR98" s="1202"/>
      <c r="AS98" s="1202"/>
      <c r="AT98" s="1202"/>
      <c r="AU98" s="1202"/>
      <c r="AV98" s="1202"/>
      <c r="AW98" s="325">
        <v>-22.498647106484</v>
      </c>
      <c r="AX98" s="1247" t="s">
        <v>2569</v>
      </c>
      <c r="AY98" s="1080">
        <v>7000000</v>
      </c>
      <c r="AZ98" s="1080">
        <v>1000000</v>
      </c>
      <c r="BA98" s="1081" t="s">
        <v>583</v>
      </c>
      <c r="BB98" s="1088"/>
      <c r="BC98" s="1081">
        <v>1500000</v>
      </c>
      <c r="BD98" s="1080"/>
      <c r="BE98" s="1080"/>
      <c r="BF98" s="1081" t="s">
        <v>583</v>
      </c>
      <c r="BG98" s="1081">
        <v>500000</v>
      </c>
      <c r="BH98" s="1081">
        <v>250000</v>
      </c>
      <c r="BI98" s="1051" t="s">
        <v>0</v>
      </c>
      <c r="BJ98" s="1081" t="s">
        <v>48</v>
      </c>
      <c r="BK98" s="1081" t="s">
        <v>48</v>
      </c>
      <c r="BL98" s="1051"/>
      <c r="BM98" s="1104" t="s">
        <v>5763</v>
      </c>
      <c r="BN98" s="1095" t="s">
        <v>5764</v>
      </c>
      <c r="BO98" s="1095" t="s">
        <v>5765</v>
      </c>
      <c r="BP98" s="1545" t="s">
        <v>5766</v>
      </c>
      <c r="BQ98" s="1095" t="s">
        <v>5767</v>
      </c>
      <c r="BR98" s="1095" t="s">
        <v>5768</v>
      </c>
      <c r="BS98" s="1095"/>
      <c r="BT98" s="1126" t="s">
        <v>5769</v>
      </c>
      <c r="BU98" s="1262" t="s">
        <v>2828</v>
      </c>
      <c r="BV98" s="1232" t="e">
        <v>#N/A</v>
      </c>
      <c r="BW98" s="1188"/>
    </row>
    <row r="99" s="1193" customFormat="1" ht="14.1" customHeight="1" spans="2:75">
      <c r="B99" s="1563" t="s">
        <v>798</v>
      </c>
      <c r="C99" s="838" t="s">
        <v>5770</v>
      </c>
      <c r="D99" s="1199" t="s">
        <v>5771</v>
      </c>
      <c r="E99" s="1044" t="s">
        <v>5772</v>
      </c>
      <c r="F99" s="1044" t="s">
        <v>43</v>
      </c>
      <c r="G99" s="1044" t="s">
        <v>254</v>
      </c>
      <c r="H99" s="1044" t="s">
        <v>254</v>
      </c>
      <c r="I99" s="1051" t="s">
        <v>5773</v>
      </c>
      <c r="J99" s="1051" t="s">
        <v>5774</v>
      </c>
      <c r="K99" s="1051" t="s">
        <v>5775</v>
      </c>
      <c r="L99" s="1202">
        <v>42612</v>
      </c>
      <c r="M99" s="1202">
        <v>42673</v>
      </c>
      <c r="N99" s="1202">
        <v>42766</v>
      </c>
      <c r="O99" s="1202">
        <v>42855</v>
      </c>
      <c r="P99" s="1202">
        <v>42916</v>
      </c>
      <c r="Q99" s="1202">
        <v>42978</v>
      </c>
      <c r="R99" s="1211">
        <v>43008</v>
      </c>
      <c r="S99" s="1202"/>
      <c r="T99" s="1202"/>
      <c r="U99" s="1202"/>
      <c r="V99" s="1202"/>
      <c r="W99" s="1202"/>
      <c r="X99" s="1202"/>
      <c r="Y99" s="1202"/>
      <c r="Z99" s="1202"/>
      <c r="AA99" s="1202"/>
      <c r="AB99" s="1202"/>
      <c r="AC99" s="1202"/>
      <c r="AD99" s="1202"/>
      <c r="AE99" s="1202"/>
      <c r="AF99" s="1202"/>
      <c r="AG99" s="1202"/>
      <c r="AH99" s="1202"/>
      <c r="AI99" s="1202"/>
      <c r="AJ99" s="1202"/>
      <c r="AK99" s="1202"/>
      <c r="AL99" s="1202"/>
      <c r="AM99" s="1202"/>
      <c r="AN99" s="1202"/>
      <c r="AO99" s="1202"/>
      <c r="AP99" s="1202"/>
      <c r="AQ99" s="1202"/>
      <c r="AR99" s="1202"/>
      <c r="AS99" s="1202"/>
      <c r="AT99" s="1202"/>
      <c r="AU99" s="1202"/>
      <c r="AV99" s="1202"/>
      <c r="AW99" s="325">
        <v>7.50135289351601</v>
      </c>
      <c r="AX99" s="1247" t="s">
        <v>2569</v>
      </c>
      <c r="AY99" s="1080">
        <v>8000000</v>
      </c>
      <c r="AZ99" s="1080">
        <v>500000</v>
      </c>
      <c r="BA99" s="1081">
        <v>0</v>
      </c>
      <c r="BB99" s="1088">
        <v>2000000</v>
      </c>
      <c r="BC99" s="1081">
        <v>3500000</v>
      </c>
      <c r="BD99" s="1080"/>
      <c r="BE99" s="1080"/>
      <c r="BF99" s="1081"/>
      <c r="BG99" s="1081">
        <v>500000</v>
      </c>
      <c r="BH99" s="1081">
        <v>200000</v>
      </c>
      <c r="BI99" s="1051" t="s">
        <v>112</v>
      </c>
      <c r="BJ99" s="1081" t="s">
        <v>113</v>
      </c>
      <c r="BK99" s="1081" t="s">
        <v>113</v>
      </c>
      <c r="BL99" s="1051" t="s">
        <v>5776</v>
      </c>
      <c r="BM99" s="1104" t="s">
        <v>5777</v>
      </c>
      <c r="BN99" s="1095" t="s">
        <v>5778</v>
      </c>
      <c r="BO99" s="1095" t="s">
        <v>5779</v>
      </c>
      <c r="BP99" s="1545" t="s">
        <v>5780</v>
      </c>
      <c r="BQ99" s="1095" t="s">
        <v>5781</v>
      </c>
      <c r="BR99" s="1095"/>
      <c r="BS99" s="1095" t="s">
        <v>4978</v>
      </c>
      <c r="BT99" s="1126" t="s">
        <v>5782</v>
      </c>
      <c r="BU99" s="1262" t="s">
        <v>5783</v>
      </c>
      <c r="BV99" s="1232" t="e">
        <v>#N/A</v>
      </c>
      <c r="BW99" s="1188"/>
    </row>
    <row r="100" s="1193" customFormat="1" ht="14.1" customHeight="1" spans="2:75">
      <c r="B100" s="1563" t="s">
        <v>888</v>
      </c>
      <c r="C100" s="838" t="s">
        <v>5784</v>
      </c>
      <c r="D100" s="1199" t="s">
        <v>5785</v>
      </c>
      <c r="E100" s="1044" t="s">
        <v>5786</v>
      </c>
      <c r="F100" s="1044" t="s">
        <v>43</v>
      </c>
      <c r="G100" s="1044" t="s">
        <v>254</v>
      </c>
      <c r="H100" s="1044" t="s">
        <v>254</v>
      </c>
      <c r="I100" s="1051" t="s">
        <v>3904</v>
      </c>
      <c r="J100" s="1051" t="s">
        <v>4970</v>
      </c>
      <c r="K100" s="1051" t="s">
        <v>5130</v>
      </c>
      <c r="L100" s="1202">
        <v>42789</v>
      </c>
      <c r="M100" s="1202">
        <v>42877</v>
      </c>
      <c r="N100" s="1202">
        <v>42908</v>
      </c>
      <c r="O100" s="1202">
        <v>42947</v>
      </c>
      <c r="P100" s="1202">
        <v>42978</v>
      </c>
      <c r="Q100" s="1202"/>
      <c r="R100" s="1202"/>
      <c r="S100" s="1202"/>
      <c r="T100" s="1202"/>
      <c r="U100" s="1202"/>
      <c r="V100" s="1202"/>
      <c r="W100" s="1202"/>
      <c r="X100" s="1202"/>
      <c r="Y100" s="1202"/>
      <c r="Z100" s="1202"/>
      <c r="AA100" s="1202"/>
      <c r="AB100" s="1202"/>
      <c r="AC100" s="1202"/>
      <c r="AD100" s="1202"/>
      <c r="AE100" s="1202"/>
      <c r="AF100" s="1202"/>
      <c r="AG100" s="1202"/>
      <c r="AH100" s="1202"/>
      <c r="AI100" s="1202"/>
      <c r="AJ100" s="1202"/>
      <c r="AK100" s="1202"/>
      <c r="AL100" s="1202"/>
      <c r="AM100" s="1202"/>
      <c r="AN100" s="1202"/>
      <c r="AO100" s="1202"/>
      <c r="AP100" s="1202"/>
      <c r="AQ100" s="1202"/>
      <c r="AR100" s="1202"/>
      <c r="AS100" s="1202"/>
      <c r="AT100" s="1202"/>
      <c r="AU100" s="1202"/>
      <c r="AV100" s="1202"/>
      <c r="AW100" s="325">
        <v>-22.498647106484</v>
      </c>
      <c r="AX100" s="1247" t="s">
        <v>2569</v>
      </c>
      <c r="AY100" s="1080">
        <v>7000000</v>
      </c>
      <c r="AZ100" s="1080">
        <v>1000000</v>
      </c>
      <c r="BA100" s="1081" t="s">
        <v>583</v>
      </c>
      <c r="BB100" s="1088"/>
      <c r="BC100" s="1081">
        <v>2500000</v>
      </c>
      <c r="BD100" s="1080"/>
      <c r="BE100" s="1080"/>
      <c r="BF100" s="1081" t="s">
        <v>583</v>
      </c>
      <c r="BG100" s="1081">
        <v>500000</v>
      </c>
      <c r="BH100" s="1081">
        <v>250000</v>
      </c>
      <c r="BI100" s="1051" t="s">
        <v>0</v>
      </c>
      <c r="BJ100" s="1081" t="s">
        <v>48</v>
      </c>
      <c r="BK100" s="1081" t="s">
        <v>48</v>
      </c>
      <c r="BL100" s="1051"/>
      <c r="BM100" s="1104" t="s">
        <v>5787</v>
      </c>
      <c r="BN100" s="1095" t="s">
        <v>5788</v>
      </c>
      <c r="BO100" s="1095" t="s">
        <v>5789</v>
      </c>
      <c r="BP100" s="1545" t="s">
        <v>5790</v>
      </c>
      <c r="BQ100" s="1095" t="s">
        <v>5791</v>
      </c>
      <c r="BR100" s="1095"/>
      <c r="BS100" s="1095"/>
      <c r="BT100" s="1126" t="s">
        <v>5792</v>
      </c>
      <c r="BU100" s="1262" t="s">
        <v>2828</v>
      </c>
      <c r="BV100" s="1232" t="e">
        <v>#N/A</v>
      </c>
      <c r="BW100" s="1188"/>
    </row>
    <row r="101" s="1193" customFormat="1" ht="14.1" customHeight="1" spans="2:75">
      <c r="B101" s="1563" t="s">
        <v>1132</v>
      </c>
      <c r="C101" s="838" t="s">
        <v>5793</v>
      </c>
      <c r="D101" s="1199" t="s">
        <v>5794</v>
      </c>
      <c r="E101" s="1044" t="s">
        <v>5795</v>
      </c>
      <c r="F101" s="1044" t="s">
        <v>43</v>
      </c>
      <c r="G101" s="1044" t="s">
        <v>96</v>
      </c>
      <c r="H101" s="1044" t="s">
        <v>96</v>
      </c>
      <c r="I101" s="1051" t="s">
        <v>3528</v>
      </c>
      <c r="J101" s="1051" t="s">
        <v>4970</v>
      </c>
      <c r="K101" s="1051" t="s">
        <v>5229</v>
      </c>
      <c r="L101" s="1202">
        <v>42808</v>
      </c>
      <c r="M101" s="1202">
        <v>42855</v>
      </c>
      <c r="N101" s="1202">
        <v>42886</v>
      </c>
      <c r="O101" s="1208">
        <v>42916</v>
      </c>
      <c r="P101" s="1202">
        <v>42978</v>
      </c>
      <c r="Q101" s="1205">
        <v>43008</v>
      </c>
      <c r="R101" s="1202"/>
      <c r="S101" s="1202"/>
      <c r="T101" s="1202"/>
      <c r="U101" s="1202"/>
      <c r="V101" s="1202"/>
      <c r="W101" s="1246"/>
      <c r="X101" s="1202"/>
      <c r="Y101" s="1202"/>
      <c r="Z101" s="1202"/>
      <c r="AA101" s="1202"/>
      <c r="AB101" s="1202"/>
      <c r="AC101" s="1202"/>
      <c r="AD101" s="1202"/>
      <c r="AE101" s="1202"/>
      <c r="AF101" s="1202"/>
      <c r="AG101" s="1202"/>
      <c r="AH101" s="1202"/>
      <c r="AI101" s="1202"/>
      <c r="AJ101" s="1202"/>
      <c r="AK101" s="1202"/>
      <c r="AL101" s="1202"/>
      <c r="AM101" s="1202"/>
      <c r="AN101" s="1202"/>
      <c r="AO101" s="1202"/>
      <c r="AP101" s="1202"/>
      <c r="AQ101" s="1202"/>
      <c r="AR101" s="1202"/>
      <c r="AS101" s="1202"/>
      <c r="AT101" s="1202"/>
      <c r="AU101" s="1202"/>
      <c r="AV101" s="1202"/>
      <c r="AW101" s="325">
        <v>7.50135289351601</v>
      </c>
      <c r="AX101" s="187" t="s">
        <v>2569</v>
      </c>
      <c r="AY101" s="1080">
        <v>11000000</v>
      </c>
      <c r="AZ101" s="1080">
        <v>1000000</v>
      </c>
      <c r="BA101" s="1081" t="s">
        <v>583</v>
      </c>
      <c r="BB101" s="1088"/>
      <c r="BC101" s="1081">
        <v>1500000</v>
      </c>
      <c r="BD101" s="1080"/>
      <c r="BE101" s="1080"/>
      <c r="BF101" s="1081" t="s">
        <v>583</v>
      </c>
      <c r="BG101" s="1081" t="s">
        <v>583</v>
      </c>
      <c r="BH101" s="1081">
        <v>250000</v>
      </c>
      <c r="BI101" s="1051" t="s">
        <v>0</v>
      </c>
      <c r="BJ101" s="1081" t="s">
        <v>48</v>
      </c>
      <c r="BK101" s="1081" t="s">
        <v>48</v>
      </c>
      <c r="BL101" s="1051"/>
      <c r="BM101" s="1104" t="s">
        <v>5796</v>
      </c>
      <c r="BN101" s="1095" t="s">
        <v>5797</v>
      </c>
      <c r="BO101" s="1095" t="s">
        <v>5798</v>
      </c>
      <c r="BP101" s="1545" t="s">
        <v>5799</v>
      </c>
      <c r="BQ101" s="1095" t="s">
        <v>5800</v>
      </c>
      <c r="BR101" s="1095"/>
      <c r="BS101" s="1095"/>
      <c r="BT101" s="1126" t="s">
        <v>5801</v>
      </c>
      <c r="BU101" s="1262" t="s">
        <v>5783</v>
      </c>
      <c r="BV101" s="1232" t="e">
        <v>#N/A</v>
      </c>
      <c r="BW101" s="1188"/>
    </row>
    <row r="102" s="1193" customFormat="1" ht="14.1" customHeight="1" spans="2:75">
      <c r="B102" s="1563" t="s">
        <v>1163</v>
      </c>
      <c r="C102" s="838" t="s">
        <v>5802</v>
      </c>
      <c r="D102" s="1241" t="s">
        <v>5803</v>
      </c>
      <c r="E102" s="979" t="s">
        <v>5804</v>
      </c>
      <c r="F102" s="922" t="s">
        <v>125</v>
      </c>
      <c r="G102" s="922" t="s">
        <v>44</v>
      </c>
      <c r="H102" s="922" t="s">
        <v>44</v>
      </c>
      <c r="I102" s="927" t="s">
        <v>5805</v>
      </c>
      <c r="J102" s="1051"/>
      <c r="K102" s="927" t="s">
        <v>5806</v>
      </c>
      <c r="L102" s="989">
        <v>42881</v>
      </c>
      <c r="M102" s="989">
        <v>42972</v>
      </c>
      <c r="N102" s="1202"/>
      <c r="O102" s="989"/>
      <c r="P102" s="1244"/>
      <c r="Q102" s="989"/>
      <c r="R102" s="989"/>
      <c r="S102" s="989"/>
      <c r="T102" s="989"/>
      <c r="U102" s="989"/>
      <c r="V102" s="989"/>
      <c r="W102" s="989"/>
      <c r="X102" s="989"/>
      <c r="Y102" s="989"/>
      <c r="Z102" s="989"/>
      <c r="AA102" s="989"/>
      <c r="AB102" s="989"/>
      <c r="AC102" s="989"/>
      <c r="AD102" s="989"/>
      <c r="AE102" s="989"/>
      <c r="AF102" s="989"/>
      <c r="AG102" s="989"/>
      <c r="AH102" s="989"/>
      <c r="AI102" s="989"/>
      <c r="AJ102" s="989"/>
      <c r="AK102" s="1244"/>
      <c r="AL102" s="1244"/>
      <c r="AM102" s="1244"/>
      <c r="AN102" s="1244"/>
      <c r="AO102" s="1244"/>
      <c r="AP102" s="1244"/>
      <c r="AQ102" s="1244"/>
      <c r="AR102" s="1244"/>
      <c r="AS102" s="1244"/>
      <c r="AT102" s="1244"/>
      <c r="AU102" s="1244"/>
      <c r="AV102" s="1244"/>
      <c r="AW102" s="325">
        <v>-28.498647106484</v>
      </c>
      <c r="AX102" s="187" t="s">
        <v>2569</v>
      </c>
      <c r="AY102" s="1006">
        <v>2368510</v>
      </c>
      <c r="AZ102" s="958">
        <v>150000</v>
      </c>
      <c r="BA102" s="958" t="s">
        <v>583</v>
      </c>
      <c r="BB102" s="1250"/>
      <c r="BC102" s="958" t="s">
        <v>583</v>
      </c>
      <c r="BD102" s="958"/>
      <c r="BE102" s="958"/>
      <c r="BF102" s="958" t="s">
        <v>583</v>
      </c>
      <c r="BG102" s="958" t="s">
        <v>583</v>
      </c>
      <c r="BH102" s="958">
        <v>100000</v>
      </c>
      <c r="BI102" s="958" t="s">
        <v>112</v>
      </c>
      <c r="BJ102" s="957" t="s">
        <v>113</v>
      </c>
      <c r="BK102" s="957" t="s">
        <v>113</v>
      </c>
      <c r="BL102" s="927"/>
      <c r="BM102" s="290" t="s">
        <v>5807</v>
      </c>
      <c r="BN102" s="962" t="s">
        <v>5808</v>
      </c>
      <c r="BO102" s="962" t="s">
        <v>5809</v>
      </c>
      <c r="BP102" s="963" t="s">
        <v>5810</v>
      </c>
      <c r="BQ102" s="963" t="s">
        <v>2574</v>
      </c>
      <c r="BR102" s="963" t="s">
        <v>2574</v>
      </c>
      <c r="BS102" s="1013">
        <v>0</v>
      </c>
      <c r="BT102" s="229" t="s">
        <v>5811</v>
      </c>
      <c r="BU102" s="1262" t="s">
        <v>5812</v>
      </c>
      <c r="BV102" s="1232" t="e">
        <v>#N/A</v>
      </c>
      <c r="BW102" s="1188"/>
    </row>
    <row r="103" s="1193" customFormat="1" ht="14.1" customHeight="1" spans="2:75">
      <c r="B103" s="1563" t="s">
        <v>1173</v>
      </c>
      <c r="C103" s="838" t="s">
        <v>5813</v>
      </c>
      <c r="D103" s="1241" t="s">
        <v>5814</v>
      </c>
      <c r="E103" s="979" t="s">
        <v>5815</v>
      </c>
      <c r="F103" s="922" t="s">
        <v>43</v>
      </c>
      <c r="G103" s="922" t="s">
        <v>254</v>
      </c>
      <c r="H103" s="922" t="s">
        <v>254</v>
      </c>
      <c r="I103" s="927" t="s">
        <v>5816</v>
      </c>
      <c r="J103" s="1051"/>
      <c r="K103" s="927" t="s">
        <v>722</v>
      </c>
      <c r="L103" s="989">
        <v>42881</v>
      </c>
      <c r="M103" s="989">
        <v>42974</v>
      </c>
      <c r="N103" s="1202"/>
      <c r="O103" s="989"/>
      <c r="P103" s="1244"/>
      <c r="Q103" s="934"/>
      <c r="R103" s="989"/>
      <c r="S103" s="989"/>
      <c r="T103" s="989"/>
      <c r="U103" s="989"/>
      <c r="V103" s="989"/>
      <c r="W103" s="989"/>
      <c r="X103" s="989"/>
      <c r="Y103" s="989"/>
      <c r="Z103" s="989"/>
      <c r="AA103" s="989"/>
      <c r="AB103" s="989"/>
      <c r="AC103" s="989"/>
      <c r="AD103" s="989"/>
      <c r="AE103" s="989"/>
      <c r="AF103" s="989"/>
      <c r="AG103" s="989"/>
      <c r="AH103" s="989"/>
      <c r="AI103" s="989"/>
      <c r="AJ103" s="989"/>
      <c r="AK103" s="1244"/>
      <c r="AL103" s="1244"/>
      <c r="AM103" s="1244"/>
      <c r="AN103" s="1244"/>
      <c r="AO103" s="1244"/>
      <c r="AP103" s="1244"/>
      <c r="AQ103" s="1244"/>
      <c r="AR103" s="1244"/>
      <c r="AS103" s="1244"/>
      <c r="AT103" s="1244"/>
      <c r="AU103" s="1244"/>
      <c r="AV103" s="1244"/>
      <c r="AW103" s="325">
        <v>-26.498647106484</v>
      </c>
      <c r="AX103" s="187" t="s">
        <v>2569</v>
      </c>
      <c r="AY103" s="1006">
        <v>7000000</v>
      </c>
      <c r="AZ103" s="958">
        <v>250000</v>
      </c>
      <c r="BA103" s="958" t="s">
        <v>583</v>
      </c>
      <c r="BB103" s="1250"/>
      <c r="BC103" s="958" t="s">
        <v>583</v>
      </c>
      <c r="BD103" s="958"/>
      <c r="BE103" s="958"/>
      <c r="BF103" s="958" t="s">
        <v>583</v>
      </c>
      <c r="BG103" s="958">
        <v>500000</v>
      </c>
      <c r="BH103" s="958">
        <v>150000</v>
      </c>
      <c r="BI103" s="958" t="s">
        <v>112</v>
      </c>
      <c r="BJ103" s="957" t="s">
        <v>113</v>
      </c>
      <c r="BK103" s="957" t="s">
        <v>113</v>
      </c>
      <c r="BL103" s="927"/>
      <c r="BM103" s="290" t="s">
        <v>5817</v>
      </c>
      <c r="BN103" s="962" t="s">
        <v>5818</v>
      </c>
      <c r="BO103" s="962" t="s">
        <v>5819</v>
      </c>
      <c r="BP103" s="963" t="s">
        <v>5820</v>
      </c>
      <c r="BQ103" s="963" t="s">
        <v>5821</v>
      </c>
      <c r="BR103" s="963" t="s">
        <v>2574</v>
      </c>
      <c r="BS103" s="1556" t="s">
        <v>5822</v>
      </c>
      <c r="BT103" s="229" t="s">
        <v>5823</v>
      </c>
      <c r="BU103" s="1262" t="s">
        <v>5824</v>
      </c>
      <c r="BV103" s="1232" t="e">
        <v>#N/A</v>
      </c>
      <c r="BW103" s="1188"/>
    </row>
    <row r="104" s="1193" customFormat="1" ht="14.1" customHeight="1" spans="2:75">
      <c r="B104" s="1563" t="s">
        <v>1237</v>
      </c>
      <c r="C104" s="838" t="s">
        <v>5825</v>
      </c>
      <c r="D104" s="1199" t="s">
        <v>5826</v>
      </c>
      <c r="E104" s="1044" t="s">
        <v>5827</v>
      </c>
      <c r="F104" s="923" t="s">
        <v>43</v>
      </c>
      <c r="G104" s="923" t="s">
        <v>96</v>
      </c>
      <c r="H104" s="923" t="s">
        <v>96</v>
      </c>
      <c r="I104" s="1051" t="s">
        <v>2832</v>
      </c>
      <c r="J104" s="1051" t="s">
        <v>4970</v>
      </c>
      <c r="K104" s="1051" t="s">
        <v>1533</v>
      </c>
      <c r="L104" s="1202">
        <v>42934</v>
      </c>
      <c r="M104" s="1202">
        <v>42978</v>
      </c>
      <c r="N104" s="1202"/>
      <c r="O104" s="1202"/>
      <c r="P104" s="1202"/>
      <c r="Q104" s="1052"/>
      <c r="R104" s="1202"/>
      <c r="S104" s="1202"/>
      <c r="T104" s="1202"/>
      <c r="U104" s="1202"/>
      <c r="V104" s="1202"/>
      <c r="W104" s="1202"/>
      <c r="X104" s="1202"/>
      <c r="Y104" s="1202"/>
      <c r="Z104" s="1202"/>
      <c r="AA104" s="1202"/>
      <c r="AB104" s="1202"/>
      <c r="AC104" s="1202"/>
      <c r="AD104" s="1202"/>
      <c r="AE104" s="1202"/>
      <c r="AF104" s="1202"/>
      <c r="AG104" s="1202"/>
      <c r="AH104" s="1202"/>
      <c r="AI104" s="1202"/>
      <c r="AJ104" s="1202"/>
      <c r="AK104" s="1202"/>
      <c r="AL104" s="1202"/>
      <c r="AM104" s="1202"/>
      <c r="AN104" s="1202"/>
      <c r="AO104" s="1202"/>
      <c r="AP104" s="1202"/>
      <c r="AQ104" s="1202"/>
      <c r="AR104" s="1202"/>
      <c r="AS104" s="1202"/>
      <c r="AT104" s="1202"/>
      <c r="AU104" s="1202"/>
      <c r="AV104" s="1202"/>
      <c r="AW104" s="325">
        <v>-22.498647106484</v>
      </c>
      <c r="AX104" s="187" t="s">
        <v>2569</v>
      </c>
      <c r="AY104" s="1080">
        <v>2700000</v>
      </c>
      <c r="AZ104" s="1080">
        <v>100000</v>
      </c>
      <c r="BA104" s="1081" t="s">
        <v>583</v>
      </c>
      <c r="BB104" s="1088"/>
      <c r="BC104" s="1081" t="s">
        <v>583</v>
      </c>
      <c r="BD104" s="1080"/>
      <c r="BE104" s="1080" t="s">
        <v>583</v>
      </c>
      <c r="BF104" s="1081">
        <v>1300000</v>
      </c>
      <c r="BG104" s="1081" t="s">
        <v>583</v>
      </c>
      <c r="BH104" s="1081" t="s">
        <v>583</v>
      </c>
      <c r="BI104" s="1051" t="s">
        <v>0</v>
      </c>
      <c r="BJ104" s="1051" t="s">
        <v>0</v>
      </c>
      <c r="BK104" s="1251" t="s">
        <v>5296</v>
      </c>
      <c r="BL104" s="927"/>
      <c r="BM104" s="1104" t="s">
        <v>5828</v>
      </c>
      <c r="BN104" s="1095" t="s">
        <v>5829</v>
      </c>
      <c r="BO104" s="1095" t="s">
        <v>5830</v>
      </c>
      <c r="BP104" s="1095" t="s">
        <v>5831</v>
      </c>
      <c r="BQ104" s="1095"/>
      <c r="BR104" s="1095"/>
      <c r="BS104" s="1095"/>
      <c r="BT104" s="229"/>
      <c r="BU104" s="1262" t="s">
        <v>2828</v>
      </c>
      <c r="BV104" s="1232" t="e">
        <v>#N/A</v>
      </c>
      <c r="BW104" s="1188"/>
    </row>
    <row r="105" s="1193" customFormat="1" ht="14.1" customHeight="1" spans="2:75">
      <c r="B105" s="1563" t="s">
        <v>1248</v>
      </c>
      <c r="C105" s="838" t="s">
        <v>5832</v>
      </c>
      <c r="D105" s="1199" t="s">
        <v>5833</v>
      </c>
      <c r="E105" s="1044" t="s">
        <v>5834</v>
      </c>
      <c r="F105" s="1044" t="s">
        <v>125</v>
      </c>
      <c r="G105" s="1044" t="s">
        <v>44</v>
      </c>
      <c r="H105" s="1044" t="s">
        <v>44</v>
      </c>
      <c r="I105" s="1051" t="s">
        <v>1300</v>
      </c>
      <c r="J105" s="1051" t="s">
        <v>4970</v>
      </c>
      <c r="K105" s="1051" t="s">
        <v>5835</v>
      </c>
      <c r="L105" s="1202">
        <v>42809</v>
      </c>
      <c r="M105" s="1202">
        <v>42886</v>
      </c>
      <c r="N105" s="1202">
        <v>42916</v>
      </c>
      <c r="O105" s="1202">
        <v>42978</v>
      </c>
      <c r="P105" s="1244"/>
      <c r="Q105" s="1202"/>
      <c r="R105" s="1202"/>
      <c r="S105" s="1202"/>
      <c r="T105" s="1202"/>
      <c r="U105" s="1202"/>
      <c r="V105" s="1202"/>
      <c r="W105" s="1202"/>
      <c r="X105" s="1202"/>
      <c r="Y105" s="1202"/>
      <c r="Z105" s="1202"/>
      <c r="AA105" s="1202"/>
      <c r="AB105" s="1202"/>
      <c r="AC105" s="1202"/>
      <c r="AD105" s="1202"/>
      <c r="AE105" s="1202"/>
      <c r="AF105" s="1202"/>
      <c r="AG105" s="1202"/>
      <c r="AH105" s="1202"/>
      <c r="AI105" s="1202"/>
      <c r="AJ105" s="1202"/>
      <c r="AK105" s="1202"/>
      <c r="AL105" s="1202"/>
      <c r="AM105" s="1202"/>
      <c r="AN105" s="1202"/>
      <c r="AO105" s="1202"/>
      <c r="AP105" s="1202"/>
      <c r="AQ105" s="1202"/>
      <c r="AR105" s="1202"/>
      <c r="AS105" s="1202"/>
      <c r="AT105" s="1202"/>
      <c r="AU105" s="1202"/>
      <c r="AV105" s="1202"/>
      <c r="AW105" s="325">
        <v>-22.498647106484</v>
      </c>
      <c r="AX105" s="187" t="s">
        <v>2569</v>
      </c>
      <c r="AY105" s="1080">
        <v>5000000</v>
      </c>
      <c r="AZ105" s="1080">
        <v>250000</v>
      </c>
      <c r="BA105" s="1081" t="s">
        <v>583</v>
      </c>
      <c r="BB105" s="1088"/>
      <c r="BC105" s="1081" t="s">
        <v>583</v>
      </c>
      <c r="BD105" s="1080"/>
      <c r="BE105" s="1080"/>
      <c r="BF105" s="1081" t="s">
        <v>583</v>
      </c>
      <c r="BG105" s="1081">
        <v>500000</v>
      </c>
      <c r="BH105" s="1081">
        <v>250000</v>
      </c>
      <c r="BI105" s="1051" t="s">
        <v>0</v>
      </c>
      <c r="BJ105" s="1081" t="s">
        <v>48</v>
      </c>
      <c r="BK105" s="1081" t="s">
        <v>48</v>
      </c>
      <c r="BL105" s="1051"/>
      <c r="BM105" s="1104" t="s">
        <v>5836</v>
      </c>
      <c r="BN105" s="1095" t="s">
        <v>5837</v>
      </c>
      <c r="BO105" s="1095" t="s">
        <v>5838</v>
      </c>
      <c r="BP105" s="1545" t="s">
        <v>5839</v>
      </c>
      <c r="BQ105" s="1095" t="s">
        <v>5840</v>
      </c>
      <c r="BR105" s="1095" t="s">
        <v>5841</v>
      </c>
      <c r="BS105" s="1095"/>
      <c r="BT105" s="1126" t="s">
        <v>5842</v>
      </c>
      <c r="BU105" s="1262" t="s">
        <v>2828</v>
      </c>
      <c r="BV105" s="1232" t="e">
        <v>#N/A</v>
      </c>
      <c r="BW105" s="1188"/>
    </row>
    <row r="106" s="1193" customFormat="1" ht="14.1" customHeight="1" spans="2:75">
      <c r="B106" s="1563" t="s">
        <v>1277</v>
      </c>
      <c r="C106" s="838" t="s">
        <v>5843</v>
      </c>
      <c r="D106" s="1199" t="s">
        <v>5844</v>
      </c>
      <c r="E106" s="1044" t="s">
        <v>5845</v>
      </c>
      <c r="F106" s="1044" t="s">
        <v>43</v>
      </c>
      <c r="G106" s="1044" t="s">
        <v>60</v>
      </c>
      <c r="H106" s="1044" t="s">
        <v>60</v>
      </c>
      <c r="I106" s="1051" t="s">
        <v>3089</v>
      </c>
      <c r="J106" s="1051"/>
      <c r="K106" s="1051" t="s">
        <v>5846</v>
      </c>
      <c r="L106" s="1202">
        <v>42937</v>
      </c>
      <c r="M106" s="1202">
        <v>43008</v>
      </c>
      <c r="N106" s="1202"/>
      <c r="O106" s="1202"/>
      <c r="P106" s="1244"/>
      <c r="Q106" s="1202"/>
      <c r="R106" s="1202"/>
      <c r="S106" s="1202"/>
      <c r="T106" s="1202"/>
      <c r="U106" s="1202"/>
      <c r="V106" s="1202"/>
      <c r="W106" s="1202"/>
      <c r="X106" s="1202"/>
      <c r="Y106" s="1202"/>
      <c r="Z106" s="1202"/>
      <c r="AA106" s="1202"/>
      <c r="AB106" s="1202"/>
      <c r="AC106" s="1202"/>
      <c r="AD106" s="1202"/>
      <c r="AE106" s="1202"/>
      <c r="AF106" s="1202"/>
      <c r="AG106" s="1202"/>
      <c r="AH106" s="1202"/>
      <c r="AI106" s="1202"/>
      <c r="AJ106" s="1202"/>
      <c r="AK106" s="1202"/>
      <c r="AL106" s="1202"/>
      <c r="AM106" s="1202"/>
      <c r="AN106" s="1202"/>
      <c r="AO106" s="1202"/>
      <c r="AP106" s="1202"/>
      <c r="AQ106" s="1202"/>
      <c r="AR106" s="1202"/>
      <c r="AS106" s="1202"/>
      <c r="AT106" s="1202"/>
      <c r="AU106" s="1202"/>
      <c r="AV106" s="1202"/>
      <c r="AW106" s="325">
        <v>7.50135289351601</v>
      </c>
      <c r="AX106" s="187" t="s">
        <v>2569</v>
      </c>
      <c r="AY106" s="1080">
        <v>9000000</v>
      </c>
      <c r="AZ106" s="1080">
        <v>750000</v>
      </c>
      <c r="BA106" s="1081"/>
      <c r="BB106" s="1088"/>
      <c r="BC106" s="1081">
        <v>1000000</v>
      </c>
      <c r="BD106" s="1080"/>
      <c r="BE106" s="1080"/>
      <c r="BF106" s="1081"/>
      <c r="BG106" s="1081">
        <v>500000</v>
      </c>
      <c r="BH106" s="1081">
        <v>250000</v>
      </c>
      <c r="BI106" s="1051" t="s">
        <v>0</v>
      </c>
      <c r="BJ106" s="1081" t="s">
        <v>48</v>
      </c>
      <c r="BK106" s="1081" t="s">
        <v>48</v>
      </c>
      <c r="BL106" s="1051"/>
      <c r="BM106" s="1104" t="s">
        <v>5847</v>
      </c>
      <c r="BN106" s="1095" t="s">
        <v>5848</v>
      </c>
      <c r="BO106" s="1095" t="s">
        <v>5849</v>
      </c>
      <c r="BP106" s="1545" t="s">
        <v>5850</v>
      </c>
      <c r="BQ106" s="1095" t="s">
        <v>5851</v>
      </c>
      <c r="BR106" s="1095" t="s">
        <v>5852</v>
      </c>
      <c r="BS106" s="1095"/>
      <c r="BT106" s="229" t="s">
        <v>5853</v>
      </c>
      <c r="BU106" s="1262" t="s">
        <v>5854</v>
      </c>
      <c r="BV106" s="1232" t="e">
        <v>#N/A</v>
      </c>
      <c r="BW106" s="1188"/>
    </row>
    <row r="107" s="1193" customFormat="1" ht="14.1" customHeight="1" spans="2:75">
      <c r="B107" s="1563" t="s">
        <v>286</v>
      </c>
      <c r="C107" s="838" t="s">
        <v>3050</v>
      </c>
      <c r="D107" s="1199" t="s">
        <v>3051</v>
      </c>
      <c r="E107" s="1044" t="s">
        <v>3052</v>
      </c>
      <c r="F107" s="1044" t="s">
        <v>125</v>
      </c>
      <c r="G107" s="1044" t="s">
        <v>44</v>
      </c>
      <c r="H107" s="1044" t="s">
        <v>44</v>
      </c>
      <c r="I107" s="1051" t="s">
        <v>5855</v>
      </c>
      <c r="J107" s="1051" t="s">
        <v>5347</v>
      </c>
      <c r="K107" s="1051" t="s">
        <v>4565</v>
      </c>
      <c r="L107" s="1202">
        <v>42468</v>
      </c>
      <c r="M107" s="1202">
        <v>42551</v>
      </c>
      <c r="N107" s="1202">
        <v>42613</v>
      </c>
      <c r="O107" s="1202">
        <v>42643</v>
      </c>
      <c r="P107" s="1202">
        <v>42674</v>
      </c>
      <c r="Q107" s="1202">
        <v>42855</v>
      </c>
      <c r="R107" s="1052">
        <v>42794</v>
      </c>
      <c r="S107" s="1202">
        <v>42916</v>
      </c>
      <c r="T107" s="1202">
        <v>43008</v>
      </c>
      <c r="U107" s="1202"/>
      <c r="V107" s="1202"/>
      <c r="W107" s="1202"/>
      <c r="X107" s="1202"/>
      <c r="Y107" s="1202"/>
      <c r="Z107" s="1202"/>
      <c r="AA107" s="1202"/>
      <c r="AB107" s="1202"/>
      <c r="AC107" s="1202"/>
      <c r="AD107" s="1202"/>
      <c r="AE107" s="1202"/>
      <c r="AF107" s="1202"/>
      <c r="AG107" s="1202"/>
      <c r="AH107" s="1202"/>
      <c r="AI107" s="1202"/>
      <c r="AJ107" s="1202"/>
      <c r="AK107" s="1202"/>
      <c r="AL107" s="1202"/>
      <c r="AM107" s="1202"/>
      <c r="AN107" s="1202"/>
      <c r="AO107" s="1202"/>
      <c r="AP107" s="1202"/>
      <c r="AQ107" s="1202"/>
      <c r="AR107" s="1202"/>
      <c r="AS107" s="1202"/>
      <c r="AT107" s="1202"/>
      <c r="AU107" s="1202"/>
      <c r="AV107" s="1202"/>
      <c r="AW107" s="325">
        <v>7.50135289351601</v>
      </c>
      <c r="AX107" s="1247" t="s">
        <v>2569</v>
      </c>
      <c r="AY107" s="1080">
        <v>6500000</v>
      </c>
      <c r="AZ107" s="1080">
        <v>550000</v>
      </c>
      <c r="BA107" s="1081"/>
      <c r="BB107" s="1088"/>
      <c r="BC107" s="1081"/>
      <c r="BD107" s="1080"/>
      <c r="BE107" s="1080"/>
      <c r="BF107" s="1081">
        <v>2500000</v>
      </c>
      <c r="BG107" s="1081">
        <v>500000</v>
      </c>
      <c r="BH107" s="1081"/>
      <c r="BI107" s="1051" t="s">
        <v>0</v>
      </c>
      <c r="BJ107" s="1081" t="s">
        <v>48</v>
      </c>
      <c r="BK107" s="1081" t="s">
        <v>48</v>
      </c>
      <c r="BL107" s="1051" t="s">
        <v>5856</v>
      </c>
      <c r="BM107" s="1104" t="s">
        <v>3055</v>
      </c>
      <c r="BN107" s="1095" t="s">
        <v>5857</v>
      </c>
      <c r="BO107" s="1095" t="s">
        <v>3057</v>
      </c>
      <c r="BP107" s="1545" t="s">
        <v>3058</v>
      </c>
      <c r="BQ107" s="1095" t="s">
        <v>5858</v>
      </c>
      <c r="BR107" s="1095" t="s">
        <v>5859</v>
      </c>
      <c r="BS107" s="1095" t="s">
        <v>5860</v>
      </c>
      <c r="BT107" s="1126" t="s">
        <v>5861</v>
      </c>
      <c r="BU107" s="1266" t="s">
        <v>5862</v>
      </c>
      <c r="BV107" s="1235" t="s">
        <v>5862</v>
      </c>
      <c r="BW107" s="1188"/>
    </row>
    <row r="108" s="1193" customFormat="1" ht="14.1" customHeight="1" spans="2:75">
      <c r="B108" s="1563" t="s">
        <v>514</v>
      </c>
      <c r="C108" s="838" t="s">
        <v>5863</v>
      </c>
      <c r="D108" s="1199" t="s">
        <v>5864</v>
      </c>
      <c r="E108" s="1044" t="s">
        <v>5865</v>
      </c>
      <c r="F108" s="1044" t="s">
        <v>43</v>
      </c>
      <c r="G108" s="1044" t="s">
        <v>60</v>
      </c>
      <c r="H108" s="1044" t="s">
        <v>60</v>
      </c>
      <c r="I108" s="1051" t="s">
        <v>3089</v>
      </c>
      <c r="J108" s="1051" t="s">
        <v>4970</v>
      </c>
      <c r="K108" s="1051" t="s">
        <v>5866</v>
      </c>
      <c r="L108" s="1202">
        <v>42773</v>
      </c>
      <c r="M108" s="1202">
        <v>42886</v>
      </c>
      <c r="N108" s="1202">
        <v>42916</v>
      </c>
      <c r="O108" s="1202">
        <v>42978</v>
      </c>
      <c r="P108" s="1052">
        <v>43008</v>
      </c>
      <c r="Q108" s="1202"/>
      <c r="R108" s="1202"/>
      <c r="S108" s="1202"/>
      <c r="T108" s="1202"/>
      <c r="U108" s="1202"/>
      <c r="V108" s="1202"/>
      <c r="W108" s="1202"/>
      <c r="X108" s="1202"/>
      <c r="Y108" s="1202"/>
      <c r="Z108" s="1202"/>
      <c r="AA108" s="1202"/>
      <c r="AB108" s="1202"/>
      <c r="AC108" s="1202"/>
      <c r="AD108" s="1202"/>
      <c r="AE108" s="1202"/>
      <c r="AF108" s="1202"/>
      <c r="AG108" s="1202"/>
      <c r="AH108" s="1202"/>
      <c r="AI108" s="1202"/>
      <c r="AJ108" s="1202"/>
      <c r="AK108" s="1202"/>
      <c r="AL108" s="1202"/>
      <c r="AM108" s="1202"/>
      <c r="AN108" s="1202"/>
      <c r="AO108" s="1202"/>
      <c r="AP108" s="1202"/>
      <c r="AQ108" s="1202"/>
      <c r="AR108" s="1202"/>
      <c r="AS108" s="1202"/>
      <c r="AT108" s="1202"/>
      <c r="AU108" s="1202"/>
      <c r="AV108" s="1202"/>
      <c r="AW108" s="325">
        <v>7.50135289351601</v>
      </c>
      <c r="AX108" s="1247" t="s">
        <v>2569</v>
      </c>
      <c r="AY108" s="1080">
        <v>7000000</v>
      </c>
      <c r="AZ108" s="1080">
        <v>250000</v>
      </c>
      <c r="BA108" s="1081"/>
      <c r="BB108" s="1088"/>
      <c r="BC108" s="1081">
        <v>1500000</v>
      </c>
      <c r="BD108" s="1080"/>
      <c r="BE108" s="1080"/>
      <c r="BF108" s="1081" t="s">
        <v>583</v>
      </c>
      <c r="BG108" s="1081">
        <v>500000</v>
      </c>
      <c r="BH108" s="1081">
        <v>250000</v>
      </c>
      <c r="BI108" s="1051" t="s">
        <v>0</v>
      </c>
      <c r="BJ108" s="1081" t="s">
        <v>48</v>
      </c>
      <c r="BK108" s="1081" t="s">
        <v>48</v>
      </c>
      <c r="BL108" s="1051"/>
      <c r="BM108" s="1104" t="s">
        <v>5867</v>
      </c>
      <c r="BN108" s="1095" t="s">
        <v>5868</v>
      </c>
      <c r="BO108" s="1095" t="s">
        <v>5869</v>
      </c>
      <c r="BP108" s="1545" t="s">
        <v>5870</v>
      </c>
      <c r="BQ108" s="1095" t="s">
        <v>5871</v>
      </c>
      <c r="BR108" s="1095"/>
      <c r="BS108" s="1095"/>
      <c r="BT108" s="1126" t="s">
        <v>5872</v>
      </c>
      <c r="BU108" s="1266" t="s">
        <v>5862</v>
      </c>
      <c r="BV108" s="1235" t="s">
        <v>5862</v>
      </c>
      <c r="BW108" s="1188"/>
    </row>
    <row r="109" s="1193" customFormat="1" ht="14.1" customHeight="1" spans="2:75">
      <c r="B109" s="1563" t="s">
        <v>598</v>
      </c>
      <c r="C109" s="838" t="s">
        <v>5873</v>
      </c>
      <c r="D109" s="1199" t="s">
        <v>5874</v>
      </c>
      <c r="E109" s="1044" t="s">
        <v>5875</v>
      </c>
      <c r="F109" s="1044" t="s">
        <v>125</v>
      </c>
      <c r="G109" s="1044" t="s">
        <v>60</v>
      </c>
      <c r="H109" s="1044" t="s">
        <v>60</v>
      </c>
      <c r="I109" s="1051" t="s">
        <v>3528</v>
      </c>
      <c r="J109" s="1051" t="s">
        <v>4970</v>
      </c>
      <c r="K109" s="1051" t="s">
        <v>5876</v>
      </c>
      <c r="L109" s="1202">
        <v>42779</v>
      </c>
      <c r="M109" s="1202">
        <v>42837</v>
      </c>
      <c r="N109" s="1202">
        <v>42867</v>
      </c>
      <c r="O109" s="1202">
        <v>42898</v>
      </c>
      <c r="P109" s="1202">
        <v>42916</v>
      </c>
      <c r="Q109" s="1202">
        <v>42978</v>
      </c>
      <c r="R109" s="1211">
        <v>43008</v>
      </c>
      <c r="S109" s="1202"/>
      <c r="T109" s="1202"/>
      <c r="U109" s="1202"/>
      <c r="V109" s="1202"/>
      <c r="W109" s="1202"/>
      <c r="X109" s="1202"/>
      <c r="Y109" s="1202"/>
      <c r="Z109" s="1202"/>
      <c r="AA109" s="1202"/>
      <c r="AB109" s="1202"/>
      <c r="AC109" s="1202"/>
      <c r="AD109" s="1202"/>
      <c r="AE109" s="1202"/>
      <c r="AF109" s="1202"/>
      <c r="AG109" s="1202"/>
      <c r="AH109" s="1202"/>
      <c r="AI109" s="1202"/>
      <c r="AJ109" s="1202"/>
      <c r="AK109" s="1202"/>
      <c r="AL109" s="1202"/>
      <c r="AM109" s="1202"/>
      <c r="AN109" s="1202"/>
      <c r="AO109" s="1202"/>
      <c r="AP109" s="1202"/>
      <c r="AQ109" s="1202"/>
      <c r="AR109" s="1202"/>
      <c r="AS109" s="1202"/>
      <c r="AT109" s="1202"/>
      <c r="AU109" s="1202"/>
      <c r="AV109" s="1202"/>
      <c r="AW109" s="325">
        <v>7.50135289351601</v>
      </c>
      <c r="AX109" s="1247" t="s">
        <v>2569</v>
      </c>
      <c r="AY109" s="1080">
        <v>6000000</v>
      </c>
      <c r="AZ109" s="1080">
        <v>1000000</v>
      </c>
      <c r="BA109" s="1081" t="s">
        <v>583</v>
      </c>
      <c r="BB109" s="1088"/>
      <c r="BC109" s="1081" t="s">
        <v>583</v>
      </c>
      <c r="BD109" s="1080"/>
      <c r="BE109" s="1080"/>
      <c r="BF109" s="1081" t="s">
        <v>583</v>
      </c>
      <c r="BG109" s="1081">
        <v>500000</v>
      </c>
      <c r="BH109" s="1081">
        <v>250000</v>
      </c>
      <c r="BI109" s="1051" t="s">
        <v>0</v>
      </c>
      <c r="BJ109" s="1081" t="s">
        <v>48</v>
      </c>
      <c r="BK109" s="1081" t="s">
        <v>48</v>
      </c>
      <c r="BL109" s="1051" t="s">
        <v>5721</v>
      </c>
      <c r="BM109" s="1104" t="s">
        <v>5877</v>
      </c>
      <c r="BN109" s="1095" t="s">
        <v>5878</v>
      </c>
      <c r="BO109" s="1095" t="s">
        <v>5879</v>
      </c>
      <c r="BP109" s="1545" t="s">
        <v>5880</v>
      </c>
      <c r="BQ109" s="1095" t="s">
        <v>5881</v>
      </c>
      <c r="BR109" s="1095"/>
      <c r="BS109" s="1095"/>
      <c r="BT109" s="1126" t="s">
        <v>5882</v>
      </c>
      <c r="BU109" s="1266" t="s">
        <v>5862</v>
      </c>
      <c r="BV109" s="1235" t="s">
        <v>5862</v>
      </c>
      <c r="BW109" s="1188"/>
    </row>
    <row r="110" s="1193" customFormat="1" ht="14.1" customHeight="1" spans="2:75">
      <c r="B110" s="1563" t="s">
        <v>651</v>
      </c>
      <c r="C110" s="838" t="s">
        <v>5883</v>
      </c>
      <c r="D110" s="1199" t="s">
        <v>768</v>
      </c>
      <c r="E110" s="1044" t="s">
        <v>769</v>
      </c>
      <c r="F110" s="1044" t="s">
        <v>43</v>
      </c>
      <c r="G110" s="1044" t="s">
        <v>96</v>
      </c>
      <c r="H110" s="1044" t="s">
        <v>96</v>
      </c>
      <c r="I110" s="1051" t="s">
        <v>757</v>
      </c>
      <c r="J110" s="1051" t="s">
        <v>4970</v>
      </c>
      <c r="K110" s="1051" t="s">
        <v>5130</v>
      </c>
      <c r="L110" s="1202">
        <v>42779</v>
      </c>
      <c r="M110" s="1202">
        <v>42855</v>
      </c>
      <c r="N110" s="1202">
        <v>42916</v>
      </c>
      <c r="O110" s="1202">
        <v>42947</v>
      </c>
      <c r="P110" s="1202">
        <v>42978</v>
      </c>
      <c r="Q110" s="1211">
        <v>43008</v>
      </c>
      <c r="R110" s="1202"/>
      <c r="S110" s="1202"/>
      <c r="T110" s="1202"/>
      <c r="U110" s="1202"/>
      <c r="V110" s="1202"/>
      <c r="W110" s="1202"/>
      <c r="X110" s="1202"/>
      <c r="Y110" s="1202"/>
      <c r="Z110" s="1202"/>
      <c r="AA110" s="1202"/>
      <c r="AB110" s="1202"/>
      <c r="AC110" s="1202"/>
      <c r="AD110" s="1202"/>
      <c r="AE110" s="1202"/>
      <c r="AF110" s="1202"/>
      <c r="AG110" s="1202"/>
      <c r="AH110" s="1202"/>
      <c r="AI110" s="1202"/>
      <c r="AJ110" s="1202"/>
      <c r="AK110" s="1202"/>
      <c r="AL110" s="1202"/>
      <c r="AM110" s="1202"/>
      <c r="AN110" s="1202"/>
      <c r="AO110" s="1202"/>
      <c r="AP110" s="1202"/>
      <c r="AQ110" s="1202"/>
      <c r="AR110" s="1202"/>
      <c r="AS110" s="1202"/>
      <c r="AT110" s="1202"/>
      <c r="AU110" s="1202"/>
      <c r="AV110" s="1202"/>
      <c r="AW110" s="325">
        <v>7.50135289351601</v>
      </c>
      <c r="AX110" s="1247" t="s">
        <v>2569</v>
      </c>
      <c r="AY110" s="1080">
        <v>8000000</v>
      </c>
      <c r="AZ110" s="1080">
        <v>1000000</v>
      </c>
      <c r="BA110" s="1081" t="s">
        <v>583</v>
      </c>
      <c r="BB110" s="1088"/>
      <c r="BC110" s="1081">
        <v>2500000</v>
      </c>
      <c r="BD110" s="1080"/>
      <c r="BE110" s="1080"/>
      <c r="BF110" s="1081" t="s">
        <v>583</v>
      </c>
      <c r="BG110" s="1081">
        <v>500000</v>
      </c>
      <c r="BH110" s="1081">
        <v>250000</v>
      </c>
      <c r="BI110" s="1051" t="s">
        <v>0</v>
      </c>
      <c r="BJ110" s="1081" t="s">
        <v>48</v>
      </c>
      <c r="BK110" s="1081" t="s">
        <v>48</v>
      </c>
      <c r="BL110" s="1051"/>
      <c r="BM110" s="1104" t="s">
        <v>772</v>
      </c>
      <c r="BN110" s="1095" t="s">
        <v>773</v>
      </c>
      <c r="BO110" s="1095" t="s">
        <v>774</v>
      </c>
      <c r="BP110" s="1545" t="s">
        <v>775</v>
      </c>
      <c r="BQ110" s="1095"/>
      <c r="BR110" s="1095"/>
      <c r="BS110" s="1095"/>
      <c r="BT110" s="1126" t="s">
        <v>776</v>
      </c>
      <c r="BU110" s="1266" t="s">
        <v>5862</v>
      </c>
      <c r="BV110" s="1235" t="s">
        <v>5862</v>
      </c>
      <c r="BW110" s="1188"/>
    </row>
    <row r="111" s="1193" customFormat="1" ht="14.1" customHeight="1" spans="2:75">
      <c r="B111" s="1563" t="s">
        <v>816</v>
      </c>
      <c r="C111" s="838" t="s">
        <v>5884</v>
      </c>
      <c r="D111" s="838" t="s">
        <v>5885</v>
      </c>
      <c r="E111" s="1044" t="s">
        <v>5886</v>
      </c>
      <c r="F111" s="1044" t="s">
        <v>43</v>
      </c>
      <c r="G111" s="1044" t="s">
        <v>96</v>
      </c>
      <c r="H111" s="1044" t="s">
        <v>96</v>
      </c>
      <c r="I111" s="1051" t="s">
        <v>1300</v>
      </c>
      <c r="J111" s="1051" t="s">
        <v>4970</v>
      </c>
      <c r="K111" s="1051" t="s">
        <v>5887</v>
      </c>
      <c r="L111" s="1052">
        <v>42783</v>
      </c>
      <c r="M111" s="1052">
        <v>42855</v>
      </c>
      <c r="N111" s="1052">
        <v>42916</v>
      </c>
      <c r="O111" s="1202">
        <v>42978</v>
      </c>
      <c r="P111" s="1205">
        <v>43008</v>
      </c>
      <c r="Q111" s="1052"/>
      <c r="R111" s="1052"/>
      <c r="S111" s="1052"/>
      <c r="T111" s="1052"/>
      <c r="U111" s="1052"/>
      <c r="V111" s="1052"/>
      <c r="W111" s="1052"/>
      <c r="X111" s="1052"/>
      <c r="Y111" s="1052"/>
      <c r="Z111" s="1052"/>
      <c r="AA111" s="1052"/>
      <c r="AB111" s="1052"/>
      <c r="AC111" s="1052"/>
      <c r="AD111" s="1052"/>
      <c r="AE111" s="1052"/>
      <c r="AF111" s="1052"/>
      <c r="AG111" s="1052"/>
      <c r="AH111" s="1052"/>
      <c r="AI111" s="1052"/>
      <c r="AJ111" s="1052"/>
      <c r="AK111" s="1052"/>
      <c r="AL111" s="1052"/>
      <c r="AM111" s="1052"/>
      <c r="AN111" s="1052"/>
      <c r="AO111" s="1052"/>
      <c r="AP111" s="1052"/>
      <c r="AQ111" s="1052"/>
      <c r="AR111" s="1052"/>
      <c r="AS111" s="1052"/>
      <c r="AT111" s="1052"/>
      <c r="AU111" s="1052"/>
      <c r="AV111" s="1052"/>
      <c r="AW111" s="325">
        <v>7.50135289351601</v>
      </c>
      <c r="AX111" s="1247" t="s">
        <v>2569</v>
      </c>
      <c r="AY111" s="1080">
        <v>7500000</v>
      </c>
      <c r="AZ111" s="1080">
        <v>500000</v>
      </c>
      <c r="BA111" s="1081" t="s">
        <v>583</v>
      </c>
      <c r="BB111" s="1088" t="s">
        <v>583</v>
      </c>
      <c r="BC111" s="1081" t="s">
        <v>583</v>
      </c>
      <c r="BD111" s="1080"/>
      <c r="BE111" s="1080"/>
      <c r="BF111" s="1081" t="s">
        <v>583</v>
      </c>
      <c r="BG111" s="1081">
        <v>500000</v>
      </c>
      <c r="BH111" s="1081">
        <v>250000</v>
      </c>
      <c r="BI111" s="1051" t="s">
        <v>0</v>
      </c>
      <c r="BJ111" s="1081" t="s">
        <v>48</v>
      </c>
      <c r="BK111" s="1081" t="s">
        <v>48</v>
      </c>
      <c r="BL111" s="1051"/>
      <c r="BM111" s="1104" t="s">
        <v>5888</v>
      </c>
      <c r="BN111" s="1095" t="s">
        <v>5889</v>
      </c>
      <c r="BO111" s="1095" t="s">
        <v>5890</v>
      </c>
      <c r="BP111" s="1545" t="s">
        <v>5891</v>
      </c>
      <c r="BQ111" s="1095" t="s">
        <v>5892</v>
      </c>
      <c r="BR111" s="1095"/>
      <c r="BS111" s="1095"/>
      <c r="BT111" s="1126" t="s">
        <v>5893</v>
      </c>
      <c r="BU111" s="1266" t="s">
        <v>5862</v>
      </c>
      <c r="BV111" s="1235" t="s">
        <v>5862</v>
      </c>
      <c r="BW111" s="1188"/>
    </row>
    <row r="112" s="1193" customFormat="1" ht="14.1" customHeight="1" spans="2:75">
      <c r="B112" s="1563" t="s">
        <v>828</v>
      </c>
      <c r="C112" s="838" t="s">
        <v>5894</v>
      </c>
      <c r="D112" s="838" t="s">
        <v>5895</v>
      </c>
      <c r="E112" s="1044" t="s">
        <v>5896</v>
      </c>
      <c r="F112" s="1044" t="s">
        <v>43</v>
      </c>
      <c r="G112" s="1044" t="s">
        <v>44</v>
      </c>
      <c r="H112" s="1044" t="s">
        <v>44</v>
      </c>
      <c r="I112" s="1051" t="s">
        <v>757</v>
      </c>
      <c r="J112" s="1051" t="s">
        <v>4970</v>
      </c>
      <c r="K112" s="1051" t="s">
        <v>5897</v>
      </c>
      <c r="L112" s="1052">
        <v>42786</v>
      </c>
      <c r="M112" s="1052">
        <v>42855</v>
      </c>
      <c r="N112" s="1052">
        <v>42916</v>
      </c>
      <c r="O112" s="1202">
        <v>42947</v>
      </c>
      <c r="P112" s="1052">
        <v>43008</v>
      </c>
      <c r="Q112" s="1052"/>
      <c r="R112" s="1052"/>
      <c r="S112" s="1052"/>
      <c r="T112" s="1052"/>
      <c r="U112" s="1052"/>
      <c r="V112" s="1052"/>
      <c r="W112" s="1052"/>
      <c r="X112" s="1052"/>
      <c r="Y112" s="1052"/>
      <c r="Z112" s="1052"/>
      <c r="AA112" s="1052"/>
      <c r="AB112" s="1052"/>
      <c r="AC112" s="1052"/>
      <c r="AD112" s="1052"/>
      <c r="AE112" s="1052"/>
      <c r="AF112" s="1052"/>
      <c r="AG112" s="1052"/>
      <c r="AH112" s="1052"/>
      <c r="AI112" s="1052"/>
      <c r="AJ112" s="1052"/>
      <c r="AK112" s="1052"/>
      <c r="AL112" s="1052"/>
      <c r="AM112" s="1052"/>
      <c r="AN112" s="1052"/>
      <c r="AO112" s="1052"/>
      <c r="AP112" s="1052"/>
      <c r="AQ112" s="1052"/>
      <c r="AR112" s="1052"/>
      <c r="AS112" s="1052"/>
      <c r="AT112" s="1052"/>
      <c r="AU112" s="1052"/>
      <c r="AV112" s="1052"/>
      <c r="AW112" s="325">
        <v>7.50135289351601</v>
      </c>
      <c r="AX112" s="1247" t="s">
        <v>2569</v>
      </c>
      <c r="AY112" s="1080">
        <v>6500000</v>
      </c>
      <c r="AZ112" s="1080">
        <v>250000</v>
      </c>
      <c r="BA112" s="1081" t="s">
        <v>583</v>
      </c>
      <c r="BB112" s="1250">
        <v>750000</v>
      </c>
      <c r="BC112" s="1081">
        <v>2000000</v>
      </c>
      <c r="BD112" s="1080"/>
      <c r="BE112" s="1080"/>
      <c r="BF112" s="1081" t="s">
        <v>583</v>
      </c>
      <c r="BG112" s="1081">
        <v>500000</v>
      </c>
      <c r="BH112" s="1081">
        <v>150000</v>
      </c>
      <c r="BI112" s="1051" t="s">
        <v>0</v>
      </c>
      <c r="BJ112" s="1081" t="s">
        <v>48</v>
      </c>
      <c r="BK112" s="1081" t="s">
        <v>48</v>
      </c>
      <c r="BL112" s="1051" t="s">
        <v>5898</v>
      </c>
      <c r="BM112" s="1104" t="s">
        <v>5899</v>
      </c>
      <c r="BN112" s="1095" t="s">
        <v>5900</v>
      </c>
      <c r="BO112" s="1095" t="s">
        <v>5901</v>
      </c>
      <c r="BP112" s="1545" t="s">
        <v>5902</v>
      </c>
      <c r="BQ112" s="1095" t="s">
        <v>2574</v>
      </c>
      <c r="BR112" s="1095" t="s">
        <v>5903</v>
      </c>
      <c r="BS112" s="1095"/>
      <c r="BT112" s="1126" t="s">
        <v>5904</v>
      </c>
      <c r="BU112" s="1266" t="s">
        <v>5862</v>
      </c>
      <c r="BV112" s="1235" t="s">
        <v>5862</v>
      </c>
      <c r="BW112" s="1188"/>
    </row>
    <row r="113" s="1193" customFormat="1" ht="14.1" customHeight="1" spans="2:75">
      <c r="B113" s="1563" t="s">
        <v>866</v>
      </c>
      <c r="C113" s="838" t="s">
        <v>5905</v>
      </c>
      <c r="D113" s="838" t="s">
        <v>5906</v>
      </c>
      <c r="E113" s="1044" t="s">
        <v>5907</v>
      </c>
      <c r="F113" s="1044" t="s">
        <v>43</v>
      </c>
      <c r="G113" s="1044" t="s">
        <v>96</v>
      </c>
      <c r="H113" s="1044" t="s">
        <v>96</v>
      </c>
      <c r="I113" s="1051" t="s">
        <v>2832</v>
      </c>
      <c r="J113" s="1051" t="s">
        <v>4970</v>
      </c>
      <c r="K113" s="1051" t="s">
        <v>5130</v>
      </c>
      <c r="L113" s="1052">
        <v>42798</v>
      </c>
      <c r="M113" s="1052">
        <v>42855</v>
      </c>
      <c r="N113" s="1202">
        <v>42916</v>
      </c>
      <c r="O113" s="1202">
        <v>42978</v>
      </c>
      <c r="P113" s="1052">
        <v>43008</v>
      </c>
      <c r="Q113" s="1052"/>
      <c r="R113" s="1052"/>
      <c r="S113" s="1052"/>
      <c r="T113" s="1052"/>
      <c r="U113" s="1052"/>
      <c r="V113" s="1052"/>
      <c r="W113" s="1052"/>
      <c r="X113" s="1052"/>
      <c r="Y113" s="1052"/>
      <c r="Z113" s="1052"/>
      <c r="AA113" s="1052"/>
      <c r="AB113" s="1052"/>
      <c r="AC113" s="1052"/>
      <c r="AD113" s="1052"/>
      <c r="AE113" s="1052"/>
      <c r="AF113" s="1052"/>
      <c r="AG113" s="1052"/>
      <c r="AH113" s="1052"/>
      <c r="AI113" s="1052"/>
      <c r="AJ113" s="1052"/>
      <c r="AK113" s="1052"/>
      <c r="AL113" s="1052"/>
      <c r="AM113" s="1052"/>
      <c r="AN113" s="1052"/>
      <c r="AO113" s="1052"/>
      <c r="AP113" s="1052"/>
      <c r="AQ113" s="1052"/>
      <c r="AR113" s="1052"/>
      <c r="AS113" s="1052"/>
      <c r="AT113" s="1052"/>
      <c r="AU113" s="1052"/>
      <c r="AV113" s="1052"/>
      <c r="AW113" s="325">
        <v>7.50135289351601</v>
      </c>
      <c r="AX113" s="1247" t="s">
        <v>2569</v>
      </c>
      <c r="AY113" s="1080">
        <v>8000000</v>
      </c>
      <c r="AZ113" s="1080">
        <v>1000000</v>
      </c>
      <c r="BA113" s="1081" t="s">
        <v>583</v>
      </c>
      <c r="BB113" s="1088"/>
      <c r="BC113" s="1081">
        <v>1000000</v>
      </c>
      <c r="BD113" s="1080"/>
      <c r="BE113" s="1080"/>
      <c r="BF113" s="1081" t="s">
        <v>583</v>
      </c>
      <c r="BG113" s="1081">
        <v>500000</v>
      </c>
      <c r="BH113" s="1081">
        <v>250000</v>
      </c>
      <c r="BI113" s="1051" t="s">
        <v>0</v>
      </c>
      <c r="BJ113" s="1081" t="s">
        <v>48</v>
      </c>
      <c r="BK113" s="1081" t="s">
        <v>48</v>
      </c>
      <c r="BL113" s="1051"/>
      <c r="BM113" s="1104" t="s">
        <v>5908</v>
      </c>
      <c r="BN113" s="1095" t="s">
        <v>5909</v>
      </c>
      <c r="BO113" s="1095" t="s">
        <v>5910</v>
      </c>
      <c r="BP113" s="1545" t="s">
        <v>5911</v>
      </c>
      <c r="BQ113" s="1095" t="s">
        <v>5912</v>
      </c>
      <c r="BR113" s="1095"/>
      <c r="BS113" s="1095"/>
      <c r="BT113" s="1126" t="s">
        <v>5913</v>
      </c>
      <c r="BU113" s="1266" t="s">
        <v>5862</v>
      </c>
      <c r="BV113" s="1235" t="s">
        <v>5862</v>
      </c>
      <c r="BW113" s="1188"/>
    </row>
    <row r="114" s="1193" customFormat="1" ht="14.1" customHeight="1" spans="2:75">
      <c r="B114" s="1563" t="s">
        <v>988</v>
      </c>
      <c r="C114" s="838" t="s">
        <v>5914</v>
      </c>
      <c r="D114" s="838" t="s">
        <v>5915</v>
      </c>
      <c r="E114" s="1044" t="s">
        <v>5916</v>
      </c>
      <c r="F114" s="1044" t="s">
        <v>125</v>
      </c>
      <c r="G114" s="1044" t="s">
        <v>44</v>
      </c>
      <c r="H114" s="1044" t="s">
        <v>44</v>
      </c>
      <c r="I114" s="1051" t="s">
        <v>3904</v>
      </c>
      <c r="J114" s="1051" t="s">
        <v>4970</v>
      </c>
      <c r="K114" s="1051" t="s">
        <v>5917</v>
      </c>
      <c r="L114" s="1052">
        <v>42816</v>
      </c>
      <c r="M114" s="1052">
        <v>42907</v>
      </c>
      <c r="N114" s="1052">
        <v>42947</v>
      </c>
      <c r="O114" s="1202">
        <v>42978</v>
      </c>
      <c r="P114" s="1205">
        <v>43008</v>
      </c>
      <c r="Q114" s="1052"/>
      <c r="R114" s="1052"/>
      <c r="S114" s="1052"/>
      <c r="T114" s="1052"/>
      <c r="U114" s="1052"/>
      <c r="V114" s="1052"/>
      <c r="W114" s="1052"/>
      <c r="X114" s="1052"/>
      <c r="Y114" s="1052"/>
      <c r="Z114" s="1052"/>
      <c r="AA114" s="1052"/>
      <c r="AB114" s="1052"/>
      <c r="AC114" s="1052"/>
      <c r="AD114" s="1052"/>
      <c r="AE114" s="1052"/>
      <c r="AF114" s="1052"/>
      <c r="AG114" s="1052"/>
      <c r="AH114" s="1052"/>
      <c r="AI114" s="1052"/>
      <c r="AJ114" s="1052"/>
      <c r="AK114" s="1052"/>
      <c r="AL114" s="1052"/>
      <c r="AM114" s="1052"/>
      <c r="AN114" s="1052"/>
      <c r="AO114" s="1052"/>
      <c r="AP114" s="1052"/>
      <c r="AQ114" s="1052"/>
      <c r="AR114" s="1052"/>
      <c r="AS114" s="1052"/>
      <c r="AT114" s="1052"/>
      <c r="AU114" s="1052"/>
      <c r="AV114" s="1052"/>
      <c r="AW114" s="325">
        <v>7.50135289351601</v>
      </c>
      <c r="AX114" s="1247" t="s">
        <v>2569</v>
      </c>
      <c r="AY114" s="1080">
        <v>5500000</v>
      </c>
      <c r="AZ114" s="1080">
        <v>250000</v>
      </c>
      <c r="BA114" s="1081" t="s">
        <v>583</v>
      </c>
      <c r="BB114" s="1088"/>
      <c r="BC114" s="1081" t="s">
        <v>583</v>
      </c>
      <c r="BD114" s="1080"/>
      <c r="BE114" s="1080"/>
      <c r="BF114" s="1081" t="s">
        <v>583</v>
      </c>
      <c r="BG114" s="1081">
        <v>500000</v>
      </c>
      <c r="BH114" s="1081">
        <v>150000</v>
      </c>
      <c r="BI114" s="1051" t="s">
        <v>0</v>
      </c>
      <c r="BJ114" s="1081" t="s">
        <v>48</v>
      </c>
      <c r="BK114" s="1081" t="s">
        <v>48</v>
      </c>
      <c r="BL114" s="1051"/>
      <c r="BM114" s="1104" t="s">
        <v>5918</v>
      </c>
      <c r="BN114" s="1095"/>
      <c r="BO114" s="1254" t="s">
        <v>5919</v>
      </c>
      <c r="BP114" s="1095" t="s">
        <v>5920</v>
      </c>
      <c r="BQ114" s="1095" t="s">
        <v>5921</v>
      </c>
      <c r="BR114" s="1095"/>
      <c r="BS114" s="1095" t="s">
        <v>5922</v>
      </c>
      <c r="BT114" s="1126" t="s">
        <v>5923</v>
      </c>
      <c r="BU114" s="1266" t="s">
        <v>5862</v>
      </c>
      <c r="BV114" s="1235" t="s">
        <v>5862</v>
      </c>
      <c r="BW114" s="1188"/>
    </row>
    <row r="115" s="1193" customFormat="1" ht="14.1" customHeight="1" spans="2:75">
      <c r="B115" s="1563" t="s">
        <v>1044</v>
      </c>
      <c r="C115" s="838" t="s">
        <v>950</v>
      </c>
      <c r="D115" s="1242" t="s">
        <v>951</v>
      </c>
      <c r="E115" s="1046" t="s">
        <v>952</v>
      </c>
      <c r="F115" s="1201" t="s">
        <v>125</v>
      </c>
      <c r="G115" s="1201" t="s">
        <v>44</v>
      </c>
      <c r="H115" s="1201" t="s">
        <v>44</v>
      </c>
      <c r="I115" s="1051" t="s">
        <v>2832</v>
      </c>
      <c r="J115" s="1051" t="s">
        <v>4970</v>
      </c>
      <c r="K115" s="1051" t="s">
        <v>5917</v>
      </c>
      <c r="L115" s="1208">
        <v>42824</v>
      </c>
      <c r="M115" s="1208">
        <v>42907</v>
      </c>
      <c r="N115" s="1202">
        <v>42978</v>
      </c>
      <c r="O115" s="1205">
        <v>43008</v>
      </c>
      <c r="P115" s="1245"/>
      <c r="Q115" s="1054"/>
      <c r="R115" s="1208"/>
      <c r="S115" s="1208"/>
      <c r="T115" s="1208"/>
      <c r="U115" s="1208"/>
      <c r="V115" s="1208"/>
      <c r="W115" s="1054"/>
      <c r="X115" s="1208"/>
      <c r="Y115" s="1208"/>
      <c r="Z115" s="1208"/>
      <c r="AA115" s="1208"/>
      <c r="AB115" s="1208"/>
      <c r="AC115" s="1208"/>
      <c r="AD115" s="1208"/>
      <c r="AE115" s="1208"/>
      <c r="AF115" s="1208"/>
      <c r="AG115" s="1208"/>
      <c r="AH115" s="1208"/>
      <c r="AI115" s="1208"/>
      <c r="AJ115" s="1208"/>
      <c r="AK115" s="1245"/>
      <c r="AL115" s="1245"/>
      <c r="AM115" s="1245"/>
      <c r="AN115" s="1245"/>
      <c r="AO115" s="1245"/>
      <c r="AP115" s="1245"/>
      <c r="AQ115" s="1245"/>
      <c r="AR115" s="1245"/>
      <c r="AS115" s="1245"/>
      <c r="AT115" s="1245"/>
      <c r="AU115" s="1245"/>
      <c r="AV115" s="1245"/>
      <c r="AW115" s="325">
        <v>7.50135289351601</v>
      </c>
      <c r="AX115" s="1247" t="s">
        <v>2569</v>
      </c>
      <c r="AY115" s="1086">
        <v>4000000</v>
      </c>
      <c r="AZ115" s="1086">
        <v>250000</v>
      </c>
      <c r="BA115" s="1086" t="s">
        <v>583</v>
      </c>
      <c r="BB115" s="1088" t="s">
        <v>583</v>
      </c>
      <c r="BC115" s="1086" t="s">
        <v>583</v>
      </c>
      <c r="BD115" s="1086"/>
      <c r="BE115" s="1220"/>
      <c r="BF115" s="1086" t="s">
        <v>583</v>
      </c>
      <c r="BG115" s="958">
        <v>500000</v>
      </c>
      <c r="BH115" s="1086">
        <v>150000</v>
      </c>
      <c r="BI115" s="1051" t="s">
        <v>0</v>
      </c>
      <c r="BJ115" s="1081" t="s">
        <v>48</v>
      </c>
      <c r="BK115" s="1096" t="s">
        <v>48</v>
      </c>
      <c r="BL115" s="1051"/>
      <c r="BM115" s="1104" t="s">
        <v>954</v>
      </c>
      <c r="BN115" s="1095" t="s">
        <v>955</v>
      </c>
      <c r="BO115" s="1095" t="s">
        <v>5924</v>
      </c>
      <c r="BP115" s="1110" t="s">
        <v>957</v>
      </c>
      <c r="BQ115" s="1110" t="s">
        <v>5925</v>
      </c>
      <c r="BR115" s="1110"/>
      <c r="BS115" s="1111"/>
      <c r="BT115" s="229" t="s">
        <v>5926</v>
      </c>
      <c r="BU115" s="1266" t="s">
        <v>5862</v>
      </c>
      <c r="BV115" s="1235" t="s">
        <v>5862</v>
      </c>
      <c r="BW115" s="1188"/>
    </row>
    <row r="116" s="1193" customFormat="1" ht="14.1" customHeight="1" spans="2:75">
      <c r="B116" s="1563" t="s">
        <v>1053</v>
      </c>
      <c r="C116" s="838" t="s">
        <v>5927</v>
      </c>
      <c r="D116" s="1242" t="s">
        <v>5928</v>
      </c>
      <c r="E116" s="1046" t="s">
        <v>5929</v>
      </c>
      <c r="F116" s="1201" t="s">
        <v>125</v>
      </c>
      <c r="G116" s="1201" t="s">
        <v>254</v>
      </c>
      <c r="H116" s="1201" t="s">
        <v>254</v>
      </c>
      <c r="I116" s="1051" t="s">
        <v>1793</v>
      </c>
      <c r="J116" s="1051" t="s">
        <v>4970</v>
      </c>
      <c r="K116" s="1051" t="s">
        <v>5930</v>
      </c>
      <c r="L116" s="1208">
        <v>42830</v>
      </c>
      <c r="M116" s="1208">
        <v>42886</v>
      </c>
      <c r="N116" s="1208">
        <v>42916</v>
      </c>
      <c r="O116" s="1052">
        <v>42978</v>
      </c>
      <c r="P116" s="1211">
        <v>43008</v>
      </c>
      <c r="Q116" s="1054"/>
      <c r="R116" s="1208"/>
      <c r="S116" s="1208"/>
      <c r="T116" s="1208"/>
      <c r="U116" s="1208"/>
      <c r="V116" s="1208"/>
      <c r="W116" s="1054"/>
      <c r="X116" s="1208"/>
      <c r="Y116" s="1208"/>
      <c r="Z116" s="1208"/>
      <c r="AA116" s="1208"/>
      <c r="AB116" s="1208"/>
      <c r="AC116" s="1208"/>
      <c r="AD116" s="1208"/>
      <c r="AE116" s="1208"/>
      <c r="AF116" s="1208"/>
      <c r="AG116" s="1208"/>
      <c r="AH116" s="1208"/>
      <c r="AI116" s="1208"/>
      <c r="AJ116" s="1208"/>
      <c r="AK116" s="1245"/>
      <c r="AL116" s="1245"/>
      <c r="AM116" s="1245"/>
      <c r="AN116" s="1245"/>
      <c r="AO116" s="1245"/>
      <c r="AP116" s="1245"/>
      <c r="AQ116" s="1245"/>
      <c r="AR116" s="1245"/>
      <c r="AS116" s="1245"/>
      <c r="AT116" s="1245"/>
      <c r="AU116" s="1245"/>
      <c r="AV116" s="1245"/>
      <c r="AW116" s="325">
        <v>7.50135289351601</v>
      </c>
      <c r="AX116" s="1247" t="s">
        <v>2569</v>
      </c>
      <c r="AY116" s="1086">
        <v>5000000</v>
      </c>
      <c r="AZ116" s="1086">
        <v>250000</v>
      </c>
      <c r="BA116" s="1086" t="s">
        <v>583</v>
      </c>
      <c r="BB116" s="1088" t="s">
        <v>583</v>
      </c>
      <c r="BC116" s="1086" t="s">
        <v>583</v>
      </c>
      <c r="BD116" s="1086"/>
      <c r="BE116" s="1220"/>
      <c r="BF116" s="1086" t="s">
        <v>583</v>
      </c>
      <c r="BG116" s="1086">
        <v>300000</v>
      </c>
      <c r="BH116" s="1086">
        <v>250000</v>
      </c>
      <c r="BI116" s="1051" t="s">
        <v>0</v>
      </c>
      <c r="BJ116" s="1081" t="s">
        <v>48</v>
      </c>
      <c r="BK116" s="1096" t="s">
        <v>5931</v>
      </c>
      <c r="BL116" s="1051"/>
      <c r="BM116" s="1104" t="s">
        <v>5932</v>
      </c>
      <c r="BN116" s="1095" t="s">
        <v>5933</v>
      </c>
      <c r="BO116" s="1095" t="s">
        <v>5934</v>
      </c>
      <c r="BP116" s="1110" t="s">
        <v>5935</v>
      </c>
      <c r="BQ116" s="1110" t="s">
        <v>5936</v>
      </c>
      <c r="BR116" s="1110" t="s">
        <v>5937</v>
      </c>
      <c r="BS116" s="1111" t="s">
        <v>5938</v>
      </c>
      <c r="BT116" s="1095" t="s">
        <v>5939</v>
      </c>
      <c r="BU116" s="1266" t="s">
        <v>5862</v>
      </c>
      <c r="BV116" s="1235" t="s">
        <v>5862</v>
      </c>
      <c r="BW116" s="1188"/>
    </row>
    <row r="117" s="1193" customFormat="1" ht="14.1" customHeight="1" spans="2:75">
      <c r="B117" s="1563" t="s">
        <v>1077</v>
      </c>
      <c r="C117" s="838" t="s">
        <v>5940</v>
      </c>
      <c r="D117" s="1038" t="s">
        <v>5941</v>
      </c>
      <c r="E117" s="1046" t="s">
        <v>5942</v>
      </c>
      <c r="F117" s="1201" t="s">
        <v>43</v>
      </c>
      <c r="G117" s="1201" t="s">
        <v>404</v>
      </c>
      <c r="H117" s="1201" t="s">
        <v>404</v>
      </c>
      <c r="I117" s="1051" t="s">
        <v>3089</v>
      </c>
      <c r="J117" s="1051" t="s">
        <v>4970</v>
      </c>
      <c r="K117" s="1051" t="s">
        <v>5943</v>
      </c>
      <c r="L117" s="1054">
        <v>42835</v>
      </c>
      <c r="M117" s="1054">
        <v>42886</v>
      </c>
      <c r="N117" s="1202">
        <v>42916</v>
      </c>
      <c r="O117" s="1052">
        <v>42978</v>
      </c>
      <c r="P117" s="1205">
        <v>43008</v>
      </c>
      <c r="Q117" s="1054"/>
      <c r="R117" s="1054"/>
      <c r="S117" s="1054"/>
      <c r="T117" s="1054"/>
      <c r="U117" s="1054"/>
      <c r="V117" s="1054"/>
      <c r="W117" s="1054"/>
      <c r="X117" s="1054"/>
      <c r="Y117" s="1054"/>
      <c r="Z117" s="1054"/>
      <c r="AA117" s="1054"/>
      <c r="AB117" s="1208"/>
      <c r="AC117" s="1208"/>
      <c r="AD117" s="1208"/>
      <c r="AE117" s="1208"/>
      <c r="AF117" s="1208"/>
      <c r="AG117" s="1208"/>
      <c r="AH117" s="1208"/>
      <c r="AI117" s="1208"/>
      <c r="AJ117" s="1208"/>
      <c r="AK117" s="1220"/>
      <c r="AL117" s="1220"/>
      <c r="AM117" s="1220"/>
      <c r="AN117" s="1220"/>
      <c r="AO117" s="1220"/>
      <c r="AP117" s="1220"/>
      <c r="AQ117" s="1220"/>
      <c r="AR117" s="1220"/>
      <c r="AS117" s="1220"/>
      <c r="AT117" s="1220"/>
      <c r="AU117" s="1220"/>
      <c r="AV117" s="1220"/>
      <c r="AW117" s="325">
        <v>7.50135289351601</v>
      </c>
      <c r="AX117" s="1247" t="s">
        <v>2569</v>
      </c>
      <c r="AY117" s="1086">
        <v>9000000</v>
      </c>
      <c r="AZ117" s="1086">
        <v>600000</v>
      </c>
      <c r="BA117" s="1086" t="s">
        <v>583</v>
      </c>
      <c r="BB117" s="1088" t="s">
        <v>583</v>
      </c>
      <c r="BC117" s="1086">
        <v>1500000</v>
      </c>
      <c r="BD117" s="1086"/>
      <c r="BE117" s="1220"/>
      <c r="BF117" s="1086" t="s">
        <v>583</v>
      </c>
      <c r="BG117" s="958">
        <v>500000</v>
      </c>
      <c r="BH117" s="1086">
        <v>250000</v>
      </c>
      <c r="BI117" s="1051" t="s">
        <v>0</v>
      </c>
      <c r="BJ117" s="1081" t="s">
        <v>48</v>
      </c>
      <c r="BK117" s="1096" t="s">
        <v>48</v>
      </c>
      <c r="BL117" s="1051"/>
      <c r="BM117" s="1104" t="s">
        <v>5944</v>
      </c>
      <c r="BN117" s="1095" t="s">
        <v>5945</v>
      </c>
      <c r="BO117" s="1254" t="s">
        <v>5946</v>
      </c>
      <c r="BP117" s="1110" t="s">
        <v>5947</v>
      </c>
      <c r="BQ117" s="1110" t="s">
        <v>5948</v>
      </c>
      <c r="BR117" s="1110"/>
      <c r="BS117" s="1565" t="s">
        <v>5949</v>
      </c>
      <c r="BT117" s="229" t="s">
        <v>5950</v>
      </c>
      <c r="BU117" s="1266" t="s">
        <v>5862</v>
      </c>
      <c r="BV117" s="1235" t="s">
        <v>5862</v>
      </c>
      <c r="BW117" s="1188"/>
    </row>
    <row r="118" s="1193" customFormat="1" ht="14.1" customHeight="1" spans="2:75">
      <c r="B118" s="1563" t="s">
        <v>1097</v>
      </c>
      <c r="C118" s="838" t="s">
        <v>5951</v>
      </c>
      <c r="D118" s="1038" t="s">
        <v>5952</v>
      </c>
      <c r="E118" s="979">
        <v>30981</v>
      </c>
      <c r="F118" s="922" t="s">
        <v>43</v>
      </c>
      <c r="G118" s="922" t="s">
        <v>254</v>
      </c>
      <c r="H118" s="922" t="s">
        <v>254</v>
      </c>
      <c r="I118" s="1051" t="s">
        <v>3089</v>
      </c>
      <c r="J118" s="1051" t="s">
        <v>4970</v>
      </c>
      <c r="K118" s="1051" t="s">
        <v>5325</v>
      </c>
      <c r="L118" s="1054">
        <v>42831</v>
      </c>
      <c r="M118" s="1054">
        <v>42886</v>
      </c>
      <c r="N118" s="1208">
        <v>42916</v>
      </c>
      <c r="O118" s="1052">
        <v>43008</v>
      </c>
      <c r="P118" s="1054"/>
      <c r="Q118" s="1054"/>
      <c r="R118" s="1054"/>
      <c r="S118" s="1054"/>
      <c r="T118" s="1054"/>
      <c r="U118" s="1054"/>
      <c r="V118" s="1054"/>
      <c r="W118" s="1054"/>
      <c r="X118" s="1054"/>
      <c r="Y118" s="1054"/>
      <c r="Z118" s="1054"/>
      <c r="AA118" s="1054"/>
      <c r="AB118" s="1208"/>
      <c r="AC118" s="1208"/>
      <c r="AD118" s="1208"/>
      <c r="AE118" s="1208"/>
      <c r="AF118" s="1208"/>
      <c r="AG118" s="1208"/>
      <c r="AH118" s="1208"/>
      <c r="AI118" s="1208"/>
      <c r="AJ118" s="1208"/>
      <c r="AK118" s="1220"/>
      <c r="AL118" s="1220"/>
      <c r="AM118" s="1220"/>
      <c r="AN118" s="1220"/>
      <c r="AO118" s="1220"/>
      <c r="AP118" s="1220"/>
      <c r="AQ118" s="1220"/>
      <c r="AR118" s="1220"/>
      <c r="AS118" s="1220"/>
      <c r="AT118" s="1220"/>
      <c r="AU118" s="1220"/>
      <c r="AV118" s="1220"/>
      <c r="AW118" s="325">
        <v>7.50135289351601</v>
      </c>
      <c r="AX118" s="1247" t="s">
        <v>2569</v>
      </c>
      <c r="AY118" s="1086">
        <v>12000000</v>
      </c>
      <c r="AZ118" s="1086">
        <v>1000000</v>
      </c>
      <c r="BA118" s="1086" t="s">
        <v>583</v>
      </c>
      <c r="BB118" s="1088">
        <v>1750000</v>
      </c>
      <c r="BC118" s="1086">
        <v>1500000</v>
      </c>
      <c r="BD118" s="1086"/>
      <c r="BE118" s="1220"/>
      <c r="BF118" s="1086" t="s">
        <v>583</v>
      </c>
      <c r="BG118" s="958">
        <v>500000</v>
      </c>
      <c r="BH118" s="1086">
        <v>250000</v>
      </c>
      <c r="BI118" s="1051" t="s">
        <v>0</v>
      </c>
      <c r="BJ118" s="1081" t="s">
        <v>48</v>
      </c>
      <c r="BK118" s="1096" t="s">
        <v>48</v>
      </c>
      <c r="BL118" s="1051" t="s">
        <v>5953</v>
      </c>
      <c r="BM118" s="1104" t="s">
        <v>583</v>
      </c>
      <c r="BN118" s="962" t="s">
        <v>5954</v>
      </c>
      <c r="BO118" s="1014" t="s">
        <v>5955</v>
      </c>
      <c r="BP118" s="963" t="s">
        <v>5956</v>
      </c>
      <c r="BQ118" s="963" t="s">
        <v>5957</v>
      </c>
      <c r="BR118" s="963">
        <v>9017303398</v>
      </c>
      <c r="BS118" s="1111"/>
      <c r="BT118" s="962" t="s">
        <v>5958</v>
      </c>
      <c r="BU118" s="1266" t="s">
        <v>5862</v>
      </c>
      <c r="BV118" s="1235" t="s">
        <v>5862</v>
      </c>
      <c r="BW118" s="1188"/>
    </row>
    <row r="119" s="1193" customFormat="1" ht="14.1" customHeight="1" spans="2:75">
      <c r="B119" s="1563" t="s">
        <v>5959</v>
      </c>
      <c r="C119" s="838" t="s">
        <v>5960</v>
      </c>
      <c r="D119" s="1199" t="s">
        <v>5961</v>
      </c>
      <c r="E119" s="1044" t="s">
        <v>5962</v>
      </c>
      <c r="F119" s="1044" t="s">
        <v>43</v>
      </c>
      <c r="G119" s="1044" t="s">
        <v>254</v>
      </c>
      <c r="H119" s="1044" t="s">
        <v>254</v>
      </c>
      <c r="I119" s="1051" t="s">
        <v>3528</v>
      </c>
      <c r="J119" s="1051" t="s">
        <v>4970</v>
      </c>
      <c r="K119" s="1051" t="s">
        <v>5229</v>
      </c>
      <c r="L119" s="1202">
        <v>42809</v>
      </c>
      <c r="M119" s="1202">
        <v>42855</v>
      </c>
      <c r="N119" s="1202">
        <v>42886</v>
      </c>
      <c r="O119" s="1208">
        <v>42916</v>
      </c>
      <c r="P119" s="1202">
        <v>42978</v>
      </c>
      <c r="Q119" s="1211">
        <v>43008</v>
      </c>
      <c r="R119" s="1202"/>
      <c r="S119" s="1202"/>
      <c r="T119" s="1202"/>
      <c r="U119" s="1202"/>
      <c r="V119" s="1202"/>
      <c r="W119" s="1246"/>
      <c r="X119" s="1202"/>
      <c r="Y119" s="1202"/>
      <c r="Z119" s="1202"/>
      <c r="AA119" s="1202"/>
      <c r="AB119" s="1202"/>
      <c r="AC119" s="1202"/>
      <c r="AD119" s="1202"/>
      <c r="AE119" s="1202"/>
      <c r="AF119" s="1202"/>
      <c r="AG119" s="1202"/>
      <c r="AH119" s="1202"/>
      <c r="AI119" s="1202"/>
      <c r="AJ119" s="1202"/>
      <c r="AK119" s="1202"/>
      <c r="AL119" s="1202"/>
      <c r="AM119" s="1202"/>
      <c r="AN119" s="1202"/>
      <c r="AO119" s="1202"/>
      <c r="AP119" s="1202"/>
      <c r="AQ119" s="1202"/>
      <c r="AR119" s="1202"/>
      <c r="AS119" s="1202"/>
      <c r="AT119" s="1202"/>
      <c r="AU119" s="1202"/>
      <c r="AV119" s="1202"/>
      <c r="AW119" s="325">
        <v>7.50135289351601</v>
      </c>
      <c r="AX119" s="187" t="s">
        <v>2569</v>
      </c>
      <c r="AY119" s="1080">
        <v>10000000</v>
      </c>
      <c r="AZ119" s="1080">
        <v>1000000</v>
      </c>
      <c r="BA119" s="1081" t="s">
        <v>583</v>
      </c>
      <c r="BB119" s="1088"/>
      <c r="BC119" s="1081" t="s">
        <v>583</v>
      </c>
      <c r="BD119" s="1080"/>
      <c r="BE119" s="1080"/>
      <c r="BF119" s="1081" t="s">
        <v>583</v>
      </c>
      <c r="BG119" s="1081" t="s">
        <v>583</v>
      </c>
      <c r="BH119" s="1081">
        <v>250000</v>
      </c>
      <c r="BI119" s="1051" t="s">
        <v>0</v>
      </c>
      <c r="BJ119" s="1081" t="s">
        <v>48</v>
      </c>
      <c r="BK119" s="1081" t="s">
        <v>48</v>
      </c>
      <c r="BL119" s="1051"/>
      <c r="BM119" s="1104" t="s">
        <v>5963</v>
      </c>
      <c r="BN119" s="1095"/>
      <c r="BO119" s="1095" t="s">
        <v>5964</v>
      </c>
      <c r="BP119" s="1545" t="s">
        <v>5965</v>
      </c>
      <c r="BQ119" s="1095" t="s">
        <v>2574</v>
      </c>
      <c r="BR119" s="1095"/>
      <c r="BS119" s="1095"/>
      <c r="BT119" s="1126" t="s">
        <v>5966</v>
      </c>
      <c r="BU119" s="1266" t="s">
        <v>5862</v>
      </c>
      <c r="BV119" s="1235" t="s">
        <v>5862</v>
      </c>
      <c r="BW119" s="1188"/>
    </row>
    <row r="120" s="1193" customFormat="1" ht="14.1" customHeight="1" spans="2:75">
      <c r="B120" s="1563" t="s">
        <v>1205</v>
      </c>
      <c r="C120" s="838" t="s">
        <v>5967</v>
      </c>
      <c r="D120" s="1199" t="s">
        <v>5968</v>
      </c>
      <c r="E120" s="1044" t="s">
        <v>5969</v>
      </c>
      <c r="F120" s="1044" t="s">
        <v>43</v>
      </c>
      <c r="G120" s="1044" t="s">
        <v>254</v>
      </c>
      <c r="H120" s="1044" t="s">
        <v>254</v>
      </c>
      <c r="I120" s="1051" t="s">
        <v>3528</v>
      </c>
      <c r="J120" s="1051" t="s">
        <v>4970</v>
      </c>
      <c r="K120" s="1051" t="s">
        <v>5645</v>
      </c>
      <c r="L120" s="1202">
        <v>42768</v>
      </c>
      <c r="M120" s="1202">
        <v>42855</v>
      </c>
      <c r="N120" s="1202">
        <v>42916</v>
      </c>
      <c r="O120" s="1202">
        <v>43008</v>
      </c>
      <c r="P120" s="1202"/>
      <c r="Q120" s="1202"/>
      <c r="R120" s="1202"/>
      <c r="S120" s="1202"/>
      <c r="T120" s="1202"/>
      <c r="U120" s="1202"/>
      <c r="V120" s="1202"/>
      <c r="W120" s="1202"/>
      <c r="X120" s="1202"/>
      <c r="Y120" s="1202"/>
      <c r="Z120" s="1202"/>
      <c r="AA120" s="1202"/>
      <c r="AB120" s="1202"/>
      <c r="AC120" s="1202"/>
      <c r="AD120" s="1202"/>
      <c r="AE120" s="1202"/>
      <c r="AF120" s="1202"/>
      <c r="AG120" s="1202"/>
      <c r="AH120" s="1202"/>
      <c r="AI120" s="1202"/>
      <c r="AJ120" s="1202"/>
      <c r="AK120" s="1202"/>
      <c r="AL120" s="1202"/>
      <c r="AM120" s="1202"/>
      <c r="AN120" s="1202"/>
      <c r="AO120" s="1202"/>
      <c r="AP120" s="1202"/>
      <c r="AQ120" s="1202"/>
      <c r="AR120" s="1202"/>
      <c r="AS120" s="1202"/>
      <c r="AT120" s="1202"/>
      <c r="AU120" s="1202"/>
      <c r="AV120" s="1202"/>
      <c r="AW120" s="325">
        <v>7.50135289351601</v>
      </c>
      <c r="AX120" s="187" t="s">
        <v>2569</v>
      </c>
      <c r="AY120" s="1080">
        <v>5000000</v>
      </c>
      <c r="AZ120" s="1080">
        <v>250000</v>
      </c>
      <c r="BA120" s="1081"/>
      <c r="BB120" s="1088"/>
      <c r="BC120" s="1081"/>
      <c r="BD120" s="1080"/>
      <c r="BE120" s="1080"/>
      <c r="BF120" s="1081"/>
      <c r="BG120" s="1081">
        <v>500000</v>
      </c>
      <c r="BH120" s="1081">
        <v>250000</v>
      </c>
      <c r="BI120" s="1051" t="s">
        <v>0</v>
      </c>
      <c r="BJ120" s="1081" t="s">
        <v>48</v>
      </c>
      <c r="BK120" s="1252" t="s">
        <v>48</v>
      </c>
      <c r="BL120" s="1051"/>
      <c r="BM120" s="1104" t="s">
        <v>5970</v>
      </c>
      <c r="BN120" s="1095" t="s">
        <v>5971</v>
      </c>
      <c r="BO120" s="1095" t="s">
        <v>5972</v>
      </c>
      <c r="BP120" s="1545" t="s">
        <v>5973</v>
      </c>
      <c r="BQ120" s="1095" t="s">
        <v>5974</v>
      </c>
      <c r="BR120" s="1095"/>
      <c r="BS120" s="1095"/>
      <c r="BT120" s="1126" t="s">
        <v>5975</v>
      </c>
      <c r="BU120" s="1267" t="s">
        <v>5862</v>
      </c>
      <c r="BV120" s="1235" t="s">
        <v>5862</v>
      </c>
      <c r="BW120" s="1188"/>
    </row>
    <row r="121" s="1193" customFormat="1" ht="14.1" customHeight="1" spans="2:75">
      <c r="B121" s="1563" t="s">
        <v>1216</v>
      </c>
      <c r="C121" s="838" t="s">
        <v>5976</v>
      </c>
      <c r="D121" s="1199" t="s">
        <v>5977</v>
      </c>
      <c r="E121" s="1044" t="s">
        <v>5978</v>
      </c>
      <c r="F121" s="1044" t="s">
        <v>43</v>
      </c>
      <c r="G121" s="1044" t="s">
        <v>254</v>
      </c>
      <c r="H121" s="1044" t="s">
        <v>254</v>
      </c>
      <c r="I121" s="1051" t="s">
        <v>3528</v>
      </c>
      <c r="J121" s="1051" t="s">
        <v>4970</v>
      </c>
      <c r="K121" s="1051" t="s">
        <v>5979</v>
      </c>
      <c r="L121" s="1202">
        <v>42879</v>
      </c>
      <c r="M121" s="1202">
        <v>43062</v>
      </c>
      <c r="N121" s="1202" t="s">
        <v>583</v>
      </c>
      <c r="O121" s="1202" t="s">
        <v>583</v>
      </c>
      <c r="P121" s="1052" t="s">
        <v>583</v>
      </c>
      <c r="Q121" s="1202" t="s">
        <v>583</v>
      </c>
      <c r="R121" s="1202" t="s">
        <v>583</v>
      </c>
      <c r="S121" s="1202"/>
      <c r="T121" s="1202"/>
      <c r="U121" s="1202"/>
      <c r="V121" s="1202"/>
      <c r="W121" s="1202"/>
      <c r="X121" s="1202"/>
      <c r="Y121" s="1202"/>
      <c r="Z121" s="1202"/>
      <c r="AA121" s="1202"/>
      <c r="AB121" s="1202"/>
      <c r="AC121" s="1202"/>
      <c r="AD121" s="1202"/>
      <c r="AE121" s="1202"/>
      <c r="AF121" s="1202"/>
      <c r="AG121" s="1202"/>
      <c r="AH121" s="1202"/>
      <c r="AI121" s="1202"/>
      <c r="AJ121" s="1202"/>
      <c r="AK121" s="1202"/>
      <c r="AL121" s="1202"/>
      <c r="AM121" s="1202"/>
      <c r="AN121" s="1202"/>
      <c r="AO121" s="1202"/>
      <c r="AP121" s="1202"/>
      <c r="AQ121" s="1202"/>
      <c r="AR121" s="1202"/>
      <c r="AS121" s="1202"/>
      <c r="AT121" s="1202"/>
      <c r="AU121" s="1202"/>
      <c r="AV121" s="1202"/>
      <c r="AW121" s="325">
        <v>61.501352893516</v>
      </c>
      <c r="AX121" s="187" t="s">
        <v>745</v>
      </c>
      <c r="AY121" s="1080">
        <v>13000000</v>
      </c>
      <c r="AZ121" s="1080" t="s">
        <v>0</v>
      </c>
      <c r="BA121" s="1081" t="s">
        <v>0</v>
      </c>
      <c r="BB121" s="1088" t="s">
        <v>0</v>
      </c>
      <c r="BC121" s="1081" t="s">
        <v>0</v>
      </c>
      <c r="BD121" s="1080" t="s">
        <v>0</v>
      </c>
      <c r="BE121" s="1080" t="s">
        <v>0</v>
      </c>
      <c r="BF121" s="1081" t="s">
        <v>0</v>
      </c>
      <c r="BG121" s="1081" t="s">
        <v>0</v>
      </c>
      <c r="BH121" s="1081" t="s">
        <v>0</v>
      </c>
      <c r="BI121" s="1051" t="s">
        <v>0</v>
      </c>
      <c r="BJ121" s="1051" t="s">
        <v>0</v>
      </c>
      <c r="BK121" s="1081" t="s">
        <v>48</v>
      </c>
      <c r="BL121" s="927" t="s">
        <v>5980</v>
      </c>
      <c r="BM121" s="1104" t="s">
        <v>5981</v>
      </c>
      <c r="BN121" s="1095" t="s">
        <v>5982</v>
      </c>
      <c r="BO121" s="1095" t="s">
        <v>5983</v>
      </c>
      <c r="BP121" s="1095" t="s">
        <v>5984</v>
      </c>
      <c r="BQ121" s="1095"/>
      <c r="BR121" s="1095"/>
      <c r="BS121" s="1095" t="s">
        <v>5985</v>
      </c>
      <c r="BT121" s="229" t="s">
        <v>5986</v>
      </c>
      <c r="BU121" s="1267" t="s">
        <v>5862</v>
      </c>
      <c r="BV121" s="1235" t="s">
        <v>5862</v>
      </c>
      <c r="BW121" s="1188"/>
    </row>
    <row r="122" s="1193" customFormat="1" ht="14.1" customHeight="1" spans="2:75">
      <c r="B122" s="1563" t="s">
        <v>1257</v>
      </c>
      <c r="C122" s="838" t="s">
        <v>5987</v>
      </c>
      <c r="D122" s="1199" t="s">
        <v>5988</v>
      </c>
      <c r="E122" s="1044" t="s">
        <v>5989</v>
      </c>
      <c r="F122" s="1044" t="s">
        <v>43</v>
      </c>
      <c r="G122" s="1044" t="s">
        <v>254</v>
      </c>
      <c r="H122" s="1044" t="s">
        <v>254</v>
      </c>
      <c r="I122" s="1051" t="s">
        <v>5990</v>
      </c>
      <c r="J122" s="1051"/>
      <c r="K122" s="1051" t="s">
        <v>4998</v>
      </c>
      <c r="L122" s="1202">
        <v>42940</v>
      </c>
      <c r="M122" s="1202">
        <v>43008</v>
      </c>
      <c r="N122" s="1202"/>
      <c r="O122" s="1202"/>
      <c r="P122" s="1206"/>
      <c r="Q122" s="1202"/>
      <c r="R122" s="1202"/>
      <c r="S122" s="1202"/>
      <c r="T122" s="1202"/>
      <c r="U122" s="1202"/>
      <c r="V122" s="1202"/>
      <c r="W122" s="1202"/>
      <c r="X122" s="1202"/>
      <c r="Y122" s="1202"/>
      <c r="Z122" s="1202"/>
      <c r="AA122" s="1202"/>
      <c r="AB122" s="1202"/>
      <c r="AC122" s="1202"/>
      <c r="AD122" s="1202"/>
      <c r="AE122" s="1202"/>
      <c r="AF122" s="1202"/>
      <c r="AG122" s="1202"/>
      <c r="AH122" s="1202"/>
      <c r="AI122" s="1202"/>
      <c r="AJ122" s="1202"/>
      <c r="AK122" s="1202"/>
      <c r="AL122" s="1202"/>
      <c r="AM122" s="1202"/>
      <c r="AN122" s="1202"/>
      <c r="AO122" s="1202"/>
      <c r="AP122" s="1202"/>
      <c r="AQ122" s="1202"/>
      <c r="AR122" s="1202"/>
      <c r="AS122" s="1202"/>
      <c r="AT122" s="1202"/>
      <c r="AU122" s="1202"/>
      <c r="AV122" s="1202"/>
      <c r="AW122" s="325">
        <v>7.50135289351601</v>
      </c>
      <c r="AX122" s="187" t="s">
        <v>2569</v>
      </c>
      <c r="AY122" s="1080">
        <v>6800000</v>
      </c>
      <c r="AZ122" s="1080">
        <v>500000</v>
      </c>
      <c r="BA122" s="1081"/>
      <c r="BB122" s="1088"/>
      <c r="BC122" s="1081">
        <v>1500000</v>
      </c>
      <c r="BD122" s="1080"/>
      <c r="BE122" s="1080"/>
      <c r="BF122" s="1081"/>
      <c r="BG122" s="1081">
        <v>500000</v>
      </c>
      <c r="BH122" s="1081">
        <v>250000</v>
      </c>
      <c r="BI122" s="1051" t="s">
        <v>0</v>
      </c>
      <c r="BJ122" s="1081" t="s">
        <v>48</v>
      </c>
      <c r="BK122" s="1081" t="s">
        <v>48</v>
      </c>
      <c r="BL122" s="1051"/>
      <c r="BM122" s="1104" t="s">
        <v>5991</v>
      </c>
      <c r="BN122" s="1095" t="s">
        <v>5992</v>
      </c>
      <c r="BO122" s="1095" t="s">
        <v>5993</v>
      </c>
      <c r="BP122" s="1545" t="s">
        <v>5994</v>
      </c>
      <c r="BQ122" s="1095" t="s">
        <v>5995</v>
      </c>
      <c r="BR122" s="1095" t="s">
        <v>5996</v>
      </c>
      <c r="BS122" s="1095" t="s">
        <v>5997</v>
      </c>
      <c r="BT122" s="127" t="s">
        <v>5998</v>
      </c>
      <c r="BU122" s="1266" t="s">
        <v>5999</v>
      </c>
      <c r="BV122" s="1235" t="s">
        <v>5862</v>
      </c>
      <c r="BW122" s="1188"/>
    </row>
    <row r="123" s="1193" customFormat="1" ht="14.1" customHeight="1" spans="2:75">
      <c r="B123" s="1563" t="s">
        <v>3347</v>
      </c>
      <c r="C123" s="838" t="s">
        <v>6000</v>
      </c>
      <c r="D123" s="1199" t="s">
        <v>6001</v>
      </c>
      <c r="E123" s="1044" t="s">
        <v>6002</v>
      </c>
      <c r="F123" s="1044" t="s">
        <v>125</v>
      </c>
      <c r="G123" s="1044" t="s">
        <v>44</v>
      </c>
      <c r="H123" s="1044" t="s">
        <v>44</v>
      </c>
      <c r="I123" s="1051" t="s">
        <v>3528</v>
      </c>
      <c r="J123" s="1051"/>
      <c r="K123" s="1051" t="s">
        <v>722</v>
      </c>
      <c r="L123" s="1202">
        <v>42937</v>
      </c>
      <c r="M123" s="1202">
        <v>42978</v>
      </c>
      <c r="N123" s="1205">
        <v>43008</v>
      </c>
      <c r="O123" s="1202"/>
      <c r="P123" s="1206"/>
      <c r="Q123" s="1202"/>
      <c r="R123" s="1202"/>
      <c r="S123" s="1202"/>
      <c r="T123" s="1202"/>
      <c r="U123" s="1202"/>
      <c r="V123" s="1202"/>
      <c r="W123" s="1202"/>
      <c r="X123" s="1202"/>
      <c r="Y123" s="1202"/>
      <c r="Z123" s="1202"/>
      <c r="AA123" s="1202"/>
      <c r="AB123" s="1202"/>
      <c r="AC123" s="1202"/>
      <c r="AD123" s="1202"/>
      <c r="AE123" s="1202"/>
      <c r="AF123" s="1202"/>
      <c r="AG123" s="1202"/>
      <c r="AH123" s="1202"/>
      <c r="AI123" s="1202"/>
      <c r="AJ123" s="1202"/>
      <c r="AK123" s="1202"/>
      <c r="AL123" s="1202"/>
      <c r="AM123" s="1202"/>
      <c r="AN123" s="1202"/>
      <c r="AO123" s="1202"/>
      <c r="AP123" s="1202"/>
      <c r="AQ123" s="1202"/>
      <c r="AR123" s="1202"/>
      <c r="AS123" s="1202"/>
      <c r="AT123" s="1202"/>
      <c r="AU123" s="1202"/>
      <c r="AV123" s="1202"/>
      <c r="AW123" s="325">
        <v>7.50135289351601</v>
      </c>
      <c r="AX123" s="187" t="s">
        <v>2569</v>
      </c>
      <c r="AY123" s="1080">
        <v>3500000</v>
      </c>
      <c r="AZ123" s="1080">
        <v>200000</v>
      </c>
      <c r="BA123" s="1081"/>
      <c r="BB123" s="1088"/>
      <c r="BC123" s="1081"/>
      <c r="BD123" s="1080"/>
      <c r="BE123" s="1080"/>
      <c r="BF123" s="1081"/>
      <c r="BG123" s="1081"/>
      <c r="BH123" s="1081">
        <v>150000</v>
      </c>
      <c r="BI123" s="1051" t="s">
        <v>0</v>
      </c>
      <c r="BJ123" s="1081" t="s">
        <v>48</v>
      </c>
      <c r="BK123" s="1253" t="s">
        <v>5296</v>
      </c>
      <c r="BL123" s="1051"/>
      <c r="BM123" s="1104" t="s">
        <v>6003</v>
      </c>
      <c r="BN123" s="1095"/>
      <c r="BO123" s="1095" t="s">
        <v>6004</v>
      </c>
      <c r="BP123" s="1545" t="s">
        <v>6005</v>
      </c>
      <c r="BQ123" s="1095" t="s">
        <v>6006</v>
      </c>
      <c r="BR123" s="1095"/>
      <c r="BS123" s="1095"/>
      <c r="BT123" s="229" t="s">
        <v>6007</v>
      </c>
      <c r="BU123" s="1266" t="s">
        <v>5862</v>
      </c>
      <c r="BV123" s="1235" t="s">
        <v>5862</v>
      </c>
      <c r="BW123" s="1188"/>
    </row>
    <row r="124" s="1193" customFormat="1" ht="14.1" customHeight="1" spans="2:75">
      <c r="B124" s="1563" t="s">
        <v>1265</v>
      </c>
      <c r="C124" s="838" t="s">
        <v>6008</v>
      </c>
      <c r="D124" s="1199" t="s">
        <v>6009</v>
      </c>
      <c r="E124" s="1044" t="s">
        <v>6010</v>
      </c>
      <c r="F124" s="1044" t="s">
        <v>125</v>
      </c>
      <c r="G124" s="1044" t="s">
        <v>44</v>
      </c>
      <c r="H124" s="1044" t="s">
        <v>44</v>
      </c>
      <c r="I124" s="1051" t="s">
        <v>3528</v>
      </c>
      <c r="J124" s="1051"/>
      <c r="K124" s="1051" t="s">
        <v>722</v>
      </c>
      <c r="L124" s="1202">
        <v>42937</v>
      </c>
      <c r="M124" s="1202">
        <v>42978</v>
      </c>
      <c r="N124" s="1205">
        <v>43008</v>
      </c>
      <c r="O124" s="1202"/>
      <c r="P124" s="1206"/>
      <c r="Q124" s="1202"/>
      <c r="R124" s="1202"/>
      <c r="S124" s="1202"/>
      <c r="T124" s="1202"/>
      <c r="U124" s="1202"/>
      <c r="V124" s="1202"/>
      <c r="W124" s="1202"/>
      <c r="X124" s="1202"/>
      <c r="Y124" s="1202"/>
      <c r="Z124" s="1202"/>
      <c r="AA124" s="1202"/>
      <c r="AB124" s="1202"/>
      <c r="AC124" s="1202"/>
      <c r="AD124" s="1202"/>
      <c r="AE124" s="1202"/>
      <c r="AF124" s="1202"/>
      <c r="AG124" s="1202"/>
      <c r="AH124" s="1202"/>
      <c r="AI124" s="1202"/>
      <c r="AJ124" s="1202"/>
      <c r="AK124" s="1202"/>
      <c r="AL124" s="1202"/>
      <c r="AM124" s="1202"/>
      <c r="AN124" s="1202"/>
      <c r="AO124" s="1202"/>
      <c r="AP124" s="1202"/>
      <c r="AQ124" s="1202"/>
      <c r="AR124" s="1202"/>
      <c r="AS124" s="1202"/>
      <c r="AT124" s="1202"/>
      <c r="AU124" s="1202"/>
      <c r="AV124" s="1202"/>
      <c r="AW124" s="325">
        <v>7.50135289351601</v>
      </c>
      <c r="AX124" s="187" t="s">
        <v>2569</v>
      </c>
      <c r="AY124" s="1080">
        <v>3500000</v>
      </c>
      <c r="AZ124" s="1080">
        <v>200000</v>
      </c>
      <c r="BA124" s="1081"/>
      <c r="BB124" s="1088"/>
      <c r="BC124" s="1081"/>
      <c r="BD124" s="1080"/>
      <c r="BE124" s="1080"/>
      <c r="BF124" s="1081"/>
      <c r="BG124" s="1081"/>
      <c r="BH124" s="1081">
        <v>150000</v>
      </c>
      <c r="BI124" s="1051" t="s">
        <v>0</v>
      </c>
      <c r="BJ124" s="1081" t="s">
        <v>48</v>
      </c>
      <c r="BK124" s="1253" t="s">
        <v>5296</v>
      </c>
      <c r="BL124" s="1051"/>
      <c r="BM124" s="1104" t="s">
        <v>6011</v>
      </c>
      <c r="BN124" s="1095"/>
      <c r="BO124" s="1095" t="s">
        <v>6012</v>
      </c>
      <c r="BP124" s="1545" t="s">
        <v>6013</v>
      </c>
      <c r="BQ124" s="1095" t="s">
        <v>6014</v>
      </c>
      <c r="BR124" s="1095"/>
      <c r="BS124" s="1095"/>
      <c r="BT124" s="127" t="s">
        <v>6015</v>
      </c>
      <c r="BU124" s="1266" t="s">
        <v>5862</v>
      </c>
      <c r="BV124" s="1235" t="s">
        <v>5862</v>
      </c>
      <c r="BW124" s="1188"/>
    </row>
    <row r="125" s="1193" customFormat="1" ht="14.1" customHeight="1" spans="2:75">
      <c r="B125" s="1563" t="s">
        <v>1296</v>
      </c>
      <c r="C125" s="838" t="s">
        <v>6016</v>
      </c>
      <c r="D125" s="1199" t="s">
        <v>6017</v>
      </c>
      <c r="E125" s="1044" t="s">
        <v>6018</v>
      </c>
      <c r="F125" s="1044" t="s">
        <v>125</v>
      </c>
      <c r="G125" s="1044" t="s">
        <v>44</v>
      </c>
      <c r="H125" s="1044" t="s">
        <v>44</v>
      </c>
      <c r="I125" s="1051" t="s">
        <v>3528</v>
      </c>
      <c r="J125" s="1051"/>
      <c r="K125" s="1051" t="s">
        <v>722</v>
      </c>
      <c r="L125" s="1202">
        <v>42934</v>
      </c>
      <c r="M125" s="1202">
        <v>43008</v>
      </c>
      <c r="N125" s="1202"/>
      <c r="O125" s="1202"/>
      <c r="P125" s="1206"/>
      <c r="Q125" s="1202"/>
      <c r="R125" s="1202"/>
      <c r="S125" s="1202"/>
      <c r="T125" s="1202"/>
      <c r="U125" s="1202"/>
      <c r="V125" s="1202"/>
      <c r="W125" s="1202"/>
      <c r="X125" s="1202"/>
      <c r="Y125" s="1202"/>
      <c r="Z125" s="1202"/>
      <c r="AA125" s="1202"/>
      <c r="AB125" s="1202"/>
      <c r="AC125" s="1202"/>
      <c r="AD125" s="1202"/>
      <c r="AE125" s="1202"/>
      <c r="AF125" s="1202"/>
      <c r="AG125" s="1202"/>
      <c r="AH125" s="1202"/>
      <c r="AI125" s="1202"/>
      <c r="AJ125" s="1202"/>
      <c r="AK125" s="1202"/>
      <c r="AL125" s="1202"/>
      <c r="AM125" s="1202"/>
      <c r="AN125" s="1202"/>
      <c r="AO125" s="1202"/>
      <c r="AP125" s="1202"/>
      <c r="AQ125" s="1202"/>
      <c r="AR125" s="1202"/>
      <c r="AS125" s="1202"/>
      <c r="AT125" s="1202"/>
      <c r="AU125" s="1202"/>
      <c r="AV125" s="1202"/>
      <c r="AW125" s="325">
        <v>7.50135289351601</v>
      </c>
      <c r="AX125" s="187" t="s">
        <v>2569</v>
      </c>
      <c r="AY125" s="1080">
        <v>3500000</v>
      </c>
      <c r="AZ125" s="1080">
        <v>200000</v>
      </c>
      <c r="BA125" s="1081"/>
      <c r="BB125" s="1088"/>
      <c r="BC125" s="1081"/>
      <c r="BD125" s="1080"/>
      <c r="BE125" s="1080"/>
      <c r="BF125" s="1081"/>
      <c r="BG125" s="1081">
        <v>500000</v>
      </c>
      <c r="BH125" s="1081">
        <v>150000</v>
      </c>
      <c r="BI125" s="1051" t="s">
        <v>0</v>
      </c>
      <c r="BJ125" s="1081" t="s">
        <v>48</v>
      </c>
      <c r="BK125" s="1253" t="s">
        <v>5296</v>
      </c>
      <c r="BL125" s="1051"/>
      <c r="BM125" s="1104" t="s">
        <v>6019</v>
      </c>
      <c r="BN125" s="1095" t="s">
        <v>6020</v>
      </c>
      <c r="BO125" s="1095" t="s">
        <v>6021</v>
      </c>
      <c r="BP125" s="1545" t="s">
        <v>6022</v>
      </c>
      <c r="BQ125" s="1095" t="s">
        <v>6023</v>
      </c>
      <c r="BR125" s="1095" t="s">
        <v>6024</v>
      </c>
      <c r="BS125" s="1095"/>
      <c r="BT125" s="229" t="s">
        <v>6025</v>
      </c>
      <c r="BU125" s="1266" t="s">
        <v>5862</v>
      </c>
      <c r="BV125" s="1235" t="s">
        <v>5862</v>
      </c>
      <c r="BW125" s="1188"/>
    </row>
    <row r="126" s="1193" customFormat="1" ht="14.1" customHeight="1" spans="2:75">
      <c r="B126" s="1563" t="s">
        <v>1348</v>
      </c>
      <c r="C126" s="838" t="s">
        <v>6026</v>
      </c>
      <c r="D126" s="1199" t="s">
        <v>6027</v>
      </c>
      <c r="E126" s="1044" t="s">
        <v>6028</v>
      </c>
      <c r="F126" s="1044" t="s">
        <v>125</v>
      </c>
      <c r="G126" s="1044" t="s">
        <v>44</v>
      </c>
      <c r="H126" s="1044" t="s">
        <v>44</v>
      </c>
      <c r="I126" s="1051" t="s">
        <v>3528</v>
      </c>
      <c r="J126" s="1051"/>
      <c r="K126" s="1051" t="s">
        <v>722</v>
      </c>
      <c r="L126" s="1202">
        <v>42937</v>
      </c>
      <c r="M126" s="1202">
        <v>42978</v>
      </c>
      <c r="N126" s="1202">
        <v>43008</v>
      </c>
      <c r="O126" s="1202"/>
      <c r="P126" s="1206"/>
      <c r="Q126" s="1202"/>
      <c r="R126" s="1202"/>
      <c r="S126" s="1202"/>
      <c r="T126" s="1202"/>
      <c r="U126" s="1202"/>
      <c r="V126" s="1202"/>
      <c r="W126" s="1202"/>
      <c r="X126" s="1202"/>
      <c r="Y126" s="1202"/>
      <c r="Z126" s="1202"/>
      <c r="AA126" s="1202"/>
      <c r="AB126" s="1202"/>
      <c r="AC126" s="1202"/>
      <c r="AD126" s="1202"/>
      <c r="AE126" s="1202"/>
      <c r="AF126" s="1202"/>
      <c r="AG126" s="1202"/>
      <c r="AH126" s="1202"/>
      <c r="AI126" s="1202"/>
      <c r="AJ126" s="1202"/>
      <c r="AK126" s="1202"/>
      <c r="AL126" s="1202"/>
      <c r="AM126" s="1202"/>
      <c r="AN126" s="1202"/>
      <c r="AO126" s="1202"/>
      <c r="AP126" s="1202"/>
      <c r="AQ126" s="1202"/>
      <c r="AR126" s="1202"/>
      <c r="AS126" s="1202"/>
      <c r="AT126" s="1202"/>
      <c r="AU126" s="1202"/>
      <c r="AV126" s="1202"/>
      <c r="AW126" s="325">
        <v>7.50135289351601</v>
      </c>
      <c r="AX126" s="187" t="s">
        <v>2569</v>
      </c>
      <c r="AY126" s="1080">
        <v>3500000</v>
      </c>
      <c r="AZ126" s="1080">
        <v>200000</v>
      </c>
      <c r="BA126" s="1081"/>
      <c r="BB126" s="1088"/>
      <c r="BC126" s="1081"/>
      <c r="BD126" s="1080"/>
      <c r="BE126" s="1080"/>
      <c r="BF126" s="1081"/>
      <c r="BG126" s="1081"/>
      <c r="BH126" s="1081">
        <v>150000</v>
      </c>
      <c r="BI126" s="1051" t="s">
        <v>0</v>
      </c>
      <c r="BJ126" s="1081" t="s">
        <v>48</v>
      </c>
      <c r="BK126" s="1253" t="s">
        <v>5296</v>
      </c>
      <c r="BL126" s="1051"/>
      <c r="BM126" s="1104" t="s">
        <v>6029</v>
      </c>
      <c r="BN126" s="1095" t="s">
        <v>6030</v>
      </c>
      <c r="BO126" s="1095" t="s">
        <v>6031</v>
      </c>
      <c r="BP126" s="1545" t="s">
        <v>6032</v>
      </c>
      <c r="BQ126" s="1095" t="s">
        <v>6033</v>
      </c>
      <c r="BR126" s="1095"/>
      <c r="BS126" s="1095" t="s">
        <v>6034</v>
      </c>
      <c r="BT126" s="229" t="s">
        <v>6035</v>
      </c>
      <c r="BU126" s="1266" t="s">
        <v>5862</v>
      </c>
      <c r="BV126" s="1235" t="s">
        <v>5862</v>
      </c>
      <c r="BW126" s="1188"/>
    </row>
    <row r="127" s="1193" customFormat="1" ht="14.1" customHeight="1" spans="2:75">
      <c r="B127" s="1563" t="s">
        <v>3139</v>
      </c>
      <c r="C127" s="838" t="s">
        <v>6036</v>
      </c>
      <c r="D127" s="1199" t="s">
        <v>6037</v>
      </c>
      <c r="E127" s="1044" t="s">
        <v>6038</v>
      </c>
      <c r="F127" s="1044" t="s">
        <v>125</v>
      </c>
      <c r="G127" s="1044" t="s">
        <v>6039</v>
      </c>
      <c r="H127" s="1044" t="s">
        <v>6039</v>
      </c>
      <c r="I127" s="1051" t="s">
        <v>3528</v>
      </c>
      <c r="J127" s="1051"/>
      <c r="K127" s="1051" t="s">
        <v>6040</v>
      </c>
      <c r="L127" s="1202">
        <v>42957</v>
      </c>
      <c r="M127" s="1202">
        <v>43008</v>
      </c>
      <c r="N127" s="1202"/>
      <c r="O127" s="1202"/>
      <c r="P127" s="1206"/>
      <c r="Q127" s="1202"/>
      <c r="R127" s="1202"/>
      <c r="S127" s="1202"/>
      <c r="T127" s="1202"/>
      <c r="U127" s="1202"/>
      <c r="V127" s="1202"/>
      <c r="W127" s="1202"/>
      <c r="X127" s="1202"/>
      <c r="Y127" s="1202"/>
      <c r="Z127" s="1202"/>
      <c r="AA127" s="1202"/>
      <c r="AB127" s="1202"/>
      <c r="AC127" s="1202"/>
      <c r="AD127" s="1202"/>
      <c r="AE127" s="1202"/>
      <c r="AF127" s="1202"/>
      <c r="AG127" s="1202"/>
      <c r="AH127" s="1202"/>
      <c r="AI127" s="1202"/>
      <c r="AJ127" s="1202"/>
      <c r="AK127" s="1202"/>
      <c r="AL127" s="1202"/>
      <c r="AM127" s="1202"/>
      <c r="AN127" s="1202"/>
      <c r="AO127" s="1202"/>
      <c r="AP127" s="1202"/>
      <c r="AQ127" s="1202"/>
      <c r="AR127" s="1202"/>
      <c r="AS127" s="1202"/>
      <c r="AT127" s="1202"/>
      <c r="AU127" s="1202"/>
      <c r="AV127" s="1202"/>
      <c r="AW127" s="325">
        <v>7.50135289351601</v>
      </c>
      <c r="AX127" s="187" t="s">
        <v>2569</v>
      </c>
      <c r="AY127" s="1080">
        <v>6800000</v>
      </c>
      <c r="AZ127" s="1080">
        <v>200000</v>
      </c>
      <c r="BA127" s="1081"/>
      <c r="BB127" s="1088"/>
      <c r="BC127" s="1081">
        <v>1000000</v>
      </c>
      <c r="BD127" s="1080"/>
      <c r="BE127" s="1080"/>
      <c r="BF127" s="1081"/>
      <c r="BG127" s="1081">
        <v>500000</v>
      </c>
      <c r="BH127" s="1081">
        <v>150000</v>
      </c>
      <c r="BI127" s="1051" t="s">
        <v>0</v>
      </c>
      <c r="BJ127" s="1081" t="s">
        <v>48</v>
      </c>
      <c r="BK127" s="1252" t="s">
        <v>5931</v>
      </c>
      <c r="BL127" s="1051"/>
      <c r="BM127" s="1104" t="s">
        <v>6041</v>
      </c>
      <c r="BN127" s="1095"/>
      <c r="BO127" s="1095" t="s">
        <v>6042</v>
      </c>
      <c r="BP127" s="1545" t="s">
        <v>6043</v>
      </c>
      <c r="BQ127" s="1095" t="s">
        <v>6044</v>
      </c>
      <c r="BR127" s="1095" t="s">
        <v>6045</v>
      </c>
      <c r="BS127" s="1095" t="s">
        <v>6046</v>
      </c>
      <c r="BT127" s="229" t="s">
        <v>6047</v>
      </c>
      <c r="BU127" s="1266" t="s">
        <v>5862</v>
      </c>
      <c r="BV127" s="1235" t="s">
        <v>5862</v>
      </c>
      <c r="BW127" s="1188"/>
    </row>
    <row r="128" s="1193" customFormat="1" ht="14.1" customHeight="1" spans="2:75">
      <c r="B128" s="1563" t="s">
        <v>107</v>
      </c>
      <c r="C128" s="838" t="s">
        <v>6048</v>
      </c>
      <c r="D128" s="1199" t="s">
        <v>6049</v>
      </c>
      <c r="E128" s="1044" t="s">
        <v>6050</v>
      </c>
      <c r="F128" s="1044" t="s">
        <v>125</v>
      </c>
      <c r="G128" s="1044" t="s">
        <v>44</v>
      </c>
      <c r="H128" s="1044" t="s">
        <v>44</v>
      </c>
      <c r="I128" s="1051" t="s">
        <v>361</v>
      </c>
      <c r="J128" s="1051" t="s">
        <v>5347</v>
      </c>
      <c r="K128" s="1051" t="s">
        <v>6051</v>
      </c>
      <c r="L128" s="1202">
        <v>41955</v>
      </c>
      <c r="M128" s="1202">
        <v>42004</v>
      </c>
      <c r="N128" s="1202">
        <v>42185</v>
      </c>
      <c r="O128" s="1202">
        <v>42247</v>
      </c>
      <c r="P128" s="1202">
        <v>42369</v>
      </c>
      <c r="Q128" s="1202">
        <v>42551</v>
      </c>
      <c r="R128" s="1202">
        <v>42654</v>
      </c>
      <c r="S128" s="1202">
        <v>42685</v>
      </c>
      <c r="T128" s="1202"/>
      <c r="U128" s="1202"/>
      <c r="V128" s="1202"/>
      <c r="W128" s="1202"/>
      <c r="X128" s="1202"/>
      <c r="Y128" s="1202"/>
      <c r="Z128" s="1202">
        <v>42686</v>
      </c>
      <c r="AA128" s="1202">
        <v>42746</v>
      </c>
      <c r="AB128" s="1202">
        <v>42835</v>
      </c>
      <c r="AC128" s="1202">
        <v>42926</v>
      </c>
      <c r="AD128" s="1202">
        <v>43018</v>
      </c>
      <c r="AE128" s="1202"/>
      <c r="AF128" s="1202"/>
      <c r="AG128" s="1202"/>
      <c r="AH128" s="1202"/>
      <c r="AI128" s="1202"/>
      <c r="AJ128" s="1202"/>
      <c r="AK128" s="1202"/>
      <c r="AL128" s="1202"/>
      <c r="AM128" s="1202"/>
      <c r="AN128" s="1202"/>
      <c r="AO128" s="1202"/>
      <c r="AP128" s="1202"/>
      <c r="AQ128" s="1202"/>
      <c r="AR128" s="1202"/>
      <c r="AS128" s="1202"/>
      <c r="AT128" s="1202"/>
      <c r="AU128" s="1202"/>
      <c r="AV128" s="1202"/>
      <c r="AW128" s="641">
        <v>-16.6938471064786</v>
      </c>
      <c r="AX128" s="187" t="s">
        <v>2569</v>
      </c>
      <c r="AY128" s="1080">
        <v>6500000</v>
      </c>
      <c r="AZ128" s="1080">
        <v>250000</v>
      </c>
      <c r="BA128" s="1081"/>
      <c r="BB128" s="1088"/>
      <c r="BC128" s="1081"/>
      <c r="BD128" s="1080"/>
      <c r="BE128" s="1080">
        <v>500000</v>
      </c>
      <c r="BF128" s="1081"/>
      <c r="BG128" s="1081"/>
      <c r="BH128" s="1081"/>
      <c r="BI128" s="1051" t="s">
        <v>0</v>
      </c>
      <c r="BJ128" s="1081" t="s">
        <v>48</v>
      </c>
      <c r="BK128" s="1081" t="s">
        <v>48</v>
      </c>
      <c r="BL128" s="1051" t="s">
        <v>6052</v>
      </c>
      <c r="BM128" s="1104" t="s">
        <v>6053</v>
      </c>
      <c r="BN128" s="1095" t="s">
        <v>6054</v>
      </c>
      <c r="BO128" s="1095" t="s">
        <v>6055</v>
      </c>
      <c r="BP128" s="1545" t="s">
        <v>6056</v>
      </c>
      <c r="BQ128" s="1095" t="s">
        <v>6057</v>
      </c>
      <c r="BR128" s="1095">
        <v>11042294980</v>
      </c>
      <c r="BS128" s="1095" t="s">
        <v>6058</v>
      </c>
      <c r="BT128" s="1126" t="s">
        <v>6059</v>
      </c>
      <c r="BU128" s="1205" t="s">
        <v>6060</v>
      </c>
      <c r="BV128" s="1235" t="s">
        <v>6060</v>
      </c>
      <c r="BW128" s="1188"/>
    </row>
    <row r="129" s="1193" customFormat="1" ht="14.1" customHeight="1" spans="2:75">
      <c r="B129" s="1563" t="s">
        <v>718</v>
      </c>
      <c r="C129" s="838" t="s">
        <v>6061</v>
      </c>
      <c r="D129" s="1199" t="s">
        <v>3216</v>
      </c>
      <c r="E129" s="1044" t="s">
        <v>3217</v>
      </c>
      <c r="F129" s="1044" t="s">
        <v>43</v>
      </c>
      <c r="G129" s="1044" t="s">
        <v>60</v>
      </c>
      <c r="H129" s="1044" t="s">
        <v>60</v>
      </c>
      <c r="I129" s="1051" t="s">
        <v>6062</v>
      </c>
      <c r="J129" s="1051" t="s">
        <v>4970</v>
      </c>
      <c r="K129" s="1051" t="s">
        <v>6063</v>
      </c>
      <c r="L129" s="1202">
        <v>42774</v>
      </c>
      <c r="M129" s="1202">
        <v>42916</v>
      </c>
      <c r="N129" s="1202">
        <v>43008</v>
      </c>
      <c r="O129" s="1205">
        <v>43039</v>
      </c>
      <c r="P129" s="1202"/>
      <c r="Q129" s="1202"/>
      <c r="R129" s="1202"/>
      <c r="S129" s="1202"/>
      <c r="T129" s="1202"/>
      <c r="U129" s="1202"/>
      <c r="V129" s="1202"/>
      <c r="W129" s="1202"/>
      <c r="X129" s="1202"/>
      <c r="Y129" s="1202"/>
      <c r="Z129" s="1202"/>
      <c r="AA129" s="1202"/>
      <c r="AB129" s="1202"/>
      <c r="AC129" s="1202"/>
      <c r="AD129" s="1202"/>
      <c r="AE129" s="1202"/>
      <c r="AF129" s="1202"/>
      <c r="AG129" s="1202"/>
      <c r="AH129" s="1202"/>
      <c r="AI129" s="1202"/>
      <c r="AJ129" s="1202"/>
      <c r="AK129" s="1202"/>
      <c r="AL129" s="1202"/>
      <c r="AM129" s="1202"/>
      <c r="AN129" s="1202"/>
      <c r="AO129" s="1202"/>
      <c r="AP129" s="1202"/>
      <c r="AQ129" s="1202"/>
      <c r="AR129" s="1202"/>
      <c r="AS129" s="1202"/>
      <c r="AT129" s="1202"/>
      <c r="AU129" s="1202"/>
      <c r="AV129" s="1202"/>
      <c r="AW129" s="641">
        <v>4.30615289352136</v>
      </c>
      <c r="AX129" s="187" t="s">
        <v>2569</v>
      </c>
      <c r="AY129" s="1080">
        <v>11000000</v>
      </c>
      <c r="AZ129" s="1080">
        <v>500000</v>
      </c>
      <c r="BA129" s="1081" t="s">
        <v>583</v>
      </c>
      <c r="BB129" s="1250">
        <v>1000000</v>
      </c>
      <c r="BC129" s="1081" t="s">
        <v>583</v>
      </c>
      <c r="BD129" s="1080"/>
      <c r="BE129" s="1080"/>
      <c r="BF129" s="1081" t="s">
        <v>583</v>
      </c>
      <c r="BG129" s="1081">
        <v>500000</v>
      </c>
      <c r="BH129" s="1081">
        <v>250000</v>
      </c>
      <c r="BI129" s="1051" t="s">
        <v>0</v>
      </c>
      <c r="BJ129" s="1081" t="s">
        <v>48</v>
      </c>
      <c r="BK129" s="1081" t="s">
        <v>48</v>
      </c>
      <c r="BL129" s="1051" t="s">
        <v>6064</v>
      </c>
      <c r="BM129" s="1104" t="s">
        <v>3218</v>
      </c>
      <c r="BN129" s="1095" t="s">
        <v>3219</v>
      </c>
      <c r="BO129" s="1095" t="s">
        <v>3220</v>
      </c>
      <c r="BP129" s="1545" t="s">
        <v>3221</v>
      </c>
      <c r="BQ129" s="1095" t="s">
        <v>3222</v>
      </c>
      <c r="BR129" s="1095" t="s">
        <v>3223</v>
      </c>
      <c r="BS129" s="1095" t="s">
        <v>3224</v>
      </c>
      <c r="BT129" s="1126" t="s">
        <v>3225</v>
      </c>
      <c r="BU129" s="1205" t="s">
        <v>6065</v>
      </c>
      <c r="BV129" s="1235" t="s">
        <v>6066</v>
      </c>
      <c r="BW129" s="1188"/>
    </row>
    <row r="130" s="1193" customFormat="1" ht="14.1" customHeight="1" spans="2:75">
      <c r="B130" s="1563" t="s">
        <v>777</v>
      </c>
      <c r="C130" s="838" t="s">
        <v>6067</v>
      </c>
      <c r="D130" s="1199" t="s">
        <v>6068</v>
      </c>
      <c r="E130" s="1044" t="s">
        <v>6069</v>
      </c>
      <c r="F130" s="1044" t="s">
        <v>43</v>
      </c>
      <c r="G130" s="1044" t="s">
        <v>60</v>
      </c>
      <c r="H130" s="1044" t="s">
        <v>60</v>
      </c>
      <c r="I130" s="1051" t="s">
        <v>3904</v>
      </c>
      <c r="J130" s="1051" t="s">
        <v>4970</v>
      </c>
      <c r="K130" s="1051" t="s">
        <v>1069</v>
      </c>
      <c r="L130" s="1202">
        <v>42772</v>
      </c>
      <c r="M130" s="1202">
        <v>42886</v>
      </c>
      <c r="N130" s="1202">
        <v>42916</v>
      </c>
      <c r="O130" s="1202">
        <v>43008</v>
      </c>
      <c r="P130" s="1205">
        <v>43039</v>
      </c>
      <c r="Q130" s="1202"/>
      <c r="R130" s="1202"/>
      <c r="S130" s="1202"/>
      <c r="T130" s="1202"/>
      <c r="U130" s="1202"/>
      <c r="V130" s="1202"/>
      <c r="W130" s="1202"/>
      <c r="X130" s="1202"/>
      <c r="Y130" s="1202"/>
      <c r="Z130" s="1202"/>
      <c r="AA130" s="1202"/>
      <c r="AB130" s="1202"/>
      <c r="AC130" s="1202"/>
      <c r="AD130" s="1202"/>
      <c r="AE130" s="1202"/>
      <c r="AF130" s="1202"/>
      <c r="AG130" s="1202"/>
      <c r="AH130" s="1202"/>
      <c r="AI130" s="1202"/>
      <c r="AJ130" s="1202"/>
      <c r="AK130" s="1202"/>
      <c r="AL130" s="1202"/>
      <c r="AM130" s="1202"/>
      <c r="AN130" s="1202"/>
      <c r="AO130" s="1202"/>
      <c r="AP130" s="1202"/>
      <c r="AQ130" s="1202"/>
      <c r="AR130" s="1202"/>
      <c r="AS130" s="1202"/>
      <c r="AT130" s="1202"/>
      <c r="AU130" s="1202"/>
      <c r="AV130" s="1202"/>
      <c r="AW130" s="641">
        <v>4.30615289352136</v>
      </c>
      <c r="AX130" s="187" t="s">
        <v>2569</v>
      </c>
      <c r="AY130" s="1080">
        <v>12000000</v>
      </c>
      <c r="AZ130" s="1080">
        <v>1000000</v>
      </c>
      <c r="BA130" s="1081" t="s">
        <v>583</v>
      </c>
      <c r="BB130" s="1088">
        <v>1750000</v>
      </c>
      <c r="BC130" s="1081">
        <v>1500000</v>
      </c>
      <c r="BD130" s="1080"/>
      <c r="BE130" s="1080"/>
      <c r="BF130" s="1081" t="s">
        <v>583</v>
      </c>
      <c r="BG130" s="1081">
        <v>500000</v>
      </c>
      <c r="BH130" s="1081">
        <v>250000</v>
      </c>
      <c r="BI130" s="1051" t="s">
        <v>0</v>
      </c>
      <c r="BJ130" s="1081" t="s">
        <v>48</v>
      </c>
      <c r="BK130" s="1081" t="s">
        <v>48</v>
      </c>
      <c r="BL130" s="1051" t="s">
        <v>6070</v>
      </c>
      <c r="BM130" s="1104" t="s">
        <v>6071</v>
      </c>
      <c r="BN130" s="1095" t="s">
        <v>6072</v>
      </c>
      <c r="BO130" s="1095" t="s">
        <v>6073</v>
      </c>
      <c r="BP130" s="1545" t="s">
        <v>6074</v>
      </c>
      <c r="BQ130" s="1095" t="s">
        <v>6075</v>
      </c>
      <c r="BR130" s="1095">
        <v>0</v>
      </c>
      <c r="BS130" s="1095" t="s">
        <v>6076</v>
      </c>
      <c r="BT130" s="1126" t="s">
        <v>6077</v>
      </c>
      <c r="BU130" s="1205" t="s">
        <v>6078</v>
      </c>
      <c r="BV130" s="1235" t="s">
        <v>6066</v>
      </c>
      <c r="BW130" s="1188"/>
    </row>
    <row r="131" s="1193" customFormat="1" ht="14.1" customHeight="1" spans="2:75">
      <c r="B131" s="1563" t="s">
        <v>1318</v>
      </c>
      <c r="C131" s="838" t="s">
        <v>6079</v>
      </c>
      <c r="D131" s="1199" t="s">
        <v>6080</v>
      </c>
      <c r="E131" s="1044" t="s">
        <v>6081</v>
      </c>
      <c r="F131" s="1044" t="s">
        <v>43</v>
      </c>
      <c r="G131" s="1044" t="s">
        <v>44</v>
      </c>
      <c r="H131" s="1044" t="s">
        <v>44</v>
      </c>
      <c r="I131" s="1051" t="s">
        <v>3528</v>
      </c>
      <c r="J131" s="1051"/>
      <c r="K131" s="1051" t="s">
        <v>722</v>
      </c>
      <c r="L131" s="1202">
        <v>42940</v>
      </c>
      <c r="M131" s="1202">
        <v>43008</v>
      </c>
      <c r="N131" s="1205">
        <v>43021</v>
      </c>
      <c r="O131" s="1202"/>
      <c r="P131" s="1206"/>
      <c r="Q131" s="1202"/>
      <c r="R131" s="1202"/>
      <c r="S131" s="1202"/>
      <c r="T131" s="1202"/>
      <c r="U131" s="1202"/>
      <c r="V131" s="1202"/>
      <c r="W131" s="1202"/>
      <c r="X131" s="1202"/>
      <c r="Y131" s="1202"/>
      <c r="Z131" s="1202"/>
      <c r="AA131" s="1202"/>
      <c r="AB131" s="1202"/>
      <c r="AC131" s="1202"/>
      <c r="AD131" s="1202"/>
      <c r="AE131" s="1202"/>
      <c r="AF131" s="1202"/>
      <c r="AG131" s="1202"/>
      <c r="AH131" s="1202"/>
      <c r="AI131" s="1202"/>
      <c r="AJ131" s="1202"/>
      <c r="AK131" s="1202"/>
      <c r="AL131" s="1202"/>
      <c r="AM131" s="1202"/>
      <c r="AN131" s="1202"/>
      <c r="AO131" s="1202"/>
      <c r="AP131" s="1202"/>
      <c r="AQ131" s="1202"/>
      <c r="AR131" s="1202"/>
      <c r="AS131" s="1202"/>
      <c r="AT131" s="1202"/>
      <c r="AU131" s="1202"/>
      <c r="AV131" s="1202"/>
      <c r="AW131" s="641">
        <v>-13.6938471064786</v>
      </c>
      <c r="AX131" s="187" t="s">
        <v>2569</v>
      </c>
      <c r="AY131" s="1080">
        <v>3000000</v>
      </c>
      <c r="AZ131" s="1080">
        <v>200000</v>
      </c>
      <c r="BA131" s="1081"/>
      <c r="BB131" s="1088"/>
      <c r="BC131" s="1081"/>
      <c r="BD131" s="1080"/>
      <c r="BE131" s="1080"/>
      <c r="BF131" s="1081"/>
      <c r="BG131" s="1081"/>
      <c r="BH131" s="1081">
        <v>150000</v>
      </c>
      <c r="BI131" s="1051" t="s">
        <v>0</v>
      </c>
      <c r="BJ131" s="1081" t="s">
        <v>48</v>
      </c>
      <c r="BK131" s="1253" t="s">
        <v>5296</v>
      </c>
      <c r="BL131" s="1051"/>
      <c r="BM131" s="1104" t="s">
        <v>6082</v>
      </c>
      <c r="BN131" s="1095" t="s">
        <v>6083</v>
      </c>
      <c r="BO131" s="1095" t="s">
        <v>6084</v>
      </c>
      <c r="BP131" s="1545" t="s">
        <v>6085</v>
      </c>
      <c r="BQ131" s="1095"/>
      <c r="BR131" s="1095"/>
      <c r="BS131" s="1095"/>
      <c r="BT131" s="229" t="s">
        <v>6086</v>
      </c>
      <c r="BU131" s="1205" t="s">
        <v>6087</v>
      </c>
      <c r="BV131" s="1235" t="s">
        <v>6066</v>
      </c>
      <c r="BW131" s="1188"/>
    </row>
    <row r="132" s="1193" customFormat="1" ht="14.1" customHeight="1" spans="2:75">
      <c r="B132" s="1562" t="s">
        <v>250</v>
      </c>
      <c r="C132" s="838" t="s">
        <v>6088</v>
      </c>
      <c r="D132" s="1199" t="s">
        <v>6089</v>
      </c>
      <c r="E132" s="1044" t="s">
        <v>6090</v>
      </c>
      <c r="F132" s="1044" t="s">
        <v>43</v>
      </c>
      <c r="G132" s="1044" t="s">
        <v>44</v>
      </c>
      <c r="H132" s="1044" t="s">
        <v>44</v>
      </c>
      <c r="I132" s="1051" t="s">
        <v>3528</v>
      </c>
      <c r="J132" s="1051" t="s">
        <v>4970</v>
      </c>
      <c r="K132" s="1051" t="s">
        <v>6091</v>
      </c>
      <c r="L132" s="1202">
        <v>42675</v>
      </c>
      <c r="M132" s="1202">
        <v>42855</v>
      </c>
      <c r="N132" s="1202">
        <v>42916</v>
      </c>
      <c r="O132" s="1202">
        <v>43100</v>
      </c>
      <c r="P132" s="1202"/>
      <c r="Q132" s="1202"/>
      <c r="R132" s="1202"/>
      <c r="S132" s="1202"/>
      <c r="T132" s="1202"/>
      <c r="U132" s="1202"/>
      <c r="V132" s="1202"/>
      <c r="W132" s="1202"/>
      <c r="X132" s="1202"/>
      <c r="Y132" s="1202"/>
      <c r="Z132" s="1202"/>
      <c r="AA132" s="1202"/>
      <c r="AB132" s="1202"/>
      <c r="AC132" s="1202"/>
      <c r="AD132" s="1202"/>
      <c r="AE132" s="1202"/>
      <c r="AF132" s="1202"/>
      <c r="AG132" s="1202"/>
      <c r="AH132" s="1202"/>
      <c r="AI132" s="1202"/>
      <c r="AJ132" s="1202"/>
      <c r="AK132" s="1202"/>
      <c r="AL132" s="1202"/>
      <c r="AM132" s="1202"/>
      <c r="AN132" s="1202"/>
      <c r="AO132" s="1202"/>
      <c r="AP132" s="1202"/>
      <c r="AQ132" s="1202"/>
      <c r="AR132" s="1202"/>
      <c r="AS132" s="1202"/>
      <c r="AT132" s="1202"/>
      <c r="AU132" s="1202"/>
      <c r="AV132" s="1202"/>
      <c r="AW132" s="640">
        <v>33.3974393518511</v>
      </c>
      <c r="AX132" s="121" t="s">
        <v>2569</v>
      </c>
      <c r="AY132" s="1080">
        <v>16000000</v>
      </c>
      <c r="AZ132" s="1080">
        <v>1000000</v>
      </c>
      <c r="BA132" s="1081"/>
      <c r="BB132" s="1088">
        <v>6100000</v>
      </c>
      <c r="BC132" s="1081"/>
      <c r="BD132" s="1080"/>
      <c r="BE132" s="1080"/>
      <c r="BF132" s="1081"/>
      <c r="BG132" s="1081">
        <v>500000</v>
      </c>
      <c r="BH132" s="1081">
        <v>200000</v>
      </c>
      <c r="BI132" s="1051" t="s">
        <v>112</v>
      </c>
      <c r="BJ132" s="1081" t="s">
        <v>48</v>
      </c>
      <c r="BK132" s="1081" t="s">
        <v>48</v>
      </c>
      <c r="BL132" s="1051" t="s">
        <v>6092</v>
      </c>
      <c r="BM132" s="1104" t="s">
        <v>6093</v>
      </c>
      <c r="BN132" s="1095" t="s">
        <v>6094</v>
      </c>
      <c r="BO132" s="1095" t="s">
        <v>6095</v>
      </c>
      <c r="BP132" s="1545" t="s">
        <v>6096</v>
      </c>
      <c r="BQ132" s="1095" t="s">
        <v>6097</v>
      </c>
      <c r="BR132" s="1095" t="s">
        <v>6098</v>
      </c>
      <c r="BS132" s="1095"/>
      <c r="BT132" s="1126" t="s">
        <v>6099</v>
      </c>
      <c r="BU132" s="1205" t="s">
        <v>6100</v>
      </c>
      <c r="BV132" s="1235" t="s">
        <v>6101</v>
      </c>
      <c r="BW132" s="1188"/>
    </row>
    <row r="133" s="1193" customFormat="1" ht="14.1" customHeight="1" spans="2:75">
      <c r="B133" s="1562" t="s">
        <v>718</v>
      </c>
      <c r="C133" s="838" t="s">
        <v>6102</v>
      </c>
      <c r="D133" s="1199" t="s">
        <v>6103</v>
      </c>
      <c r="E133" s="1044" t="s">
        <v>6104</v>
      </c>
      <c r="F133" s="1044" t="s">
        <v>43</v>
      </c>
      <c r="G133" s="1044"/>
      <c r="H133" s="1044"/>
      <c r="I133" s="1051" t="s">
        <v>3904</v>
      </c>
      <c r="J133" s="1051" t="s">
        <v>4970</v>
      </c>
      <c r="K133" s="1051" t="s">
        <v>2823</v>
      </c>
      <c r="L133" s="1202">
        <v>42803</v>
      </c>
      <c r="M133" s="1202">
        <v>42947</v>
      </c>
      <c r="N133" s="1202">
        <v>43100</v>
      </c>
      <c r="O133" s="1202"/>
      <c r="P133" s="1202"/>
      <c r="Q133" s="1202"/>
      <c r="R133" s="1202"/>
      <c r="S133" s="1202"/>
      <c r="T133" s="1202"/>
      <c r="U133" s="1202"/>
      <c r="V133" s="1202"/>
      <c r="W133" s="1202"/>
      <c r="X133" s="1202"/>
      <c r="Y133" s="1202"/>
      <c r="Z133" s="1202"/>
      <c r="AA133" s="1202"/>
      <c r="AB133" s="1202"/>
      <c r="AC133" s="1202"/>
      <c r="AD133" s="1202"/>
      <c r="AE133" s="1202"/>
      <c r="AF133" s="1202"/>
      <c r="AG133" s="1202"/>
      <c r="AH133" s="1202"/>
      <c r="AI133" s="1202"/>
      <c r="AJ133" s="1202"/>
      <c r="AK133" s="1202"/>
      <c r="AL133" s="1202"/>
      <c r="AM133" s="1202"/>
      <c r="AN133" s="1202"/>
      <c r="AO133" s="1202"/>
      <c r="AP133" s="1202"/>
      <c r="AQ133" s="1202"/>
      <c r="AR133" s="1202"/>
      <c r="AS133" s="1202"/>
      <c r="AT133" s="1202"/>
      <c r="AU133" s="1202"/>
      <c r="AV133" s="1202"/>
      <c r="AW133" s="641">
        <v>33.3974393518511</v>
      </c>
      <c r="AX133" s="187" t="s">
        <v>2569</v>
      </c>
      <c r="AY133" s="1080">
        <v>2500000</v>
      </c>
      <c r="AZ133" s="1080">
        <v>100000</v>
      </c>
      <c r="BA133" s="1081" t="s">
        <v>583</v>
      </c>
      <c r="BB133" s="1088"/>
      <c r="BC133" s="1081">
        <v>250000</v>
      </c>
      <c r="BD133" s="1080"/>
      <c r="BE133" s="1080"/>
      <c r="BF133" s="1081" t="s">
        <v>583</v>
      </c>
      <c r="BG133" s="1081" t="s">
        <v>583</v>
      </c>
      <c r="BH133" s="1081" t="s">
        <v>583</v>
      </c>
      <c r="BI133" s="1051" t="s">
        <v>0</v>
      </c>
      <c r="BJ133" s="1081" t="s">
        <v>48</v>
      </c>
      <c r="BK133" s="1253" t="s">
        <v>5296</v>
      </c>
      <c r="BL133" s="1051"/>
      <c r="BM133" s="1104" t="s">
        <v>6105</v>
      </c>
      <c r="BN133" s="1095" t="s">
        <v>6106</v>
      </c>
      <c r="BO133" s="1095" t="s">
        <v>6107</v>
      </c>
      <c r="BP133" s="1095" t="s">
        <v>6108</v>
      </c>
      <c r="BQ133" s="1095"/>
      <c r="BR133" s="1095"/>
      <c r="BS133" s="1095"/>
      <c r="BT133" s="1095" t="s">
        <v>112</v>
      </c>
      <c r="BU133" s="1205" t="s">
        <v>6109</v>
      </c>
      <c r="BV133" s="1235" t="e">
        <v>#N/A</v>
      </c>
      <c r="BW133" s="1188"/>
    </row>
    <row r="134" s="1193" customFormat="1" ht="14.1" customHeight="1" spans="2:75">
      <c r="B134" s="1562" t="s">
        <v>790</v>
      </c>
      <c r="C134" s="838" t="s">
        <v>6110</v>
      </c>
      <c r="D134" s="1268" t="s">
        <v>6111</v>
      </c>
      <c r="E134" s="979" t="s">
        <v>6112</v>
      </c>
      <c r="F134" s="922" t="s">
        <v>43</v>
      </c>
      <c r="G134" s="922" t="s">
        <v>96</v>
      </c>
      <c r="H134" s="922" t="s">
        <v>96</v>
      </c>
      <c r="I134" s="1269" t="s">
        <v>3528</v>
      </c>
      <c r="J134" s="1269" t="s">
        <v>4970</v>
      </c>
      <c r="K134" s="1269" t="s">
        <v>6113</v>
      </c>
      <c r="L134" s="1270">
        <v>42856</v>
      </c>
      <c r="M134" s="1270">
        <v>42947</v>
      </c>
      <c r="N134" s="1270">
        <v>43008</v>
      </c>
      <c r="O134" s="1205">
        <v>43039</v>
      </c>
      <c r="P134" s="1270"/>
      <c r="Q134" s="1270"/>
      <c r="R134" s="1270"/>
      <c r="S134" s="1270"/>
      <c r="T134" s="1270"/>
      <c r="U134" s="1270"/>
      <c r="V134" s="1270"/>
      <c r="W134" s="1270"/>
      <c r="X134" s="1270"/>
      <c r="Y134" s="1270"/>
      <c r="Z134" s="1206"/>
      <c r="AA134" s="1206"/>
      <c r="AB134" s="1206"/>
      <c r="AC134" s="1206"/>
      <c r="AD134" s="1206"/>
      <c r="AE134" s="1206"/>
      <c r="AF134" s="1206"/>
      <c r="AG134" s="1206"/>
      <c r="AH134" s="1206"/>
      <c r="AI134" s="1206"/>
      <c r="AJ134" s="1206"/>
      <c r="AK134" s="1206"/>
      <c r="AL134" s="1206"/>
      <c r="AM134" s="1206"/>
      <c r="AN134" s="1206"/>
      <c r="AO134" s="1206"/>
      <c r="AP134" s="1206"/>
      <c r="AQ134" s="1206"/>
      <c r="AR134" s="1206"/>
      <c r="AS134" s="1206"/>
      <c r="AT134" s="1206"/>
      <c r="AU134" s="1206"/>
      <c r="AV134" s="1206"/>
      <c r="AW134" s="640">
        <v>-27.6025606481489</v>
      </c>
      <c r="AX134" s="187" t="s">
        <v>2569</v>
      </c>
      <c r="AY134" s="1274">
        <v>20000000</v>
      </c>
      <c r="AZ134" s="958" t="s">
        <v>112</v>
      </c>
      <c r="BA134" s="958" t="s">
        <v>112</v>
      </c>
      <c r="BB134" s="1276" t="s">
        <v>112</v>
      </c>
      <c r="BC134" s="958" t="s">
        <v>112</v>
      </c>
      <c r="BD134" s="958" t="s">
        <v>112</v>
      </c>
      <c r="BE134" s="958" t="s">
        <v>112</v>
      </c>
      <c r="BF134" s="958" t="s">
        <v>112</v>
      </c>
      <c r="BG134" s="958" t="s">
        <v>112</v>
      </c>
      <c r="BH134" s="958" t="s">
        <v>112</v>
      </c>
      <c r="BI134" s="958" t="s">
        <v>112</v>
      </c>
      <c r="BJ134" s="958" t="s">
        <v>112</v>
      </c>
      <c r="BK134" s="1096" t="s">
        <v>48</v>
      </c>
      <c r="BL134" s="1220"/>
      <c r="BM134" s="1269" t="s">
        <v>6114</v>
      </c>
      <c r="BN134" s="1279" t="s">
        <v>6115</v>
      </c>
      <c r="BO134" s="1279" t="s">
        <v>6116</v>
      </c>
      <c r="BP134" s="1279" t="s">
        <v>6117</v>
      </c>
      <c r="BQ134" s="1279" t="s">
        <v>6118</v>
      </c>
      <c r="BR134" s="1279" t="s">
        <v>2574</v>
      </c>
      <c r="BS134" s="1279" t="s">
        <v>2574</v>
      </c>
      <c r="BT134" s="1280" t="s">
        <v>6119</v>
      </c>
      <c r="BU134" s="1205" t="s">
        <v>6120</v>
      </c>
      <c r="BV134" s="1235" t="s">
        <v>6121</v>
      </c>
      <c r="BW134" s="1188"/>
    </row>
    <row r="135" s="1193" customFormat="1" ht="14.1" customHeight="1" spans="2:75">
      <c r="B135" s="1563" t="s">
        <v>1035</v>
      </c>
      <c r="C135" s="838" t="s">
        <v>6122</v>
      </c>
      <c r="D135" s="838" t="s">
        <v>6123</v>
      </c>
      <c r="E135" s="1044" t="s">
        <v>6124</v>
      </c>
      <c r="F135" s="1044" t="s">
        <v>43</v>
      </c>
      <c r="G135" s="1044" t="s">
        <v>60</v>
      </c>
      <c r="H135" s="1044" t="s">
        <v>60</v>
      </c>
      <c r="I135" s="1051" t="s">
        <v>3528</v>
      </c>
      <c r="J135" s="1051"/>
      <c r="K135" s="1051" t="s">
        <v>6125</v>
      </c>
      <c r="L135" s="1052">
        <v>43013</v>
      </c>
      <c r="M135" s="1052">
        <v>43043</v>
      </c>
      <c r="N135" s="1202"/>
      <c r="O135" s="1052"/>
      <c r="P135" s="1052"/>
      <c r="Q135" s="1205"/>
      <c r="R135" s="1052"/>
      <c r="S135" s="1052"/>
      <c r="T135" s="1052"/>
      <c r="U135" s="1052"/>
      <c r="V135" s="1052"/>
      <c r="W135" s="1052"/>
      <c r="X135" s="1052"/>
      <c r="Y135" s="1052"/>
      <c r="Z135" s="1052"/>
      <c r="AA135" s="1052"/>
      <c r="AB135" s="1052"/>
      <c r="AC135" s="1052"/>
      <c r="AD135" s="1052"/>
      <c r="AE135" s="1052"/>
      <c r="AF135" s="1052"/>
      <c r="AG135" s="1052"/>
      <c r="AH135" s="1052"/>
      <c r="AI135" s="1052"/>
      <c r="AJ135" s="1052"/>
      <c r="AK135" s="1052"/>
      <c r="AL135" s="1052"/>
      <c r="AM135" s="1052"/>
      <c r="AN135" s="1052"/>
      <c r="AO135" s="1052"/>
      <c r="AP135" s="1052"/>
      <c r="AQ135" s="1052"/>
      <c r="AR135" s="1052"/>
      <c r="AS135" s="1052"/>
      <c r="AT135" s="1052"/>
      <c r="AU135" s="1052"/>
      <c r="AV135" s="1052"/>
      <c r="AW135" s="641">
        <v>-23.6025606481489</v>
      </c>
      <c r="AX135" s="187" t="s">
        <v>2569</v>
      </c>
      <c r="AY135" s="1080">
        <v>28000000</v>
      </c>
      <c r="AZ135" s="958" t="s">
        <v>112</v>
      </c>
      <c r="BA135" s="958" t="s">
        <v>112</v>
      </c>
      <c r="BB135" s="958" t="s">
        <v>112</v>
      </c>
      <c r="BC135" s="958" t="s">
        <v>112</v>
      </c>
      <c r="BD135" s="958" t="s">
        <v>112</v>
      </c>
      <c r="BE135" s="958" t="s">
        <v>112</v>
      </c>
      <c r="BF135" s="958" t="s">
        <v>112</v>
      </c>
      <c r="BG135" s="958" t="s">
        <v>112</v>
      </c>
      <c r="BH135" s="958" t="s">
        <v>112</v>
      </c>
      <c r="BI135" s="958" t="s">
        <v>112</v>
      </c>
      <c r="BJ135" s="958" t="s">
        <v>112</v>
      </c>
      <c r="BK135" s="958" t="s">
        <v>112</v>
      </c>
      <c r="BL135" s="927" t="s">
        <v>6126</v>
      </c>
      <c r="BM135" s="1104" t="s">
        <v>6127</v>
      </c>
      <c r="BN135" s="1095" t="s">
        <v>6128</v>
      </c>
      <c r="BO135" s="1095" t="s">
        <v>6129</v>
      </c>
      <c r="BP135" s="1545" t="s">
        <v>6130</v>
      </c>
      <c r="BQ135" s="1095" t="s">
        <v>6131</v>
      </c>
      <c r="BR135" s="1095"/>
      <c r="BS135" s="1095"/>
      <c r="BT135" s="229" t="s">
        <v>6132</v>
      </c>
      <c r="BU135" s="1205" t="s">
        <v>6133</v>
      </c>
      <c r="BV135" s="1255"/>
      <c r="BW135" s="1188"/>
    </row>
    <row r="136" s="1193" customFormat="1" ht="14.1" customHeight="1" spans="2:75">
      <c r="B136" s="1563" t="s">
        <v>1044</v>
      </c>
      <c r="C136" s="838" t="s">
        <v>6134</v>
      </c>
      <c r="D136" s="838" t="s">
        <v>6135</v>
      </c>
      <c r="E136" s="1044" t="s">
        <v>6136</v>
      </c>
      <c r="F136" s="1044" t="s">
        <v>43</v>
      </c>
      <c r="G136" s="1044" t="s">
        <v>254</v>
      </c>
      <c r="H136" s="1044" t="s">
        <v>254</v>
      </c>
      <c r="I136" s="1051" t="s">
        <v>3528</v>
      </c>
      <c r="J136" s="1051"/>
      <c r="K136" s="1051" t="s">
        <v>6137</v>
      </c>
      <c r="L136" s="1052">
        <v>43013</v>
      </c>
      <c r="M136" s="1052">
        <v>43043</v>
      </c>
      <c r="N136" s="1202"/>
      <c r="O136" s="1052"/>
      <c r="P136" s="1052"/>
      <c r="Q136" s="1205"/>
      <c r="R136" s="1052"/>
      <c r="S136" s="1052"/>
      <c r="T136" s="1052"/>
      <c r="U136" s="1052"/>
      <c r="V136" s="1052"/>
      <c r="W136" s="1052"/>
      <c r="X136" s="1052"/>
      <c r="Y136" s="1052"/>
      <c r="Z136" s="1052"/>
      <c r="AA136" s="1052"/>
      <c r="AB136" s="1052"/>
      <c r="AC136" s="1052"/>
      <c r="AD136" s="1052"/>
      <c r="AE136" s="1052"/>
      <c r="AF136" s="1052"/>
      <c r="AG136" s="1052"/>
      <c r="AH136" s="1052"/>
      <c r="AI136" s="1052"/>
      <c r="AJ136" s="1052"/>
      <c r="AK136" s="1052"/>
      <c r="AL136" s="1052"/>
      <c r="AM136" s="1052"/>
      <c r="AN136" s="1052"/>
      <c r="AO136" s="1052"/>
      <c r="AP136" s="1052"/>
      <c r="AQ136" s="1052"/>
      <c r="AR136" s="1052"/>
      <c r="AS136" s="1052"/>
      <c r="AT136" s="1052"/>
      <c r="AU136" s="1052"/>
      <c r="AV136" s="1052"/>
      <c r="AW136" s="641">
        <v>-23.6025606481489</v>
      </c>
      <c r="AX136" s="187" t="s">
        <v>2569</v>
      </c>
      <c r="AY136" s="1080">
        <v>25000000</v>
      </c>
      <c r="AZ136" s="958" t="s">
        <v>112</v>
      </c>
      <c r="BA136" s="958" t="s">
        <v>112</v>
      </c>
      <c r="BB136" s="958" t="s">
        <v>112</v>
      </c>
      <c r="BC136" s="958" t="s">
        <v>112</v>
      </c>
      <c r="BD136" s="958" t="s">
        <v>112</v>
      </c>
      <c r="BE136" s="958" t="s">
        <v>112</v>
      </c>
      <c r="BF136" s="958" t="s">
        <v>112</v>
      </c>
      <c r="BG136" s="958" t="s">
        <v>112</v>
      </c>
      <c r="BH136" s="958" t="s">
        <v>112</v>
      </c>
      <c r="BI136" s="958" t="s">
        <v>112</v>
      </c>
      <c r="BJ136" s="958" t="s">
        <v>112</v>
      </c>
      <c r="BK136" s="958" t="s">
        <v>112</v>
      </c>
      <c r="BL136" s="927" t="s">
        <v>6126</v>
      </c>
      <c r="BM136" s="1104" t="s">
        <v>6138</v>
      </c>
      <c r="BN136" s="1095" t="s">
        <v>6139</v>
      </c>
      <c r="BO136" s="1095" t="s">
        <v>6140</v>
      </c>
      <c r="BP136" s="1545" t="s">
        <v>6141</v>
      </c>
      <c r="BQ136" s="1095" t="s">
        <v>6142</v>
      </c>
      <c r="BR136" s="1095"/>
      <c r="BS136" s="1095"/>
      <c r="BT136" s="229" t="s">
        <v>6143</v>
      </c>
      <c r="BU136" s="1205" t="s">
        <v>6133</v>
      </c>
      <c r="BV136" s="1255"/>
      <c r="BW136" s="1188"/>
    </row>
    <row r="137" s="1193" customFormat="1" ht="14.1" customHeight="1" spans="2:75">
      <c r="B137" s="1562" t="s">
        <v>1142</v>
      </c>
      <c r="C137" s="837" t="s">
        <v>6144</v>
      </c>
      <c r="D137" s="1199" t="s">
        <v>6145</v>
      </c>
      <c r="E137" s="1044" t="s">
        <v>6146</v>
      </c>
      <c r="F137" s="1044" t="s">
        <v>43</v>
      </c>
      <c r="G137" s="1044" t="s">
        <v>60</v>
      </c>
      <c r="H137" s="1044" t="s">
        <v>60</v>
      </c>
      <c r="I137" s="1051" t="s">
        <v>3089</v>
      </c>
      <c r="J137" s="1051" t="s">
        <v>4970</v>
      </c>
      <c r="K137" s="1051" t="s">
        <v>4922</v>
      </c>
      <c r="L137" s="1202">
        <v>42648</v>
      </c>
      <c r="M137" s="1202">
        <v>42735</v>
      </c>
      <c r="N137" s="1202">
        <v>42825</v>
      </c>
      <c r="O137" s="1202">
        <v>42886</v>
      </c>
      <c r="P137" s="1052">
        <v>42916</v>
      </c>
      <c r="Q137" s="1202">
        <v>42978</v>
      </c>
      <c r="R137" s="1211">
        <v>43039</v>
      </c>
      <c r="S137" s="1202"/>
      <c r="T137" s="1202"/>
      <c r="U137" s="1202"/>
      <c r="V137" s="1202"/>
      <c r="W137" s="1202"/>
      <c r="X137" s="1202"/>
      <c r="Y137" s="1202"/>
      <c r="Z137" s="1202"/>
      <c r="AA137" s="1202"/>
      <c r="AB137" s="1202"/>
      <c r="AC137" s="1202"/>
      <c r="AD137" s="1202"/>
      <c r="AE137" s="1202"/>
      <c r="AF137" s="1202"/>
      <c r="AG137" s="1202"/>
      <c r="AH137" s="1202"/>
      <c r="AI137" s="1202"/>
      <c r="AJ137" s="1202"/>
      <c r="AK137" s="1202"/>
      <c r="AL137" s="1202"/>
      <c r="AM137" s="1202"/>
      <c r="AN137" s="1202"/>
      <c r="AO137" s="1202"/>
      <c r="AP137" s="1202"/>
      <c r="AQ137" s="1202"/>
      <c r="AR137" s="1202"/>
      <c r="AS137" s="1202"/>
      <c r="AT137" s="1202"/>
      <c r="AU137" s="1202"/>
      <c r="AV137" s="1202"/>
      <c r="AW137" s="640">
        <v>-27.6025606481489</v>
      </c>
      <c r="AX137" s="121" t="s">
        <v>2569</v>
      </c>
      <c r="AY137" s="1080">
        <v>5000000</v>
      </c>
      <c r="AZ137" s="1080">
        <v>250000</v>
      </c>
      <c r="BA137" s="1081"/>
      <c r="BB137" s="1088">
        <v>1000000</v>
      </c>
      <c r="BC137" s="1081"/>
      <c r="BD137" s="1080"/>
      <c r="BE137" s="1080"/>
      <c r="BF137" s="1081">
        <v>500000</v>
      </c>
      <c r="BG137" s="1081">
        <v>500000</v>
      </c>
      <c r="BH137" s="1081">
        <v>200000</v>
      </c>
      <c r="BI137" s="1051" t="s">
        <v>112</v>
      </c>
      <c r="BJ137" s="1081" t="s">
        <v>48</v>
      </c>
      <c r="BK137" s="1081" t="s">
        <v>48</v>
      </c>
      <c r="BL137" s="1051" t="s">
        <v>4999</v>
      </c>
      <c r="BM137" s="1104" t="s">
        <v>6147</v>
      </c>
      <c r="BN137" s="1095" t="s">
        <v>6148</v>
      </c>
      <c r="BO137" s="1095" t="s">
        <v>6149</v>
      </c>
      <c r="BP137" s="1545" t="s">
        <v>6150</v>
      </c>
      <c r="BQ137" s="1095" t="s">
        <v>6151</v>
      </c>
      <c r="BR137" s="1095"/>
      <c r="BS137" s="1095" t="s">
        <v>6152</v>
      </c>
      <c r="BT137" s="1126" t="s">
        <v>6153</v>
      </c>
      <c r="BU137" s="1205" t="s">
        <v>6154</v>
      </c>
      <c r="BV137" s="1235" t="s">
        <v>6121</v>
      </c>
      <c r="BW137" s="1188"/>
    </row>
    <row r="138" s="1193" customFormat="1" ht="14.1" customHeight="1" spans="2:75">
      <c r="B138" s="1563" t="s">
        <v>357</v>
      </c>
      <c r="C138" s="838" t="s">
        <v>6155</v>
      </c>
      <c r="D138" s="1199" t="s">
        <v>6156</v>
      </c>
      <c r="E138" s="1044" t="s">
        <v>6157</v>
      </c>
      <c r="F138" s="1044" t="s">
        <v>43</v>
      </c>
      <c r="G138" s="1044" t="s">
        <v>60</v>
      </c>
      <c r="H138" s="1044" t="s">
        <v>60</v>
      </c>
      <c r="I138" s="1051" t="s">
        <v>3904</v>
      </c>
      <c r="J138" s="1051" t="s">
        <v>4970</v>
      </c>
      <c r="K138" s="1051" t="s">
        <v>1069</v>
      </c>
      <c r="L138" s="1202">
        <v>42769</v>
      </c>
      <c r="M138" s="1202">
        <v>42886</v>
      </c>
      <c r="N138" s="1202">
        <v>42916</v>
      </c>
      <c r="O138" s="1202">
        <v>43008</v>
      </c>
      <c r="P138" s="1205">
        <v>43039</v>
      </c>
      <c r="Q138" s="1202">
        <v>43100</v>
      </c>
      <c r="R138" s="1202"/>
      <c r="S138" s="1202"/>
      <c r="T138" s="1202"/>
      <c r="U138" s="1202"/>
      <c r="V138" s="1202"/>
      <c r="W138" s="1202"/>
      <c r="X138" s="1202"/>
      <c r="Y138" s="1202"/>
      <c r="Z138" s="1202"/>
      <c r="AA138" s="1202"/>
      <c r="AB138" s="1202"/>
      <c r="AC138" s="1202"/>
      <c r="AD138" s="1202"/>
      <c r="AE138" s="1202"/>
      <c r="AF138" s="1202"/>
      <c r="AG138" s="1202"/>
      <c r="AH138" s="1202"/>
      <c r="AI138" s="1202"/>
      <c r="AJ138" s="1202"/>
      <c r="AK138" s="1202"/>
      <c r="AL138" s="1202"/>
      <c r="AM138" s="1202"/>
      <c r="AN138" s="1202"/>
      <c r="AO138" s="1202"/>
      <c r="AP138" s="1202"/>
      <c r="AQ138" s="1202"/>
      <c r="AR138" s="1202"/>
      <c r="AS138" s="1202"/>
      <c r="AT138" s="1202"/>
      <c r="AU138" s="1202"/>
      <c r="AV138" s="1202"/>
      <c r="AW138" s="641">
        <v>-17.5290775462927</v>
      </c>
      <c r="AX138" s="187" t="s">
        <v>2569</v>
      </c>
      <c r="AY138" s="1080">
        <v>10000000</v>
      </c>
      <c r="AZ138" s="1080">
        <v>1000000</v>
      </c>
      <c r="BA138" s="1081"/>
      <c r="BB138" s="1088">
        <v>2000000</v>
      </c>
      <c r="BC138" s="1081">
        <v>2500000</v>
      </c>
      <c r="BD138" s="1080"/>
      <c r="BE138" s="1080"/>
      <c r="BF138" s="1081" t="s">
        <v>583</v>
      </c>
      <c r="BG138" s="1081">
        <v>500000</v>
      </c>
      <c r="BH138" s="1081">
        <v>250000</v>
      </c>
      <c r="BI138" s="1051" t="s">
        <v>0</v>
      </c>
      <c r="BJ138" s="1081" t="s">
        <v>48</v>
      </c>
      <c r="BK138" s="1081" t="s">
        <v>48</v>
      </c>
      <c r="BL138" s="1051" t="s">
        <v>6158</v>
      </c>
      <c r="BM138" s="1104" t="s">
        <v>6159</v>
      </c>
      <c r="BN138" s="1095" t="s">
        <v>6160</v>
      </c>
      <c r="BO138" s="1095" t="s">
        <v>6161</v>
      </c>
      <c r="BP138" s="1545" t="s">
        <v>6162</v>
      </c>
      <c r="BQ138" s="1095" t="s">
        <v>6163</v>
      </c>
      <c r="BR138" s="1095"/>
      <c r="BS138" s="1095"/>
      <c r="BT138" s="1126" t="s">
        <v>6164</v>
      </c>
      <c r="BU138" s="1205" t="s">
        <v>6165</v>
      </c>
      <c r="BV138" s="1235">
        <v>43100</v>
      </c>
      <c r="BW138" s="1188"/>
    </row>
    <row r="139" s="1193" customFormat="1" ht="14.1" customHeight="1" spans="2:75">
      <c r="B139" s="1563" t="s">
        <v>533</v>
      </c>
      <c r="C139" s="838" t="s">
        <v>6166</v>
      </c>
      <c r="D139" s="1199" t="s">
        <v>5610</v>
      </c>
      <c r="E139" s="1044" t="s">
        <v>5611</v>
      </c>
      <c r="F139" s="1044" t="s">
        <v>43</v>
      </c>
      <c r="G139" s="1044" t="s">
        <v>96</v>
      </c>
      <c r="H139" s="1044" t="s">
        <v>96</v>
      </c>
      <c r="I139" s="1051" t="s">
        <v>3089</v>
      </c>
      <c r="J139" s="1051" t="s">
        <v>4970</v>
      </c>
      <c r="K139" s="1051" t="s">
        <v>5720</v>
      </c>
      <c r="L139" s="1202">
        <v>42786</v>
      </c>
      <c r="M139" s="1202">
        <v>42825</v>
      </c>
      <c r="N139" s="1202">
        <v>42844</v>
      </c>
      <c r="O139" s="1202">
        <v>42874</v>
      </c>
      <c r="P139" s="1202">
        <v>42905</v>
      </c>
      <c r="Q139" s="1202">
        <v>42947</v>
      </c>
      <c r="R139" s="1202">
        <v>42978</v>
      </c>
      <c r="S139" s="1205">
        <v>43039</v>
      </c>
      <c r="T139" s="1202">
        <v>43100</v>
      </c>
      <c r="U139" s="1202"/>
      <c r="V139" s="1202"/>
      <c r="W139" s="1202"/>
      <c r="X139" s="1202"/>
      <c r="Y139" s="1202"/>
      <c r="Z139" s="1202"/>
      <c r="AA139" s="1202"/>
      <c r="AB139" s="1202"/>
      <c r="AC139" s="1202"/>
      <c r="AD139" s="1202"/>
      <c r="AE139" s="1202"/>
      <c r="AF139" s="1202"/>
      <c r="AG139" s="1202"/>
      <c r="AH139" s="1202"/>
      <c r="AI139" s="1202"/>
      <c r="AJ139" s="1202"/>
      <c r="AK139" s="1202"/>
      <c r="AL139" s="1202"/>
      <c r="AM139" s="1202"/>
      <c r="AN139" s="1202"/>
      <c r="AO139" s="1202"/>
      <c r="AP139" s="1202"/>
      <c r="AQ139" s="1202"/>
      <c r="AR139" s="1202"/>
      <c r="AS139" s="1202"/>
      <c r="AT139" s="1202"/>
      <c r="AU139" s="1202"/>
      <c r="AV139" s="1202"/>
      <c r="AW139" s="641">
        <v>-17.5290775462927</v>
      </c>
      <c r="AX139" s="187" t="s">
        <v>2569</v>
      </c>
      <c r="AY139" s="1080">
        <v>12500000</v>
      </c>
      <c r="AZ139" s="1080">
        <v>1000000</v>
      </c>
      <c r="BA139" s="1081" t="s">
        <v>583</v>
      </c>
      <c r="BB139" s="1088"/>
      <c r="BC139" s="1081">
        <v>1500000</v>
      </c>
      <c r="BD139" s="1080"/>
      <c r="BE139" s="1080"/>
      <c r="BF139" s="1081">
        <v>3000000</v>
      </c>
      <c r="BG139" s="1081">
        <v>500000</v>
      </c>
      <c r="BH139" s="1081">
        <v>250000</v>
      </c>
      <c r="BI139" s="1051" t="s">
        <v>0</v>
      </c>
      <c r="BJ139" s="1081" t="s">
        <v>48</v>
      </c>
      <c r="BK139" s="1081" t="s">
        <v>48</v>
      </c>
      <c r="BL139" s="1051" t="s">
        <v>5721</v>
      </c>
      <c r="BM139" s="1104" t="s">
        <v>5612</v>
      </c>
      <c r="BN139" s="1095" t="s">
        <v>5613</v>
      </c>
      <c r="BO139" s="1095" t="s">
        <v>5614</v>
      </c>
      <c r="BP139" s="1545" t="s">
        <v>5615</v>
      </c>
      <c r="BQ139" s="1095" t="s">
        <v>5616</v>
      </c>
      <c r="BR139" s="1095"/>
      <c r="BS139" s="1095" t="s">
        <v>5617</v>
      </c>
      <c r="BT139" s="1126" t="s">
        <v>5618</v>
      </c>
      <c r="BU139" s="1205" t="s">
        <v>6167</v>
      </c>
      <c r="BV139" s="1235">
        <v>43100</v>
      </c>
      <c r="BW139" s="1188"/>
    </row>
    <row r="140" s="1193" customFormat="1" ht="14.1" customHeight="1" spans="2:75">
      <c r="B140" s="1563" t="s">
        <v>766</v>
      </c>
      <c r="C140" s="838" t="s">
        <v>6168</v>
      </c>
      <c r="D140" s="168" t="s">
        <v>6169</v>
      </c>
      <c r="E140" s="979" t="s">
        <v>6170</v>
      </c>
      <c r="F140" s="922" t="s">
        <v>43</v>
      </c>
      <c r="G140" s="922" t="s">
        <v>254</v>
      </c>
      <c r="H140" s="922" t="s">
        <v>254</v>
      </c>
      <c r="I140" s="927" t="s">
        <v>6171</v>
      </c>
      <c r="J140" s="927" t="s">
        <v>5347</v>
      </c>
      <c r="K140" s="927" t="s">
        <v>6172</v>
      </c>
      <c r="L140" s="934">
        <v>42737</v>
      </c>
      <c r="M140" s="934">
        <v>42794</v>
      </c>
      <c r="N140" s="934">
        <v>42855</v>
      </c>
      <c r="O140" s="934">
        <v>42916</v>
      </c>
      <c r="P140" s="1202">
        <v>42978</v>
      </c>
      <c r="Q140" s="1205">
        <v>43008</v>
      </c>
      <c r="R140" s="1205">
        <v>43039</v>
      </c>
      <c r="S140" s="1202">
        <v>43069</v>
      </c>
      <c r="T140" s="1202">
        <v>43100</v>
      </c>
      <c r="U140" s="934"/>
      <c r="V140" s="934"/>
      <c r="W140" s="934"/>
      <c r="X140" s="934"/>
      <c r="Y140" s="934"/>
      <c r="Z140" s="934"/>
      <c r="AA140" s="934"/>
      <c r="AB140" s="989"/>
      <c r="AC140" s="989"/>
      <c r="AD140" s="989"/>
      <c r="AE140" s="989"/>
      <c r="AF140" s="989"/>
      <c r="AG140" s="989"/>
      <c r="AH140" s="989"/>
      <c r="AI140" s="989"/>
      <c r="AJ140" s="989"/>
      <c r="AK140" s="1206"/>
      <c r="AL140" s="1206"/>
      <c r="AM140" s="1206"/>
      <c r="AN140" s="1206"/>
      <c r="AO140" s="1206"/>
      <c r="AP140" s="1206"/>
      <c r="AQ140" s="1206"/>
      <c r="AR140" s="1206"/>
      <c r="AS140" s="1206"/>
      <c r="AT140" s="1206"/>
      <c r="AU140" s="1206"/>
      <c r="AV140" s="1206"/>
      <c r="AW140" s="641">
        <v>-17.5290775462927</v>
      </c>
      <c r="AX140" s="187" t="s">
        <v>2569</v>
      </c>
      <c r="AY140" s="1006">
        <v>8500000</v>
      </c>
      <c r="AZ140" s="1006">
        <v>500000</v>
      </c>
      <c r="BA140" s="1006">
        <v>3000000</v>
      </c>
      <c r="BB140" s="1249"/>
      <c r="BC140" s="1006">
        <v>3500000</v>
      </c>
      <c r="BD140" s="1006"/>
      <c r="BE140" s="1006"/>
      <c r="BF140" s="1206"/>
      <c r="BG140" s="1006">
        <v>500000</v>
      </c>
      <c r="BH140" s="1006">
        <v>500000</v>
      </c>
      <c r="BI140" s="963" t="s">
        <v>112</v>
      </c>
      <c r="BJ140" s="957" t="s">
        <v>113</v>
      </c>
      <c r="BK140" s="957" t="s">
        <v>113</v>
      </c>
      <c r="BL140" s="927" t="s">
        <v>6173</v>
      </c>
      <c r="BM140" s="290" t="s">
        <v>6174</v>
      </c>
      <c r="BN140" s="962" t="s">
        <v>6175</v>
      </c>
      <c r="BO140" s="1014" t="s">
        <v>6176</v>
      </c>
      <c r="BP140" s="963" t="s">
        <v>6177</v>
      </c>
      <c r="BQ140" s="963" t="s">
        <v>6178</v>
      </c>
      <c r="BR140" s="963"/>
      <c r="BS140" s="1013"/>
      <c r="BT140" s="962" t="s">
        <v>6179</v>
      </c>
      <c r="BU140" s="1205" t="s">
        <v>6167</v>
      </c>
      <c r="BV140" s="1235">
        <v>43100</v>
      </c>
      <c r="BW140" s="1188"/>
    </row>
    <row r="141" s="1193" customFormat="1" ht="14.1" customHeight="1" spans="2:75">
      <c r="B141" s="1563" t="s">
        <v>777</v>
      </c>
      <c r="C141" s="838" t="s">
        <v>6180</v>
      </c>
      <c r="D141" s="168" t="s">
        <v>6181</v>
      </c>
      <c r="E141" s="979" t="s">
        <v>6182</v>
      </c>
      <c r="F141" s="922" t="s">
        <v>43</v>
      </c>
      <c r="G141" s="922" t="s">
        <v>254</v>
      </c>
      <c r="H141" s="922" t="s">
        <v>254</v>
      </c>
      <c r="I141" s="927" t="s">
        <v>6183</v>
      </c>
      <c r="J141" s="1051"/>
      <c r="K141" s="927" t="s">
        <v>5130</v>
      </c>
      <c r="L141" s="934">
        <v>42890</v>
      </c>
      <c r="M141" s="934">
        <v>42981</v>
      </c>
      <c r="N141" s="1205">
        <v>43008</v>
      </c>
      <c r="O141" s="1205">
        <v>43039</v>
      </c>
      <c r="P141" s="1202">
        <v>43069</v>
      </c>
      <c r="Q141" s="1202">
        <v>43100</v>
      </c>
      <c r="R141" s="934"/>
      <c r="S141" s="934"/>
      <c r="T141" s="934"/>
      <c r="U141" s="934"/>
      <c r="V141" s="934"/>
      <c r="W141" s="934"/>
      <c r="X141" s="934"/>
      <c r="Y141" s="934"/>
      <c r="Z141" s="934"/>
      <c r="AA141" s="934"/>
      <c r="AB141" s="989"/>
      <c r="AC141" s="989"/>
      <c r="AD141" s="989"/>
      <c r="AE141" s="989"/>
      <c r="AF141" s="989"/>
      <c r="AG141" s="989"/>
      <c r="AH141" s="989"/>
      <c r="AI141" s="989"/>
      <c r="AJ141" s="989"/>
      <c r="AK141" s="1206"/>
      <c r="AL141" s="1206"/>
      <c r="AM141" s="1206"/>
      <c r="AN141" s="1206"/>
      <c r="AO141" s="1206"/>
      <c r="AP141" s="1206"/>
      <c r="AQ141" s="1206"/>
      <c r="AR141" s="1206"/>
      <c r="AS141" s="1206"/>
      <c r="AT141" s="1206"/>
      <c r="AU141" s="1206"/>
      <c r="AV141" s="1206"/>
      <c r="AW141" s="641">
        <v>-17.5290775462927</v>
      </c>
      <c r="AX141" s="187" t="s">
        <v>2569</v>
      </c>
      <c r="AY141" s="1006">
        <v>9000000</v>
      </c>
      <c r="AZ141" s="958">
        <v>1000000</v>
      </c>
      <c r="BA141" s="958" t="s">
        <v>583</v>
      </c>
      <c r="BB141" s="1250"/>
      <c r="BC141" s="958">
        <v>1750000</v>
      </c>
      <c r="BD141" s="958"/>
      <c r="BE141" s="958"/>
      <c r="BF141" s="958" t="s">
        <v>583</v>
      </c>
      <c r="BG141" s="958">
        <v>500000</v>
      </c>
      <c r="BH141" s="958">
        <v>250000</v>
      </c>
      <c r="BI141" s="958" t="s">
        <v>112</v>
      </c>
      <c r="BJ141" s="957" t="s">
        <v>113</v>
      </c>
      <c r="BK141" s="957" t="s">
        <v>113</v>
      </c>
      <c r="BL141" s="927"/>
      <c r="BM141" s="290" t="s">
        <v>6184</v>
      </c>
      <c r="BN141" s="1541" t="s">
        <v>6185</v>
      </c>
      <c r="BO141" s="1014" t="s">
        <v>6186</v>
      </c>
      <c r="BP141" s="963" t="s">
        <v>6187</v>
      </c>
      <c r="BQ141" s="963" t="s">
        <v>6188</v>
      </c>
      <c r="BR141" s="963"/>
      <c r="BS141" s="1566" t="s">
        <v>6189</v>
      </c>
      <c r="BT141" s="229" t="s">
        <v>6190</v>
      </c>
      <c r="BU141" s="1205" t="s">
        <v>6167</v>
      </c>
      <c r="BV141" s="1235">
        <v>43100</v>
      </c>
      <c r="BW141" s="1188"/>
    </row>
    <row r="142" s="1193" customFormat="1" ht="14.1" customHeight="1" spans="2:75">
      <c r="B142" s="1563" t="s">
        <v>798</v>
      </c>
      <c r="C142" s="838" t="s">
        <v>6191</v>
      </c>
      <c r="D142" s="1199" t="s">
        <v>6192</v>
      </c>
      <c r="E142" s="1044" t="s">
        <v>6193</v>
      </c>
      <c r="F142" s="1044" t="s">
        <v>125</v>
      </c>
      <c r="G142" s="1044" t="s">
        <v>44</v>
      </c>
      <c r="H142" s="1044" t="s">
        <v>44</v>
      </c>
      <c r="I142" s="1051" t="s">
        <v>3528</v>
      </c>
      <c r="J142" s="1051"/>
      <c r="K142" s="1051" t="s">
        <v>722</v>
      </c>
      <c r="L142" s="1202">
        <v>42940</v>
      </c>
      <c r="M142" s="1202">
        <v>43008</v>
      </c>
      <c r="N142" s="1205">
        <v>43039</v>
      </c>
      <c r="O142" s="1202">
        <v>43069</v>
      </c>
      <c r="P142" s="1202">
        <v>43100</v>
      </c>
      <c r="Q142" s="1202"/>
      <c r="R142" s="1202"/>
      <c r="S142" s="1202"/>
      <c r="T142" s="1202"/>
      <c r="U142" s="1202"/>
      <c r="V142" s="1202"/>
      <c r="W142" s="1202"/>
      <c r="X142" s="1202"/>
      <c r="Y142" s="1202"/>
      <c r="Z142" s="1202"/>
      <c r="AA142" s="1202"/>
      <c r="AB142" s="1202"/>
      <c r="AC142" s="1202"/>
      <c r="AD142" s="1202"/>
      <c r="AE142" s="1202"/>
      <c r="AF142" s="1202"/>
      <c r="AG142" s="1202"/>
      <c r="AH142" s="1202"/>
      <c r="AI142" s="1202"/>
      <c r="AJ142" s="1202"/>
      <c r="AK142" s="1202"/>
      <c r="AL142" s="1202"/>
      <c r="AM142" s="1202"/>
      <c r="AN142" s="1202"/>
      <c r="AO142" s="1202"/>
      <c r="AP142" s="1202"/>
      <c r="AQ142" s="1202"/>
      <c r="AR142" s="1202"/>
      <c r="AS142" s="1202"/>
      <c r="AT142" s="1202"/>
      <c r="AU142" s="1202"/>
      <c r="AV142" s="1202"/>
      <c r="AW142" s="641">
        <v>-17.5290775462927</v>
      </c>
      <c r="AX142" s="187" t="s">
        <v>2569</v>
      </c>
      <c r="AY142" s="1080">
        <v>2900000</v>
      </c>
      <c r="AZ142" s="1080">
        <v>200000</v>
      </c>
      <c r="BA142" s="1081"/>
      <c r="BB142" s="1088"/>
      <c r="BC142" s="1081"/>
      <c r="BD142" s="1080"/>
      <c r="BE142" s="1080"/>
      <c r="BF142" s="1081">
        <v>200000</v>
      </c>
      <c r="BG142" s="1081"/>
      <c r="BH142" s="1081">
        <v>150000</v>
      </c>
      <c r="BI142" s="1051" t="s">
        <v>0</v>
      </c>
      <c r="BJ142" s="1081" t="s">
        <v>48</v>
      </c>
      <c r="BK142" s="1253" t="s">
        <v>5296</v>
      </c>
      <c r="BL142" s="1051" t="s">
        <v>6194</v>
      </c>
      <c r="BM142" s="1104" t="s">
        <v>6195</v>
      </c>
      <c r="BN142" s="1095" t="s">
        <v>6196</v>
      </c>
      <c r="BO142" s="1095" t="s">
        <v>6197</v>
      </c>
      <c r="BP142" s="1545" t="s">
        <v>6198</v>
      </c>
      <c r="BQ142" s="1095" t="s">
        <v>6199</v>
      </c>
      <c r="BR142" s="1095"/>
      <c r="BS142" s="1095"/>
      <c r="BT142" s="229" t="s">
        <v>6200</v>
      </c>
      <c r="BU142" s="1205" t="s">
        <v>6167</v>
      </c>
      <c r="BV142" s="1235">
        <v>43100</v>
      </c>
      <c r="BW142" s="1188"/>
    </row>
    <row r="143" s="1193" customFormat="1" ht="14.1" customHeight="1" spans="2:75">
      <c r="B143" s="1563" t="s">
        <v>806</v>
      </c>
      <c r="C143" s="838" t="s">
        <v>6201</v>
      </c>
      <c r="D143" s="1199" t="s">
        <v>6202</v>
      </c>
      <c r="E143" s="1044" t="s">
        <v>6203</v>
      </c>
      <c r="F143" s="1044" t="s">
        <v>125</v>
      </c>
      <c r="G143" s="1044" t="s">
        <v>44</v>
      </c>
      <c r="H143" s="1044" t="s">
        <v>44</v>
      </c>
      <c r="I143" s="1051" t="s">
        <v>3528</v>
      </c>
      <c r="J143" s="1051"/>
      <c r="K143" s="1051" t="s">
        <v>722</v>
      </c>
      <c r="L143" s="1202">
        <v>42937</v>
      </c>
      <c r="M143" s="1202">
        <v>42978</v>
      </c>
      <c r="N143" s="1205">
        <v>43008</v>
      </c>
      <c r="O143" s="1205">
        <v>43039</v>
      </c>
      <c r="P143" s="1202">
        <v>43069</v>
      </c>
      <c r="Q143" s="1202">
        <v>43100</v>
      </c>
      <c r="R143" s="1202"/>
      <c r="S143" s="1202"/>
      <c r="T143" s="1202"/>
      <c r="U143" s="1202"/>
      <c r="V143" s="1202"/>
      <c r="W143" s="1202"/>
      <c r="X143" s="1202"/>
      <c r="Y143" s="1202"/>
      <c r="Z143" s="1202"/>
      <c r="AA143" s="1202"/>
      <c r="AB143" s="1202"/>
      <c r="AC143" s="1202"/>
      <c r="AD143" s="1202"/>
      <c r="AE143" s="1202"/>
      <c r="AF143" s="1202"/>
      <c r="AG143" s="1202"/>
      <c r="AH143" s="1202"/>
      <c r="AI143" s="1202"/>
      <c r="AJ143" s="1202"/>
      <c r="AK143" s="1202"/>
      <c r="AL143" s="1202"/>
      <c r="AM143" s="1202"/>
      <c r="AN143" s="1202"/>
      <c r="AO143" s="1202"/>
      <c r="AP143" s="1202"/>
      <c r="AQ143" s="1202"/>
      <c r="AR143" s="1202"/>
      <c r="AS143" s="1202"/>
      <c r="AT143" s="1202"/>
      <c r="AU143" s="1202"/>
      <c r="AV143" s="1202"/>
      <c r="AW143" s="641">
        <v>-17.5290775462927</v>
      </c>
      <c r="AX143" s="187" t="s">
        <v>2569</v>
      </c>
      <c r="AY143" s="1080">
        <v>3500000</v>
      </c>
      <c r="AZ143" s="1080">
        <v>200000</v>
      </c>
      <c r="BA143" s="1081"/>
      <c r="BB143" s="1088"/>
      <c r="BC143" s="1081"/>
      <c r="BD143" s="1080"/>
      <c r="BE143" s="1080"/>
      <c r="BF143" s="1081"/>
      <c r="BG143" s="1081"/>
      <c r="BH143" s="1081">
        <v>150000</v>
      </c>
      <c r="BI143" s="1051" t="s">
        <v>0</v>
      </c>
      <c r="BJ143" s="1081" t="s">
        <v>48</v>
      </c>
      <c r="BK143" s="1253" t="s">
        <v>5296</v>
      </c>
      <c r="BL143" s="1051"/>
      <c r="BM143" s="1104" t="s">
        <v>6204</v>
      </c>
      <c r="BN143" s="1095" t="s">
        <v>6205</v>
      </c>
      <c r="BO143" s="1095" t="s">
        <v>6206</v>
      </c>
      <c r="BP143" s="1545" t="s">
        <v>6207</v>
      </c>
      <c r="BQ143" s="1095"/>
      <c r="BR143" s="1095"/>
      <c r="BS143" s="1095"/>
      <c r="BT143" s="229" t="s">
        <v>6208</v>
      </c>
      <c r="BU143" s="1205" t="s">
        <v>6167</v>
      </c>
      <c r="BV143" s="1235">
        <v>43100</v>
      </c>
      <c r="BW143" s="1188"/>
    </row>
    <row r="144" s="1193" customFormat="1" ht="14.1" customHeight="1" spans="2:75">
      <c r="B144" s="1563" t="s">
        <v>916</v>
      </c>
      <c r="C144" s="32" t="s">
        <v>6209</v>
      </c>
      <c r="D144" s="1199" t="s">
        <v>6210</v>
      </c>
      <c r="E144" s="1044" t="s">
        <v>6211</v>
      </c>
      <c r="F144" s="1044" t="s">
        <v>43</v>
      </c>
      <c r="G144" s="1044" t="s">
        <v>254</v>
      </c>
      <c r="H144" s="1044" t="s">
        <v>254</v>
      </c>
      <c r="I144" s="1051" t="s">
        <v>665</v>
      </c>
      <c r="J144" s="1051"/>
      <c r="K144" s="1051" t="s">
        <v>6212</v>
      </c>
      <c r="L144" s="1202">
        <v>42979</v>
      </c>
      <c r="M144" s="1202">
        <v>43069</v>
      </c>
      <c r="N144" s="1202">
        <v>43100</v>
      </c>
      <c r="O144" s="1202"/>
      <c r="P144" s="1206"/>
      <c r="Q144" s="1202"/>
      <c r="R144" s="1202"/>
      <c r="S144" s="1202"/>
      <c r="T144" s="1202"/>
      <c r="U144" s="1202"/>
      <c r="V144" s="1202"/>
      <c r="W144" s="1202"/>
      <c r="X144" s="1202"/>
      <c r="Y144" s="1202"/>
      <c r="Z144" s="1202"/>
      <c r="AA144" s="1202"/>
      <c r="AB144" s="1202"/>
      <c r="AC144" s="1202"/>
      <c r="AD144" s="1202"/>
      <c r="AE144" s="1202"/>
      <c r="AF144" s="1202"/>
      <c r="AG144" s="1202"/>
      <c r="AH144" s="1202"/>
      <c r="AI144" s="1202"/>
      <c r="AJ144" s="1202"/>
      <c r="AK144" s="1202"/>
      <c r="AL144" s="1202"/>
      <c r="AM144" s="1202"/>
      <c r="AN144" s="1202"/>
      <c r="AO144" s="1202"/>
      <c r="AP144" s="1202"/>
      <c r="AQ144" s="1202"/>
      <c r="AR144" s="1202"/>
      <c r="AS144" s="1202"/>
      <c r="AT144" s="1202"/>
      <c r="AU144" s="1202"/>
      <c r="AV144" s="1202"/>
      <c r="AW144" s="641">
        <v>-17.5290775462927</v>
      </c>
      <c r="AX144" s="187" t="s">
        <v>2569</v>
      </c>
      <c r="AY144" s="1080">
        <v>6000000</v>
      </c>
      <c r="AZ144" s="1080">
        <v>500000</v>
      </c>
      <c r="BA144" s="1081"/>
      <c r="BB144" s="1088"/>
      <c r="BC144" s="1081">
        <v>1500000</v>
      </c>
      <c r="BD144" s="1080"/>
      <c r="BE144" s="1080"/>
      <c r="BF144" s="1081"/>
      <c r="BG144" s="1081">
        <v>500000</v>
      </c>
      <c r="BH144" s="1081">
        <v>150000</v>
      </c>
      <c r="BI144" s="1051" t="s">
        <v>0</v>
      </c>
      <c r="BJ144" s="1081" t="s">
        <v>48</v>
      </c>
      <c r="BK144" s="1081" t="s">
        <v>48</v>
      </c>
      <c r="BL144" s="1051"/>
      <c r="BM144" s="1104" t="s">
        <v>6213</v>
      </c>
      <c r="BN144" s="1095" t="s">
        <v>6214</v>
      </c>
      <c r="BO144" s="1095" t="s">
        <v>6215</v>
      </c>
      <c r="BP144" s="1545" t="s">
        <v>6216</v>
      </c>
      <c r="BQ144" s="1095" t="s">
        <v>6217</v>
      </c>
      <c r="BR144" s="1095"/>
      <c r="BS144" s="1545" t="s">
        <v>6218</v>
      </c>
      <c r="BT144" s="229" t="s">
        <v>6219</v>
      </c>
      <c r="BU144" s="1205" t="s">
        <v>6167</v>
      </c>
      <c r="BV144" s="1235">
        <v>43100</v>
      </c>
      <c r="BW144" s="1188"/>
    </row>
    <row r="145" s="1193" customFormat="1" ht="14.1" customHeight="1" spans="2:75">
      <c r="B145" s="1563" t="s">
        <v>970</v>
      </c>
      <c r="C145" s="838" t="s">
        <v>6220</v>
      </c>
      <c r="D145" s="1241" t="s">
        <v>6221</v>
      </c>
      <c r="E145" s="979" t="s">
        <v>6222</v>
      </c>
      <c r="F145" s="922" t="s">
        <v>43</v>
      </c>
      <c r="G145" s="922" t="s">
        <v>404</v>
      </c>
      <c r="H145" s="922" t="s">
        <v>404</v>
      </c>
      <c r="I145" s="927" t="s">
        <v>3528</v>
      </c>
      <c r="J145" s="1051" t="s">
        <v>4970</v>
      </c>
      <c r="K145" s="927" t="s">
        <v>6223</v>
      </c>
      <c r="L145" s="989">
        <v>42871</v>
      </c>
      <c r="M145" s="989">
        <v>42978</v>
      </c>
      <c r="N145" s="1211">
        <v>43008</v>
      </c>
      <c r="O145" s="1202">
        <v>43039</v>
      </c>
      <c r="P145" s="1202">
        <v>43069</v>
      </c>
      <c r="Q145" s="1202">
        <v>43100</v>
      </c>
      <c r="R145" s="989"/>
      <c r="S145" s="989"/>
      <c r="T145" s="989"/>
      <c r="U145" s="989"/>
      <c r="V145" s="989"/>
      <c r="W145" s="989"/>
      <c r="X145" s="989"/>
      <c r="Y145" s="989"/>
      <c r="Z145" s="989"/>
      <c r="AA145" s="989"/>
      <c r="AB145" s="989"/>
      <c r="AC145" s="989"/>
      <c r="AD145" s="989"/>
      <c r="AE145" s="989"/>
      <c r="AF145" s="989"/>
      <c r="AG145" s="989"/>
      <c r="AH145" s="989"/>
      <c r="AI145" s="989"/>
      <c r="AJ145" s="989"/>
      <c r="AK145" s="1244"/>
      <c r="AL145" s="1244"/>
      <c r="AM145" s="1244"/>
      <c r="AN145" s="1244"/>
      <c r="AO145" s="1244"/>
      <c r="AP145" s="1244"/>
      <c r="AQ145" s="1244"/>
      <c r="AR145" s="1244"/>
      <c r="AS145" s="1244"/>
      <c r="AT145" s="1244"/>
      <c r="AU145" s="1244"/>
      <c r="AV145" s="1244"/>
      <c r="AW145" s="641">
        <v>-17.5290775462927</v>
      </c>
      <c r="AX145" s="187" t="s">
        <v>2569</v>
      </c>
      <c r="AY145" s="1006">
        <v>18500000</v>
      </c>
      <c r="AZ145" s="958" t="s">
        <v>112</v>
      </c>
      <c r="BA145" s="958" t="s">
        <v>112</v>
      </c>
      <c r="BB145" s="1250" t="s">
        <v>112</v>
      </c>
      <c r="BC145" s="958" t="s">
        <v>112</v>
      </c>
      <c r="BD145" s="958" t="s">
        <v>112</v>
      </c>
      <c r="BE145" s="958" t="s">
        <v>112</v>
      </c>
      <c r="BF145" s="958" t="s">
        <v>112</v>
      </c>
      <c r="BG145" s="958" t="s">
        <v>112</v>
      </c>
      <c r="BH145" s="958" t="s">
        <v>112</v>
      </c>
      <c r="BI145" s="958" t="s">
        <v>112</v>
      </c>
      <c r="BJ145" s="958" t="s">
        <v>112</v>
      </c>
      <c r="BK145" s="957" t="s">
        <v>113</v>
      </c>
      <c r="BL145" s="927" t="s">
        <v>6126</v>
      </c>
      <c r="BM145" s="290" t="s">
        <v>6224</v>
      </c>
      <c r="BN145" s="1541" t="s">
        <v>6225</v>
      </c>
      <c r="BO145" s="1541" t="s">
        <v>6226</v>
      </c>
      <c r="BP145" s="963" t="s">
        <v>6227</v>
      </c>
      <c r="BQ145" s="963" t="s">
        <v>6228</v>
      </c>
      <c r="BR145" s="963" t="s">
        <v>6229</v>
      </c>
      <c r="BS145" s="1566" t="s">
        <v>6230</v>
      </c>
      <c r="BT145" s="229" t="s">
        <v>6231</v>
      </c>
      <c r="BU145" s="1205" t="s">
        <v>6167</v>
      </c>
      <c r="BV145" s="1235">
        <v>43100</v>
      </c>
      <c r="BW145" s="1188"/>
    </row>
    <row r="146" s="1193" customFormat="1" ht="14.1" customHeight="1" spans="2:75">
      <c r="B146" s="1563" t="s">
        <v>1064</v>
      </c>
      <c r="C146" s="838" t="s">
        <v>6232</v>
      </c>
      <c r="D146" s="838" t="s">
        <v>6233</v>
      </c>
      <c r="E146" s="1044" t="s">
        <v>6234</v>
      </c>
      <c r="F146" s="1044" t="s">
        <v>125</v>
      </c>
      <c r="G146" s="1044" t="s">
        <v>44</v>
      </c>
      <c r="H146" s="1044" t="s">
        <v>44</v>
      </c>
      <c r="I146" s="1051" t="s">
        <v>3528</v>
      </c>
      <c r="J146" s="1051"/>
      <c r="K146" s="1051" t="s">
        <v>6235</v>
      </c>
      <c r="L146" s="1052">
        <v>43024</v>
      </c>
      <c r="M146" s="1052">
        <v>43100</v>
      </c>
      <c r="N146" s="1202"/>
      <c r="O146" s="1052"/>
      <c r="P146" s="1052"/>
      <c r="Q146" s="1205"/>
      <c r="R146" s="1052"/>
      <c r="S146" s="1052"/>
      <c r="T146" s="1052"/>
      <c r="U146" s="1052"/>
      <c r="V146" s="1052"/>
      <c r="W146" s="1052"/>
      <c r="X146" s="1052"/>
      <c r="Y146" s="1052"/>
      <c r="Z146" s="1052"/>
      <c r="AA146" s="1052"/>
      <c r="AB146" s="1052"/>
      <c r="AC146" s="1052"/>
      <c r="AD146" s="1052"/>
      <c r="AE146" s="1052"/>
      <c r="AF146" s="1052"/>
      <c r="AG146" s="1052"/>
      <c r="AH146" s="1052"/>
      <c r="AI146" s="1052"/>
      <c r="AJ146" s="1052"/>
      <c r="AK146" s="1052"/>
      <c r="AL146" s="1052"/>
      <c r="AM146" s="1052"/>
      <c r="AN146" s="1052"/>
      <c r="AO146" s="1052"/>
      <c r="AP146" s="1052"/>
      <c r="AQ146" s="1052"/>
      <c r="AR146" s="1052"/>
      <c r="AS146" s="1052"/>
      <c r="AT146" s="1052"/>
      <c r="AU146" s="1052"/>
      <c r="AV146" s="1052"/>
      <c r="AW146" s="641">
        <v>-17.5290775462927</v>
      </c>
      <c r="AX146" s="187" t="s">
        <v>2569</v>
      </c>
      <c r="AY146" s="1080">
        <v>15000000</v>
      </c>
      <c r="AZ146" s="1080">
        <v>500000</v>
      </c>
      <c r="BA146" s="1081"/>
      <c r="BB146" s="1088"/>
      <c r="BC146" s="1081">
        <v>1500000</v>
      </c>
      <c r="BD146" s="1080"/>
      <c r="BE146" s="1080"/>
      <c r="BF146" s="1081"/>
      <c r="BG146" s="1081">
        <v>500000</v>
      </c>
      <c r="BH146" s="1081">
        <v>250000</v>
      </c>
      <c r="BI146" s="1051" t="s">
        <v>0</v>
      </c>
      <c r="BJ146" s="1081" t="s">
        <v>48</v>
      </c>
      <c r="BK146" s="1081" t="s">
        <v>48</v>
      </c>
      <c r="BL146" s="1051"/>
      <c r="BM146" s="1104" t="s">
        <v>6236</v>
      </c>
      <c r="BN146" s="1095" t="s">
        <v>6237</v>
      </c>
      <c r="BO146" s="1095" t="s">
        <v>6238</v>
      </c>
      <c r="BP146" s="1545" t="s">
        <v>6239</v>
      </c>
      <c r="BQ146" s="1095" t="s">
        <v>6240</v>
      </c>
      <c r="BR146" s="1095"/>
      <c r="BS146" s="1095"/>
      <c r="BT146" s="229" t="s">
        <v>6241</v>
      </c>
      <c r="BU146" s="1205" t="s">
        <v>6167</v>
      </c>
      <c r="BV146" s="1235">
        <v>43100</v>
      </c>
      <c r="BW146" s="1188"/>
    </row>
    <row r="147" s="1193" customFormat="1" ht="14.1" customHeight="1" spans="2:75">
      <c r="B147" s="1563" t="s">
        <v>1086</v>
      </c>
      <c r="C147" s="838" t="s">
        <v>6242</v>
      </c>
      <c r="D147" s="1199" t="s">
        <v>6243</v>
      </c>
      <c r="E147" s="1044" t="s">
        <v>6244</v>
      </c>
      <c r="F147" s="1044" t="s">
        <v>43</v>
      </c>
      <c r="G147" s="1044" t="s">
        <v>96</v>
      </c>
      <c r="H147" s="1044" t="s">
        <v>96</v>
      </c>
      <c r="I147" s="1051" t="s">
        <v>3528</v>
      </c>
      <c r="J147" s="838" t="s">
        <v>4970</v>
      </c>
      <c r="K147" s="1051" t="s">
        <v>6245</v>
      </c>
      <c r="L147" s="1202">
        <v>43028</v>
      </c>
      <c r="M147" s="1202">
        <v>43100</v>
      </c>
      <c r="N147" s="1202"/>
      <c r="O147" s="1202"/>
      <c r="P147" s="1052"/>
      <c r="Q147" s="1202"/>
      <c r="R147" s="1211"/>
      <c r="S147" s="1202"/>
      <c r="T147" s="1202"/>
      <c r="U147" s="1202"/>
      <c r="V147" s="1202"/>
      <c r="W147" s="1202"/>
      <c r="X147" s="1202"/>
      <c r="Y147" s="1202"/>
      <c r="Z147" s="1202"/>
      <c r="AA147" s="1202"/>
      <c r="AB147" s="1202"/>
      <c r="AC147" s="1202"/>
      <c r="AD147" s="1202"/>
      <c r="AE147" s="1202"/>
      <c r="AF147" s="1202"/>
      <c r="AG147" s="1202"/>
      <c r="AH147" s="1202"/>
      <c r="AI147" s="1202"/>
      <c r="AJ147" s="1202"/>
      <c r="AK147" s="1202"/>
      <c r="AL147" s="1202"/>
      <c r="AM147" s="1202"/>
      <c r="AN147" s="1202"/>
      <c r="AO147" s="1202"/>
      <c r="AP147" s="1202"/>
      <c r="AQ147" s="1202"/>
      <c r="AR147" s="1202"/>
      <c r="AS147" s="1202"/>
      <c r="AT147" s="1202"/>
      <c r="AU147" s="1202"/>
      <c r="AV147" s="1202"/>
      <c r="AW147" s="641">
        <v>-17.5290775462927</v>
      </c>
      <c r="AX147" s="187" t="s">
        <v>2569</v>
      </c>
      <c r="AY147" s="1080">
        <v>14000000</v>
      </c>
      <c r="AZ147" s="1080">
        <v>500000</v>
      </c>
      <c r="BA147" s="1081"/>
      <c r="BB147" s="1088"/>
      <c r="BC147" s="1081">
        <v>1500000</v>
      </c>
      <c r="BD147" s="1080"/>
      <c r="BE147" s="1080"/>
      <c r="BF147" s="1081"/>
      <c r="BG147" s="1081">
        <v>500000</v>
      </c>
      <c r="BH147" s="1081">
        <v>250000</v>
      </c>
      <c r="BI147" s="1051" t="s">
        <v>0</v>
      </c>
      <c r="BJ147" s="1081" t="s">
        <v>48</v>
      </c>
      <c r="BK147" s="1081" t="s">
        <v>48</v>
      </c>
      <c r="BL147" s="1051"/>
      <c r="BM147" s="1104" t="s">
        <v>6246</v>
      </c>
      <c r="BN147" s="1095"/>
      <c r="BO147" s="1095" t="s">
        <v>6247</v>
      </c>
      <c r="BP147" s="1545" t="s">
        <v>6248</v>
      </c>
      <c r="BQ147" s="1545" t="s">
        <v>6249</v>
      </c>
      <c r="BR147" s="1095"/>
      <c r="BS147" s="1095"/>
      <c r="BT147" s="229" t="s">
        <v>6250</v>
      </c>
      <c r="BU147" s="1205" t="s">
        <v>6167</v>
      </c>
      <c r="BV147" s="1235">
        <v>43100</v>
      </c>
      <c r="BW147" s="1188"/>
    </row>
    <row r="148" s="1193" customFormat="1" ht="14.1" customHeight="1" spans="2:75">
      <c r="B148" s="1563" t="s">
        <v>1097</v>
      </c>
      <c r="C148" s="838" t="s">
        <v>6251</v>
      </c>
      <c r="D148" s="1199" t="s">
        <v>6252</v>
      </c>
      <c r="E148" s="1044" t="s">
        <v>6253</v>
      </c>
      <c r="F148" s="1044" t="s">
        <v>43</v>
      </c>
      <c r="G148" s="1044" t="s">
        <v>254</v>
      </c>
      <c r="H148" s="1044" t="s">
        <v>254</v>
      </c>
      <c r="I148" s="1051" t="s">
        <v>3528</v>
      </c>
      <c r="J148" s="838" t="s">
        <v>4970</v>
      </c>
      <c r="K148" s="1051" t="s">
        <v>6245</v>
      </c>
      <c r="L148" s="1202">
        <v>43031</v>
      </c>
      <c r="M148" s="1202">
        <v>43100</v>
      </c>
      <c r="N148" s="1202"/>
      <c r="O148" s="1202"/>
      <c r="P148" s="1052"/>
      <c r="Q148" s="1202"/>
      <c r="R148" s="1211"/>
      <c r="S148" s="1202"/>
      <c r="T148" s="1202"/>
      <c r="U148" s="1202"/>
      <c r="V148" s="1202"/>
      <c r="W148" s="1202"/>
      <c r="X148" s="1202"/>
      <c r="Y148" s="1202"/>
      <c r="Z148" s="1202"/>
      <c r="AA148" s="1202"/>
      <c r="AB148" s="1202"/>
      <c r="AC148" s="1202"/>
      <c r="AD148" s="1202"/>
      <c r="AE148" s="1202"/>
      <c r="AF148" s="1202"/>
      <c r="AG148" s="1202"/>
      <c r="AH148" s="1202"/>
      <c r="AI148" s="1202"/>
      <c r="AJ148" s="1202"/>
      <c r="AK148" s="1202"/>
      <c r="AL148" s="1202"/>
      <c r="AM148" s="1202"/>
      <c r="AN148" s="1202"/>
      <c r="AO148" s="1202"/>
      <c r="AP148" s="1202"/>
      <c r="AQ148" s="1202"/>
      <c r="AR148" s="1202"/>
      <c r="AS148" s="1202"/>
      <c r="AT148" s="1202"/>
      <c r="AU148" s="1202"/>
      <c r="AV148" s="1202"/>
      <c r="AW148" s="641">
        <v>-17.5290775462927</v>
      </c>
      <c r="AX148" s="187" t="s">
        <v>2569</v>
      </c>
      <c r="AY148" s="1080">
        <v>14000000</v>
      </c>
      <c r="AZ148" s="1080">
        <v>500000</v>
      </c>
      <c r="BA148" s="1081"/>
      <c r="BB148" s="1088"/>
      <c r="BC148" s="1081">
        <v>1500000</v>
      </c>
      <c r="BD148" s="1080"/>
      <c r="BE148" s="1080"/>
      <c r="BF148" s="1081"/>
      <c r="BG148" s="1081">
        <v>500000</v>
      </c>
      <c r="BH148" s="1081">
        <v>250000</v>
      </c>
      <c r="BI148" s="1051" t="s">
        <v>0</v>
      </c>
      <c r="BJ148" s="1081" t="s">
        <v>48</v>
      </c>
      <c r="BK148" s="1081" t="s">
        <v>48</v>
      </c>
      <c r="BL148" s="1051"/>
      <c r="BM148" s="1104" t="s">
        <v>6254</v>
      </c>
      <c r="BN148" s="1095" t="s">
        <v>6255</v>
      </c>
      <c r="BO148" s="1095" t="s">
        <v>6256</v>
      </c>
      <c r="BP148" s="1545" t="s">
        <v>6257</v>
      </c>
      <c r="BQ148" s="1095" t="s">
        <v>6258</v>
      </c>
      <c r="BR148" s="1095"/>
      <c r="BS148" s="1095" t="s">
        <v>6259</v>
      </c>
      <c r="BT148" s="127" t="s">
        <v>6260</v>
      </c>
      <c r="BU148" s="1205" t="s">
        <v>6167</v>
      </c>
      <c r="BV148" s="1235">
        <v>43100</v>
      </c>
      <c r="BW148" s="1188"/>
    </row>
    <row r="149" s="1193" customFormat="1" ht="14.1" customHeight="1" spans="2:75">
      <c r="B149" s="1563" t="s">
        <v>1106</v>
      </c>
      <c r="C149" s="838" t="s">
        <v>6261</v>
      </c>
      <c r="D149" s="1199" t="s">
        <v>5599</v>
      </c>
      <c r="E149" s="1044" t="s">
        <v>5600</v>
      </c>
      <c r="F149" s="1044" t="s">
        <v>43</v>
      </c>
      <c r="G149" s="1044" t="s">
        <v>254</v>
      </c>
      <c r="H149" s="1044" t="s">
        <v>254</v>
      </c>
      <c r="I149" s="1051" t="s">
        <v>3528</v>
      </c>
      <c r="J149" s="838" t="s">
        <v>4564</v>
      </c>
      <c r="K149" s="1051" t="s">
        <v>5601</v>
      </c>
      <c r="L149" s="1202">
        <v>43032</v>
      </c>
      <c r="M149" s="1202">
        <v>43100</v>
      </c>
      <c r="N149" s="1202"/>
      <c r="O149" s="1202"/>
      <c r="P149" s="1052"/>
      <c r="Q149" s="1202"/>
      <c r="R149" s="1211"/>
      <c r="S149" s="1202"/>
      <c r="T149" s="1202"/>
      <c r="U149" s="1202"/>
      <c r="V149" s="1202"/>
      <c r="W149" s="1202"/>
      <c r="X149" s="1202"/>
      <c r="Y149" s="1202"/>
      <c r="Z149" s="1202"/>
      <c r="AA149" s="1202"/>
      <c r="AB149" s="1202"/>
      <c r="AC149" s="1202"/>
      <c r="AD149" s="1202"/>
      <c r="AE149" s="1202"/>
      <c r="AF149" s="1202"/>
      <c r="AG149" s="1202"/>
      <c r="AH149" s="1202"/>
      <c r="AI149" s="1202"/>
      <c r="AJ149" s="1202"/>
      <c r="AK149" s="1202"/>
      <c r="AL149" s="1202"/>
      <c r="AM149" s="1202"/>
      <c r="AN149" s="1202"/>
      <c r="AO149" s="1202"/>
      <c r="AP149" s="1202"/>
      <c r="AQ149" s="1202"/>
      <c r="AR149" s="1202"/>
      <c r="AS149" s="1202"/>
      <c r="AT149" s="1202"/>
      <c r="AU149" s="1202"/>
      <c r="AV149" s="1202"/>
      <c r="AW149" s="641">
        <v>-17.5290775462927</v>
      </c>
      <c r="AX149" s="187" t="s">
        <v>2569</v>
      </c>
      <c r="AY149" s="1080">
        <v>9000000</v>
      </c>
      <c r="AZ149" s="1080">
        <v>500000</v>
      </c>
      <c r="BA149" s="1081"/>
      <c r="BB149" s="1088"/>
      <c r="BC149" s="1081"/>
      <c r="BD149" s="1080"/>
      <c r="BE149" s="1080"/>
      <c r="BF149" s="1081"/>
      <c r="BG149" s="1081">
        <v>500000</v>
      </c>
      <c r="BH149" s="1081">
        <v>250000</v>
      </c>
      <c r="BI149" s="1051" t="s">
        <v>112</v>
      </c>
      <c r="BJ149" s="1051" t="s">
        <v>113</v>
      </c>
      <c r="BK149" s="1081" t="s">
        <v>113</v>
      </c>
      <c r="BL149" s="1051" t="s">
        <v>6262</v>
      </c>
      <c r="BM149" s="1104" t="s">
        <v>5602</v>
      </c>
      <c r="BN149" s="1095"/>
      <c r="BO149" s="1095" t="s">
        <v>5603</v>
      </c>
      <c r="BP149" s="1545" t="s">
        <v>5604</v>
      </c>
      <c r="BQ149" s="1095" t="s">
        <v>5605</v>
      </c>
      <c r="BR149" s="1095"/>
      <c r="BS149" s="1095" t="s">
        <v>5606</v>
      </c>
      <c r="BT149" s="229" t="s">
        <v>5607</v>
      </c>
      <c r="BU149" s="1205" t="s">
        <v>6167</v>
      </c>
      <c r="BV149" s="1235">
        <v>43100</v>
      </c>
      <c r="BW149" s="1188"/>
    </row>
    <row r="150" s="1193" customFormat="1" ht="14.1" customHeight="1" spans="2:75">
      <c r="B150" s="1563" t="s">
        <v>1152</v>
      </c>
      <c r="C150" s="838" t="s">
        <v>5960</v>
      </c>
      <c r="D150" s="1199" t="s">
        <v>5961</v>
      </c>
      <c r="E150" s="1044" t="s">
        <v>5962</v>
      </c>
      <c r="F150" s="1044" t="s">
        <v>43</v>
      </c>
      <c r="G150" s="1044" t="s">
        <v>254</v>
      </c>
      <c r="H150" s="1044" t="s">
        <v>254</v>
      </c>
      <c r="I150" s="1051" t="s">
        <v>3528</v>
      </c>
      <c r="J150" s="838" t="s">
        <v>4564</v>
      </c>
      <c r="K150" s="1051" t="s">
        <v>5601</v>
      </c>
      <c r="L150" s="1202">
        <v>43032</v>
      </c>
      <c r="M150" s="1202">
        <v>43100</v>
      </c>
      <c r="N150" s="1202"/>
      <c r="O150" s="1202"/>
      <c r="P150" s="1052"/>
      <c r="Q150" s="1202"/>
      <c r="R150" s="1211"/>
      <c r="S150" s="1202"/>
      <c r="T150" s="1202"/>
      <c r="U150" s="1202"/>
      <c r="V150" s="1202"/>
      <c r="W150" s="1202"/>
      <c r="X150" s="1202"/>
      <c r="Y150" s="1202"/>
      <c r="Z150" s="1202"/>
      <c r="AA150" s="1202"/>
      <c r="AB150" s="1202"/>
      <c r="AC150" s="1202"/>
      <c r="AD150" s="1202"/>
      <c r="AE150" s="1202"/>
      <c r="AF150" s="1202"/>
      <c r="AG150" s="1202"/>
      <c r="AH150" s="1202"/>
      <c r="AI150" s="1202"/>
      <c r="AJ150" s="1202"/>
      <c r="AK150" s="1202"/>
      <c r="AL150" s="1202"/>
      <c r="AM150" s="1202"/>
      <c r="AN150" s="1202"/>
      <c r="AO150" s="1202"/>
      <c r="AP150" s="1202"/>
      <c r="AQ150" s="1202"/>
      <c r="AR150" s="1202"/>
      <c r="AS150" s="1202"/>
      <c r="AT150" s="1202"/>
      <c r="AU150" s="1202"/>
      <c r="AV150" s="1202"/>
      <c r="AW150" s="641">
        <v>-17.5290775462927</v>
      </c>
      <c r="AX150" s="187" t="s">
        <v>2569</v>
      </c>
      <c r="AY150" s="1080">
        <v>9000000</v>
      </c>
      <c r="AZ150" s="1080">
        <v>500000</v>
      </c>
      <c r="BA150" s="1081"/>
      <c r="BB150" s="1088"/>
      <c r="BC150" s="1081"/>
      <c r="BD150" s="1080"/>
      <c r="BE150" s="1080"/>
      <c r="BF150" s="1081"/>
      <c r="BG150" s="1081"/>
      <c r="BH150" s="1081">
        <v>250000</v>
      </c>
      <c r="BI150" s="1051" t="s">
        <v>112</v>
      </c>
      <c r="BJ150" s="1051" t="s">
        <v>113</v>
      </c>
      <c r="BK150" s="1081" t="s">
        <v>113</v>
      </c>
      <c r="BL150" s="1051" t="s">
        <v>6262</v>
      </c>
      <c r="BM150" s="1104" t="s">
        <v>5963</v>
      </c>
      <c r="BN150" s="1095"/>
      <c r="BO150" s="1095" t="s">
        <v>5964</v>
      </c>
      <c r="BP150" s="1545" t="s">
        <v>5965</v>
      </c>
      <c r="BQ150" s="1095" t="s">
        <v>2574</v>
      </c>
      <c r="BR150" s="1095"/>
      <c r="BS150" s="1095"/>
      <c r="BT150" s="1126" t="s">
        <v>5966</v>
      </c>
      <c r="BU150" s="1205" t="s">
        <v>6167</v>
      </c>
      <c r="BV150" s="1235">
        <v>43100</v>
      </c>
      <c r="BW150" s="1188"/>
    </row>
    <row r="151" s="1193" customFormat="1" ht="14.1" customHeight="1" spans="2:75">
      <c r="B151" s="1563" t="s">
        <v>1163</v>
      </c>
      <c r="C151" s="838" t="s">
        <v>5894</v>
      </c>
      <c r="D151" s="1199" t="s">
        <v>5895</v>
      </c>
      <c r="E151" s="1044" t="s">
        <v>5896</v>
      </c>
      <c r="F151" s="1044" t="s">
        <v>43</v>
      </c>
      <c r="G151" s="1044" t="s">
        <v>60</v>
      </c>
      <c r="H151" s="1044" t="s">
        <v>60</v>
      </c>
      <c r="I151" s="1051" t="s">
        <v>757</v>
      </c>
      <c r="J151" s="838" t="s">
        <v>4564</v>
      </c>
      <c r="K151" s="1051" t="s">
        <v>5917</v>
      </c>
      <c r="L151" s="1202">
        <v>43035</v>
      </c>
      <c r="M151" s="1202">
        <v>43100</v>
      </c>
      <c r="N151" s="1202"/>
      <c r="O151" s="1202"/>
      <c r="P151" s="1052"/>
      <c r="Q151" s="1202"/>
      <c r="R151" s="1211"/>
      <c r="S151" s="1202"/>
      <c r="T151" s="1202"/>
      <c r="U151" s="1202"/>
      <c r="V151" s="1202"/>
      <c r="W151" s="1202"/>
      <c r="X151" s="1202"/>
      <c r="Y151" s="1202"/>
      <c r="Z151" s="1202"/>
      <c r="AA151" s="1202"/>
      <c r="AB151" s="1202"/>
      <c r="AC151" s="1202"/>
      <c r="AD151" s="1202"/>
      <c r="AE151" s="1202"/>
      <c r="AF151" s="1202"/>
      <c r="AG151" s="1202"/>
      <c r="AH151" s="1202"/>
      <c r="AI151" s="1202"/>
      <c r="AJ151" s="1202"/>
      <c r="AK151" s="1202"/>
      <c r="AL151" s="1202"/>
      <c r="AM151" s="1202"/>
      <c r="AN151" s="1202"/>
      <c r="AO151" s="1202"/>
      <c r="AP151" s="1202"/>
      <c r="AQ151" s="1202"/>
      <c r="AR151" s="1202"/>
      <c r="AS151" s="1202"/>
      <c r="AT151" s="1202"/>
      <c r="AU151" s="1202"/>
      <c r="AV151" s="1202"/>
      <c r="AW151" s="641">
        <v>-17.5290775462927</v>
      </c>
      <c r="AX151" s="187" t="s">
        <v>2569</v>
      </c>
      <c r="AY151" s="1080">
        <v>7250000</v>
      </c>
      <c r="AZ151" s="1080">
        <v>250000</v>
      </c>
      <c r="BA151" s="1081"/>
      <c r="BB151" s="1088"/>
      <c r="BC151" s="1081"/>
      <c r="BD151" s="1080"/>
      <c r="BE151" s="1080"/>
      <c r="BF151" s="1081"/>
      <c r="BG151" s="1081">
        <v>500000</v>
      </c>
      <c r="BH151" s="1081">
        <v>150000</v>
      </c>
      <c r="BI151" s="1051" t="s">
        <v>112</v>
      </c>
      <c r="BJ151" s="1051" t="s">
        <v>113</v>
      </c>
      <c r="BK151" s="1081" t="s">
        <v>113</v>
      </c>
      <c r="BL151" s="1051"/>
      <c r="BM151" s="1104" t="s">
        <v>5899</v>
      </c>
      <c r="BN151" s="1095" t="s">
        <v>6263</v>
      </c>
      <c r="BO151" s="1095" t="s">
        <v>5901</v>
      </c>
      <c r="BP151" s="1545" t="s">
        <v>5902</v>
      </c>
      <c r="BQ151" s="1095"/>
      <c r="BR151" s="1095" t="s">
        <v>6264</v>
      </c>
      <c r="BS151" s="1095" t="s">
        <v>6265</v>
      </c>
      <c r="BT151" s="229" t="s">
        <v>6266</v>
      </c>
      <c r="BU151" s="1205" t="s">
        <v>6167</v>
      </c>
      <c r="BV151" s="1235">
        <v>43100</v>
      </c>
      <c r="BW151" s="1188"/>
    </row>
    <row r="152" s="1193" customFormat="1" ht="14.1" customHeight="1" spans="2:75">
      <c r="B152" s="1563" t="s">
        <v>1173</v>
      </c>
      <c r="C152" s="838" t="s">
        <v>5717</v>
      </c>
      <c r="D152" s="1199" t="s">
        <v>5718</v>
      </c>
      <c r="E152" s="1044" t="s">
        <v>5719</v>
      </c>
      <c r="F152" s="1044" t="s">
        <v>43</v>
      </c>
      <c r="G152" s="1044" t="s">
        <v>254</v>
      </c>
      <c r="H152" s="1044" t="s">
        <v>254</v>
      </c>
      <c r="I152" s="1051" t="s">
        <v>3528</v>
      </c>
      <c r="J152" s="838" t="s">
        <v>4564</v>
      </c>
      <c r="K152" s="1051" t="s">
        <v>5601</v>
      </c>
      <c r="L152" s="1202">
        <v>43032</v>
      </c>
      <c r="M152" s="1202">
        <v>43100</v>
      </c>
      <c r="N152" s="1202"/>
      <c r="O152" s="1202"/>
      <c r="P152" s="1052"/>
      <c r="Q152" s="1202"/>
      <c r="R152" s="1211"/>
      <c r="S152" s="1202"/>
      <c r="T152" s="1202"/>
      <c r="U152" s="1202"/>
      <c r="V152" s="1202"/>
      <c r="W152" s="1202"/>
      <c r="X152" s="1202"/>
      <c r="Y152" s="1202"/>
      <c r="Z152" s="1202"/>
      <c r="AA152" s="1202"/>
      <c r="AB152" s="1202"/>
      <c r="AC152" s="1202"/>
      <c r="AD152" s="1202"/>
      <c r="AE152" s="1202"/>
      <c r="AF152" s="1202"/>
      <c r="AG152" s="1202"/>
      <c r="AH152" s="1202"/>
      <c r="AI152" s="1202"/>
      <c r="AJ152" s="1202"/>
      <c r="AK152" s="1202"/>
      <c r="AL152" s="1202"/>
      <c r="AM152" s="1202"/>
      <c r="AN152" s="1202"/>
      <c r="AO152" s="1202"/>
      <c r="AP152" s="1202"/>
      <c r="AQ152" s="1202"/>
      <c r="AR152" s="1202"/>
      <c r="AS152" s="1202"/>
      <c r="AT152" s="1202"/>
      <c r="AU152" s="1202"/>
      <c r="AV152" s="1202"/>
      <c r="AW152" s="641">
        <v>-17.5290775462927</v>
      </c>
      <c r="AX152" s="187" t="s">
        <v>2569</v>
      </c>
      <c r="AY152" s="1080">
        <v>10000000</v>
      </c>
      <c r="AZ152" s="1080">
        <v>500000</v>
      </c>
      <c r="BA152" s="1081"/>
      <c r="BB152" s="1088"/>
      <c r="BC152" s="1081"/>
      <c r="BD152" s="1080"/>
      <c r="BE152" s="1080"/>
      <c r="BF152" s="1081"/>
      <c r="BG152" s="1081">
        <v>500000</v>
      </c>
      <c r="BH152" s="1081">
        <v>250000</v>
      </c>
      <c r="BI152" s="1051" t="s">
        <v>112</v>
      </c>
      <c r="BJ152" s="1051" t="s">
        <v>113</v>
      </c>
      <c r="BK152" s="1081" t="s">
        <v>113</v>
      </c>
      <c r="BL152" s="1051" t="s">
        <v>6262</v>
      </c>
      <c r="BM152" s="1104" t="s">
        <v>5722</v>
      </c>
      <c r="BN152" s="1095" t="s">
        <v>6267</v>
      </c>
      <c r="BO152" s="1095" t="s">
        <v>5724</v>
      </c>
      <c r="BP152" s="1545" t="s">
        <v>5725</v>
      </c>
      <c r="BQ152" s="1095" t="s">
        <v>6268</v>
      </c>
      <c r="BR152" s="1095"/>
      <c r="BS152" s="1095" t="s">
        <v>6269</v>
      </c>
      <c r="BT152" s="229" t="s">
        <v>6270</v>
      </c>
      <c r="BU152" s="1205" t="s">
        <v>6167</v>
      </c>
      <c r="BV152" s="1235">
        <v>43100</v>
      </c>
      <c r="BW152" s="1188"/>
    </row>
    <row r="153" s="1193" customFormat="1" ht="14.1" customHeight="1" spans="2:75">
      <c r="B153" s="1563" t="s">
        <v>1186</v>
      </c>
      <c r="C153" s="838" t="s">
        <v>5873</v>
      </c>
      <c r="D153" s="1199" t="s">
        <v>5874</v>
      </c>
      <c r="E153" s="1044" t="s">
        <v>5875</v>
      </c>
      <c r="F153" s="1044" t="s">
        <v>125</v>
      </c>
      <c r="G153" s="1044" t="s">
        <v>60</v>
      </c>
      <c r="H153" s="1044" t="s">
        <v>60</v>
      </c>
      <c r="I153" s="1051" t="s">
        <v>3528</v>
      </c>
      <c r="J153" s="838" t="s">
        <v>4564</v>
      </c>
      <c r="K153" s="1051" t="s">
        <v>5601</v>
      </c>
      <c r="L153" s="1202">
        <v>43038</v>
      </c>
      <c r="M153" s="1202">
        <v>43100</v>
      </c>
      <c r="N153" s="1202"/>
      <c r="O153" s="1202"/>
      <c r="P153" s="1052"/>
      <c r="Q153" s="1202"/>
      <c r="R153" s="1211"/>
      <c r="S153" s="1202"/>
      <c r="T153" s="1202"/>
      <c r="U153" s="1202"/>
      <c r="V153" s="1202"/>
      <c r="W153" s="1202"/>
      <c r="X153" s="1202"/>
      <c r="Y153" s="1202"/>
      <c r="Z153" s="1202"/>
      <c r="AA153" s="1202"/>
      <c r="AB153" s="1202"/>
      <c r="AC153" s="1202"/>
      <c r="AD153" s="1202"/>
      <c r="AE153" s="1202"/>
      <c r="AF153" s="1202"/>
      <c r="AG153" s="1202"/>
      <c r="AH153" s="1202"/>
      <c r="AI153" s="1202"/>
      <c r="AJ153" s="1202"/>
      <c r="AK153" s="1202"/>
      <c r="AL153" s="1202"/>
      <c r="AM153" s="1202"/>
      <c r="AN153" s="1202"/>
      <c r="AO153" s="1202"/>
      <c r="AP153" s="1202"/>
      <c r="AQ153" s="1202"/>
      <c r="AR153" s="1202"/>
      <c r="AS153" s="1202"/>
      <c r="AT153" s="1202"/>
      <c r="AU153" s="1202"/>
      <c r="AV153" s="1202"/>
      <c r="AW153" s="641">
        <v>-17.5290775462927</v>
      </c>
      <c r="AX153" s="187" t="s">
        <v>2569</v>
      </c>
      <c r="AY153" s="1080">
        <v>7250000</v>
      </c>
      <c r="AZ153" s="1080">
        <v>500000</v>
      </c>
      <c r="BA153" s="1081"/>
      <c r="BB153" s="1088"/>
      <c r="BC153" s="1081"/>
      <c r="BD153" s="1080"/>
      <c r="BE153" s="1080"/>
      <c r="BF153" s="1081"/>
      <c r="BG153" s="1081">
        <v>500000</v>
      </c>
      <c r="BH153" s="1081">
        <v>250000</v>
      </c>
      <c r="BI153" s="1051" t="s">
        <v>112</v>
      </c>
      <c r="BJ153" s="1051" t="s">
        <v>113</v>
      </c>
      <c r="BK153" s="1081" t="s">
        <v>113</v>
      </c>
      <c r="BL153" s="1051" t="s">
        <v>6262</v>
      </c>
      <c r="BM153" s="1104" t="s">
        <v>5877</v>
      </c>
      <c r="BN153" s="1095" t="s">
        <v>5878</v>
      </c>
      <c r="BO153" s="1095" t="s">
        <v>5879</v>
      </c>
      <c r="BP153" s="1545" t="s">
        <v>5880</v>
      </c>
      <c r="BQ153" s="1095" t="s">
        <v>5881</v>
      </c>
      <c r="BR153" s="1095" t="s">
        <v>6271</v>
      </c>
      <c r="BS153" s="1095" t="s">
        <v>6272</v>
      </c>
      <c r="BT153" s="127" t="s">
        <v>6273</v>
      </c>
      <c r="BU153" s="1205" t="s">
        <v>6167</v>
      </c>
      <c r="BV153" s="1235">
        <v>43100</v>
      </c>
      <c r="BW153" s="1188"/>
    </row>
    <row r="154" s="1193" customFormat="1" ht="14.1" customHeight="1" spans="2:75">
      <c r="B154" s="1563" t="s">
        <v>1195</v>
      </c>
      <c r="C154" s="838" t="s">
        <v>6274</v>
      </c>
      <c r="D154" s="1199" t="s">
        <v>6275</v>
      </c>
      <c r="E154" s="1044" t="s">
        <v>6276</v>
      </c>
      <c r="F154" s="1044" t="s">
        <v>43</v>
      </c>
      <c r="G154" s="1044" t="s">
        <v>96</v>
      </c>
      <c r="H154" s="1044" t="s">
        <v>96</v>
      </c>
      <c r="I154" s="1051" t="s">
        <v>3528</v>
      </c>
      <c r="J154" s="838" t="s">
        <v>4564</v>
      </c>
      <c r="K154" s="1051" t="s">
        <v>5601</v>
      </c>
      <c r="L154" s="1202">
        <v>43034</v>
      </c>
      <c r="M154" s="1202">
        <v>43100</v>
      </c>
      <c r="N154" s="1202"/>
      <c r="O154" s="1202"/>
      <c r="P154" s="1052"/>
      <c r="Q154" s="1202"/>
      <c r="R154" s="1211"/>
      <c r="S154" s="1202"/>
      <c r="T154" s="1202"/>
      <c r="U154" s="1202"/>
      <c r="V154" s="1202"/>
      <c r="W154" s="1202"/>
      <c r="X154" s="1202"/>
      <c r="Y154" s="1202"/>
      <c r="Z154" s="1202"/>
      <c r="AA154" s="1202"/>
      <c r="AB154" s="1202"/>
      <c r="AC154" s="1202"/>
      <c r="AD154" s="1202"/>
      <c r="AE154" s="1202"/>
      <c r="AF154" s="1202"/>
      <c r="AG154" s="1202"/>
      <c r="AH154" s="1202"/>
      <c r="AI154" s="1202"/>
      <c r="AJ154" s="1202"/>
      <c r="AK154" s="1202"/>
      <c r="AL154" s="1202"/>
      <c r="AM154" s="1202"/>
      <c r="AN154" s="1202"/>
      <c r="AO154" s="1202"/>
      <c r="AP154" s="1202"/>
      <c r="AQ154" s="1202"/>
      <c r="AR154" s="1202"/>
      <c r="AS154" s="1202"/>
      <c r="AT154" s="1202"/>
      <c r="AU154" s="1202"/>
      <c r="AV154" s="1202"/>
      <c r="AW154" s="641">
        <v>-17.5290775462927</v>
      </c>
      <c r="AX154" s="187" t="s">
        <v>2569</v>
      </c>
      <c r="AY154" s="1080">
        <v>11000000</v>
      </c>
      <c r="AZ154" s="1080">
        <v>500000</v>
      </c>
      <c r="BA154" s="1081"/>
      <c r="BB154" s="1088"/>
      <c r="BC154" s="1081"/>
      <c r="BD154" s="1080"/>
      <c r="BE154" s="1080"/>
      <c r="BF154" s="1081"/>
      <c r="BG154" s="1081">
        <v>500000</v>
      </c>
      <c r="BH154" s="1081">
        <v>250000</v>
      </c>
      <c r="BI154" s="1051" t="s">
        <v>112</v>
      </c>
      <c r="BJ154" s="1051" t="s">
        <v>113</v>
      </c>
      <c r="BK154" s="1081" t="s">
        <v>113</v>
      </c>
      <c r="BL154" s="1051" t="s">
        <v>6262</v>
      </c>
      <c r="BM154" s="1104" t="s">
        <v>6277</v>
      </c>
      <c r="BN154" s="1095" t="s">
        <v>6278</v>
      </c>
      <c r="BO154" s="1095" t="s">
        <v>6279</v>
      </c>
      <c r="BP154" s="1545" t="s">
        <v>6280</v>
      </c>
      <c r="BQ154" s="1095" t="s">
        <v>6281</v>
      </c>
      <c r="BR154" s="1095" t="s">
        <v>6282</v>
      </c>
      <c r="BS154" s="1095" t="s">
        <v>6283</v>
      </c>
      <c r="BT154" s="229" t="s">
        <v>6284</v>
      </c>
      <c r="BU154" s="1205" t="s">
        <v>6167</v>
      </c>
      <c r="BV154" s="1235">
        <v>43100</v>
      </c>
      <c r="BW154" s="1188"/>
    </row>
    <row r="155" s="1193" customFormat="1" ht="14.1" customHeight="1" spans="2:75">
      <c r="B155" s="1563" t="s">
        <v>1237</v>
      </c>
      <c r="C155" s="838" t="s">
        <v>6285</v>
      </c>
      <c r="D155" s="1199" t="s">
        <v>6286</v>
      </c>
      <c r="E155" s="1044" t="s">
        <v>6287</v>
      </c>
      <c r="F155" s="1044" t="s">
        <v>43</v>
      </c>
      <c r="G155" s="1044" t="s">
        <v>60</v>
      </c>
      <c r="H155" s="1044" t="s">
        <v>60</v>
      </c>
      <c r="I155" s="1051" t="s">
        <v>3528</v>
      </c>
      <c r="J155" s="838" t="s">
        <v>4564</v>
      </c>
      <c r="K155" s="1051" t="s">
        <v>5601</v>
      </c>
      <c r="L155" s="1202">
        <v>43035</v>
      </c>
      <c r="M155" s="1202">
        <v>43100</v>
      </c>
      <c r="N155" s="1202"/>
      <c r="O155" s="1202"/>
      <c r="P155" s="1052"/>
      <c r="Q155" s="1202"/>
      <c r="R155" s="1211"/>
      <c r="S155" s="1202"/>
      <c r="T155" s="1202"/>
      <c r="U155" s="1202"/>
      <c r="V155" s="1202"/>
      <c r="W155" s="1202"/>
      <c r="X155" s="1202"/>
      <c r="Y155" s="1202"/>
      <c r="Z155" s="1202"/>
      <c r="AA155" s="1202"/>
      <c r="AB155" s="1202"/>
      <c r="AC155" s="1202"/>
      <c r="AD155" s="1202"/>
      <c r="AE155" s="1202"/>
      <c r="AF155" s="1202"/>
      <c r="AG155" s="1202"/>
      <c r="AH155" s="1202"/>
      <c r="AI155" s="1202"/>
      <c r="AJ155" s="1202"/>
      <c r="AK155" s="1202"/>
      <c r="AL155" s="1202"/>
      <c r="AM155" s="1202"/>
      <c r="AN155" s="1202"/>
      <c r="AO155" s="1202"/>
      <c r="AP155" s="1202"/>
      <c r="AQ155" s="1202"/>
      <c r="AR155" s="1202"/>
      <c r="AS155" s="1202"/>
      <c r="AT155" s="1202"/>
      <c r="AU155" s="1202"/>
      <c r="AV155" s="1202"/>
      <c r="AW155" s="641">
        <v>-17.5290775462927</v>
      </c>
      <c r="AX155" s="187" t="s">
        <v>2569</v>
      </c>
      <c r="AY155" s="1080">
        <v>8000000</v>
      </c>
      <c r="AZ155" s="1080">
        <v>500000</v>
      </c>
      <c r="BA155" s="1081"/>
      <c r="BB155" s="1088"/>
      <c r="BC155" s="1081"/>
      <c r="BD155" s="1080"/>
      <c r="BE155" s="1080"/>
      <c r="BF155" s="1081"/>
      <c r="BG155" s="1081">
        <v>500000</v>
      </c>
      <c r="BH155" s="1081">
        <v>250000</v>
      </c>
      <c r="BI155" s="1051" t="s">
        <v>112</v>
      </c>
      <c r="BJ155" s="1051" t="s">
        <v>113</v>
      </c>
      <c r="BK155" s="1081" t="s">
        <v>113</v>
      </c>
      <c r="BL155" s="1051" t="s">
        <v>6262</v>
      </c>
      <c r="BM155" s="1104" t="s">
        <v>6288</v>
      </c>
      <c r="BN155" s="1095"/>
      <c r="BO155" s="1095" t="s">
        <v>6289</v>
      </c>
      <c r="BP155" s="1545" t="s">
        <v>6290</v>
      </c>
      <c r="BQ155" s="1095" t="s">
        <v>6291</v>
      </c>
      <c r="BR155" s="1095" t="s">
        <v>6292</v>
      </c>
      <c r="BS155" s="1095" t="s">
        <v>6293</v>
      </c>
      <c r="BT155" s="229" t="s">
        <v>6294</v>
      </c>
      <c r="BU155" s="1205" t="s">
        <v>6167</v>
      </c>
      <c r="BV155" s="1235">
        <v>43100</v>
      </c>
      <c r="BW155" s="1188"/>
    </row>
    <row r="156" s="1193" customFormat="1" ht="14.1" customHeight="1" spans="2:75">
      <c r="B156" s="1562" t="s">
        <v>390</v>
      </c>
      <c r="C156" s="838" t="s">
        <v>6295</v>
      </c>
      <c r="D156" s="1199" t="s">
        <v>6296</v>
      </c>
      <c r="E156" s="1044" t="s">
        <v>6297</v>
      </c>
      <c r="F156" s="1044" t="s">
        <v>43</v>
      </c>
      <c r="G156" s="1044" t="s">
        <v>254</v>
      </c>
      <c r="H156" s="1044" t="s">
        <v>254</v>
      </c>
      <c r="I156" s="1051" t="s">
        <v>6298</v>
      </c>
      <c r="J156" s="1051" t="s">
        <v>4970</v>
      </c>
      <c r="K156" s="1051" t="s">
        <v>5130</v>
      </c>
      <c r="L156" s="1202">
        <v>42774</v>
      </c>
      <c r="M156" s="1202">
        <v>42855</v>
      </c>
      <c r="N156" s="1202">
        <v>42916</v>
      </c>
      <c r="O156" s="1202">
        <v>42947</v>
      </c>
      <c r="P156" s="1202">
        <v>42978</v>
      </c>
      <c r="Q156" s="1205">
        <v>43008</v>
      </c>
      <c r="R156" s="1205">
        <v>43069</v>
      </c>
      <c r="S156" s="1202">
        <v>43100</v>
      </c>
      <c r="T156" s="1202">
        <v>43131</v>
      </c>
      <c r="U156" s="1202"/>
      <c r="V156" s="1202"/>
      <c r="W156" s="1202"/>
      <c r="X156" s="1202"/>
      <c r="Y156" s="1202"/>
      <c r="Z156" s="1202"/>
      <c r="AA156" s="1202"/>
      <c r="AB156" s="1202"/>
      <c r="AC156" s="1202"/>
      <c r="AD156" s="1202"/>
      <c r="AE156" s="1202"/>
      <c r="AF156" s="1202"/>
      <c r="AG156" s="1202"/>
      <c r="AH156" s="1202"/>
      <c r="AI156" s="1202"/>
      <c r="AJ156" s="1202"/>
      <c r="AK156" s="1202"/>
      <c r="AL156" s="1202"/>
      <c r="AM156" s="1202"/>
      <c r="AN156" s="1202"/>
      <c r="AO156" s="1202"/>
      <c r="AP156" s="1202"/>
      <c r="AQ156" s="1202"/>
      <c r="AR156" s="1202"/>
      <c r="AS156" s="1202"/>
      <c r="AT156" s="1202"/>
      <c r="AU156" s="1202"/>
      <c r="AV156" s="1202"/>
      <c r="AW156" s="640">
        <v>-8.63656192129565</v>
      </c>
      <c r="AX156" s="121" t="s">
        <v>2569</v>
      </c>
      <c r="AY156" s="1080">
        <v>6500000</v>
      </c>
      <c r="AZ156" s="1080">
        <v>1000000</v>
      </c>
      <c r="BA156" s="1081"/>
      <c r="BB156" s="1088"/>
      <c r="BC156" s="1081">
        <v>2500000</v>
      </c>
      <c r="BD156" s="1080"/>
      <c r="BE156" s="1080"/>
      <c r="BF156" s="1081" t="s">
        <v>583</v>
      </c>
      <c r="BG156" s="1081">
        <v>500000</v>
      </c>
      <c r="BH156" s="1081">
        <v>250000</v>
      </c>
      <c r="BI156" s="1051" t="s">
        <v>0</v>
      </c>
      <c r="BJ156" s="1081" t="s">
        <v>48</v>
      </c>
      <c r="BK156" s="1081" t="s">
        <v>48</v>
      </c>
      <c r="BL156" s="1051" t="s">
        <v>6299</v>
      </c>
      <c r="BM156" s="1104" t="s">
        <v>6300</v>
      </c>
      <c r="BN156" s="1095" t="s">
        <v>6301</v>
      </c>
      <c r="BO156" s="1095" t="s">
        <v>6302</v>
      </c>
      <c r="BP156" s="1545" t="s">
        <v>6303</v>
      </c>
      <c r="BQ156" s="1095" t="s">
        <v>6304</v>
      </c>
      <c r="BR156" s="1095"/>
      <c r="BS156" s="1095"/>
      <c r="BT156" s="1126" t="s">
        <v>6305</v>
      </c>
      <c r="BU156" s="1205" t="s">
        <v>6306</v>
      </c>
      <c r="BV156" s="1235" t="s">
        <v>6307</v>
      </c>
      <c r="BW156" s="1188"/>
    </row>
    <row r="157" s="1193" customFormat="1" ht="14.1" customHeight="1" spans="2:75">
      <c r="B157" s="1562" t="s">
        <v>483</v>
      </c>
      <c r="C157" s="838" t="s">
        <v>6308</v>
      </c>
      <c r="D157" s="1199" t="s">
        <v>6309</v>
      </c>
      <c r="E157" s="1044" t="s">
        <v>6310</v>
      </c>
      <c r="F157" s="1044" t="s">
        <v>43</v>
      </c>
      <c r="G157" s="1044" t="s">
        <v>44</v>
      </c>
      <c r="H157" s="1044" t="s">
        <v>44</v>
      </c>
      <c r="I157" s="1051" t="s">
        <v>2832</v>
      </c>
      <c r="J157" s="1051" t="s">
        <v>4970</v>
      </c>
      <c r="K157" s="1051" t="s">
        <v>5130</v>
      </c>
      <c r="L157" s="1202">
        <v>42780</v>
      </c>
      <c r="M157" s="1202">
        <v>42855</v>
      </c>
      <c r="N157" s="1202">
        <v>42916</v>
      </c>
      <c r="O157" s="1202">
        <v>42978</v>
      </c>
      <c r="P157" s="1202">
        <v>43008</v>
      </c>
      <c r="Q157" s="1205">
        <v>43039</v>
      </c>
      <c r="R157" s="1202">
        <v>43069</v>
      </c>
      <c r="S157" s="1202">
        <v>43100</v>
      </c>
      <c r="T157" s="1202">
        <v>43131</v>
      </c>
      <c r="U157" s="1202"/>
      <c r="V157" s="1202"/>
      <c r="W157" s="1202"/>
      <c r="X157" s="1202"/>
      <c r="Y157" s="1202"/>
      <c r="Z157" s="1202"/>
      <c r="AA157" s="1202"/>
      <c r="AB157" s="1202"/>
      <c r="AC157" s="1202"/>
      <c r="AD157" s="1202"/>
      <c r="AE157" s="1202"/>
      <c r="AF157" s="1202"/>
      <c r="AG157" s="1202"/>
      <c r="AH157" s="1202"/>
      <c r="AI157" s="1202"/>
      <c r="AJ157" s="1202"/>
      <c r="AK157" s="1202"/>
      <c r="AL157" s="1202"/>
      <c r="AM157" s="1202"/>
      <c r="AN157" s="1202"/>
      <c r="AO157" s="1202"/>
      <c r="AP157" s="1202"/>
      <c r="AQ157" s="1202"/>
      <c r="AR157" s="1202"/>
      <c r="AS157" s="1202"/>
      <c r="AT157" s="1202"/>
      <c r="AU157" s="1202"/>
      <c r="AV157" s="1202"/>
      <c r="AW157" s="640">
        <v>-8.63656192129565</v>
      </c>
      <c r="AX157" s="121" t="s">
        <v>2569</v>
      </c>
      <c r="AY157" s="1080">
        <v>8000000</v>
      </c>
      <c r="AZ157" s="1080">
        <v>1000000</v>
      </c>
      <c r="BA157" s="1081" t="s">
        <v>583</v>
      </c>
      <c r="BB157" s="1088"/>
      <c r="BC157" s="1081">
        <v>1500000</v>
      </c>
      <c r="BD157" s="1080"/>
      <c r="BE157" s="1080"/>
      <c r="BF157" s="1081" t="s">
        <v>583</v>
      </c>
      <c r="BG157" s="1081">
        <v>500000</v>
      </c>
      <c r="BH157" s="1081">
        <v>250000</v>
      </c>
      <c r="BI157" s="1051" t="s">
        <v>0</v>
      </c>
      <c r="BJ157" s="1081" t="s">
        <v>48</v>
      </c>
      <c r="BK157" s="1081" t="s">
        <v>48</v>
      </c>
      <c r="BL157" s="1051"/>
      <c r="BM157" s="1104" t="s">
        <v>6311</v>
      </c>
      <c r="BN157" s="1095" t="s">
        <v>6312</v>
      </c>
      <c r="BO157" s="1095" t="s">
        <v>6313</v>
      </c>
      <c r="BP157" s="1545" t="s">
        <v>6314</v>
      </c>
      <c r="BQ157" s="1095" t="s">
        <v>6315</v>
      </c>
      <c r="BR157" s="1095"/>
      <c r="BS157" s="1095" t="s">
        <v>6316</v>
      </c>
      <c r="BT157" s="1126" t="s">
        <v>6317</v>
      </c>
      <c r="BU157" s="1205" t="s">
        <v>6306</v>
      </c>
      <c r="BV157" s="1235" t="s">
        <v>6307</v>
      </c>
      <c r="BW157" s="1188"/>
    </row>
    <row r="158" s="1193" customFormat="1" ht="14.1" customHeight="1" spans="2:75">
      <c r="B158" s="1562" t="s">
        <v>550</v>
      </c>
      <c r="C158" s="838" t="s">
        <v>6318</v>
      </c>
      <c r="D158" s="1199" t="s">
        <v>6319</v>
      </c>
      <c r="E158" s="1044" t="s">
        <v>6320</v>
      </c>
      <c r="F158" s="1044" t="s">
        <v>43</v>
      </c>
      <c r="G158" s="1044" t="s">
        <v>404</v>
      </c>
      <c r="H158" s="1044" t="s">
        <v>404</v>
      </c>
      <c r="I158" s="1051" t="s">
        <v>757</v>
      </c>
      <c r="J158" s="1051" t="s">
        <v>4970</v>
      </c>
      <c r="K158" s="1051" t="s">
        <v>5130</v>
      </c>
      <c r="L158" s="1202">
        <v>42783</v>
      </c>
      <c r="M158" s="1202">
        <v>42855</v>
      </c>
      <c r="N158" s="1202">
        <v>42916</v>
      </c>
      <c r="O158" s="1202">
        <v>42978</v>
      </c>
      <c r="P158" s="1205">
        <v>43039</v>
      </c>
      <c r="Q158" s="1202">
        <v>43069</v>
      </c>
      <c r="R158" s="1202">
        <v>43100</v>
      </c>
      <c r="S158" s="1202">
        <v>43131</v>
      </c>
      <c r="T158" s="1202"/>
      <c r="U158" s="1202"/>
      <c r="V158" s="1202"/>
      <c r="W158" s="1202"/>
      <c r="X158" s="1202"/>
      <c r="Y158" s="1202"/>
      <c r="Z158" s="1202"/>
      <c r="AA158" s="1202"/>
      <c r="AB158" s="1202"/>
      <c r="AC158" s="1202"/>
      <c r="AD158" s="1202"/>
      <c r="AE158" s="1202"/>
      <c r="AF158" s="1202"/>
      <c r="AG158" s="1202"/>
      <c r="AH158" s="1202"/>
      <c r="AI158" s="1202"/>
      <c r="AJ158" s="1202"/>
      <c r="AK158" s="1202"/>
      <c r="AL158" s="1202"/>
      <c r="AM158" s="1202"/>
      <c r="AN158" s="1202"/>
      <c r="AO158" s="1202"/>
      <c r="AP158" s="1202"/>
      <c r="AQ158" s="1202"/>
      <c r="AR158" s="1202"/>
      <c r="AS158" s="1202"/>
      <c r="AT158" s="1202"/>
      <c r="AU158" s="1202"/>
      <c r="AV158" s="1202"/>
      <c r="AW158" s="640">
        <v>-8.63656192129565</v>
      </c>
      <c r="AX158" s="121" t="s">
        <v>2569</v>
      </c>
      <c r="AY158" s="1080">
        <v>8000000</v>
      </c>
      <c r="AZ158" s="1080">
        <v>1000000</v>
      </c>
      <c r="BA158" s="1081" t="s">
        <v>583</v>
      </c>
      <c r="BB158" s="1088" t="s">
        <v>583</v>
      </c>
      <c r="BC158" s="1081">
        <v>2500000</v>
      </c>
      <c r="BD158" s="1080"/>
      <c r="BE158" s="1080"/>
      <c r="BF158" s="1081" t="s">
        <v>583</v>
      </c>
      <c r="BG158" s="1081">
        <v>500000</v>
      </c>
      <c r="BH158" s="1081">
        <v>250000</v>
      </c>
      <c r="BI158" s="1051" t="s">
        <v>0</v>
      </c>
      <c r="BJ158" s="1081" t="s">
        <v>48</v>
      </c>
      <c r="BK158" s="1081" t="s">
        <v>48</v>
      </c>
      <c r="BL158" s="1051"/>
      <c r="BM158" s="1104" t="s">
        <v>6321</v>
      </c>
      <c r="BN158" s="1095" t="s">
        <v>6322</v>
      </c>
      <c r="BO158" s="1095" t="s">
        <v>6323</v>
      </c>
      <c r="BP158" s="1545" t="s">
        <v>6324</v>
      </c>
      <c r="BQ158" s="1095" t="s">
        <v>2574</v>
      </c>
      <c r="BR158" s="1095" t="s">
        <v>6325</v>
      </c>
      <c r="BS158" s="1095"/>
      <c r="BT158" s="1126" t="s">
        <v>6326</v>
      </c>
      <c r="BU158" s="1205" t="s">
        <v>6306</v>
      </c>
      <c r="BV158" s="1235" t="s">
        <v>6307</v>
      </c>
      <c r="BW158" s="1188"/>
    </row>
    <row r="159" s="1193" customFormat="1" ht="14.1" customHeight="1" spans="2:75">
      <c r="B159" s="1562" t="s">
        <v>888</v>
      </c>
      <c r="C159" s="838" t="s">
        <v>6327</v>
      </c>
      <c r="D159" s="1038" t="s">
        <v>6328</v>
      </c>
      <c r="E159" s="1046" t="s">
        <v>6329</v>
      </c>
      <c r="F159" s="1201" t="s">
        <v>43</v>
      </c>
      <c r="G159" s="1201" t="s">
        <v>60</v>
      </c>
      <c r="H159" s="1201" t="s">
        <v>60</v>
      </c>
      <c r="I159" s="1051" t="s">
        <v>6330</v>
      </c>
      <c r="J159" s="1051" t="s">
        <v>4970</v>
      </c>
      <c r="K159" s="1051" t="s">
        <v>6331</v>
      </c>
      <c r="L159" s="1054">
        <v>42829</v>
      </c>
      <c r="M159" s="1054">
        <v>42886</v>
      </c>
      <c r="N159" s="1054">
        <v>42916</v>
      </c>
      <c r="O159" s="1052">
        <v>42978</v>
      </c>
      <c r="P159" s="1205">
        <v>43008</v>
      </c>
      <c r="Q159" s="1202">
        <v>43039</v>
      </c>
      <c r="R159" s="1202">
        <v>43069</v>
      </c>
      <c r="S159" s="1202">
        <v>43100</v>
      </c>
      <c r="T159" s="1202">
        <v>43131</v>
      </c>
      <c r="U159" s="1202"/>
      <c r="V159" s="1054"/>
      <c r="W159" s="1054"/>
      <c r="X159" s="1054"/>
      <c r="Y159" s="1054"/>
      <c r="Z159" s="1054"/>
      <c r="AA159" s="1054"/>
      <c r="AB159" s="1208"/>
      <c r="AC159" s="1208"/>
      <c r="AD159" s="1208"/>
      <c r="AE159" s="1208"/>
      <c r="AF159" s="1208"/>
      <c r="AG159" s="1208"/>
      <c r="AH159" s="1208"/>
      <c r="AI159" s="1208"/>
      <c r="AJ159" s="1208"/>
      <c r="AK159" s="1220"/>
      <c r="AL159" s="1220"/>
      <c r="AM159" s="1220"/>
      <c r="AN159" s="1220"/>
      <c r="AO159" s="1220"/>
      <c r="AP159" s="1220"/>
      <c r="AQ159" s="1220"/>
      <c r="AR159" s="1220"/>
      <c r="AS159" s="1220"/>
      <c r="AT159" s="1220"/>
      <c r="AU159" s="1220"/>
      <c r="AV159" s="1220"/>
      <c r="AW159" s="640">
        <v>-8.63656192129565</v>
      </c>
      <c r="AX159" s="121" t="s">
        <v>2569</v>
      </c>
      <c r="AY159" s="1086">
        <v>8000000</v>
      </c>
      <c r="AZ159" s="1086">
        <v>1000000</v>
      </c>
      <c r="BA159" s="1086" t="s">
        <v>583</v>
      </c>
      <c r="BB159" s="1088" t="s">
        <v>583</v>
      </c>
      <c r="BC159" s="1086">
        <v>2500000</v>
      </c>
      <c r="BD159" s="1086"/>
      <c r="BE159" s="1220"/>
      <c r="BF159" s="1086" t="s">
        <v>583</v>
      </c>
      <c r="BG159" s="958">
        <v>500000</v>
      </c>
      <c r="BH159" s="1086">
        <v>250000</v>
      </c>
      <c r="BI159" s="1051" t="s">
        <v>0</v>
      </c>
      <c r="BJ159" s="1081" t="s">
        <v>48</v>
      </c>
      <c r="BK159" s="1096" t="s">
        <v>48</v>
      </c>
      <c r="BL159" s="1051"/>
      <c r="BM159" s="1104" t="s">
        <v>6332</v>
      </c>
      <c r="BN159" s="1095" t="s">
        <v>6333</v>
      </c>
      <c r="BO159" s="1254" t="s">
        <v>6334</v>
      </c>
      <c r="BP159" s="1110" t="s">
        <v>6335</v>
      </c>
      <c r="BQ159" s="1110" t="s">
        <v>6336</v>
      </c>
      <c r="BR159" s="1110" t="s">
        <v>6337</v>
      </c>
      <c r="BS159" s="1111">
        <v>0</v>
      </c>
      <c r="BT159" s="229" t="s">
        <v>6338</v>
      </c>
      <c r="BU159" s="1205" t="s">
        <v>6306</v>
      </c>
      <c r="BV159" s="1235" t="s">
        <v>6307</v>
      </c>
      <c r="BW159" s="1188"/>
    </row>
    <row r="160" s="1193" customFormat="1" ht="14.1" customHeight="1" spans="2:75">
      <c r="B160" s="1562" t="s">
        <v>926</v>
      </c>
      <c r="C160" s="838" t="s">
        <v>5739</v>
      </c>
      <c r="D160" s="838" t="s">
        <v>5740</v>
      </c>
      <c r="E160" s="1044" t="s">
        <v>5741</v>
      </c>
      <c r="F160" s="1044" t="s">
        <v>43</v>
      </c>
      <c r="G160" s="1044" t="s">
        <v>254</v>
      </c>
      <c r="H160" s="1044" t="s">
        <v>254</v>
      </c>
      <c r="I160" s="1051" t="s">
        <v>6339</v>
      </c>
      <c r="J160" s="1051"/>
      <c r="K160" s="1051" t="s">
        <v>5130</v>
      </c>
      <c r="L160" s="1052">
        <v>43023</v>
      </c>
      <c r="M160" s="1052">
        <v>43100</v>
      </c>
      <c r="N160" s="1202">
        <v>43131</v>
      </c>
      <c r="O160" s="1202"/>
      <c r="P160" s="1052"/>
      <c r="Q160" s="1205"/>
      <c r="R160" s="1052"/>
      <c r="S160" s="1052"/>
      <c r="T160" s="1052"/>
      <c r="U160" s="1052"/>
      <c r="V160" s="1052"/>
      <c r="W160" s="1052"/>
      <c r="X160" s="1052"/>
      <c r="Y160" s="1052"/>
      <c r="Z160" s="1052"/>
      <c r="AA160" s="1052"/>
      <c r="AB160" s="1052"/>
      <c r="AC160" s="1052"/>
      <c r="AD160" s="1052"/>
      <c r="AE160" s="1052"/>
      <c r="AF160" s="1052"/>
      <c r="AG160" s="1052"/>
      <c r="AH160" s="1052"/>
      <c r="AI160" s="1052"/>
      <c r="AJ160" s="1052"/>
      <c r="AK160" s="1052"/>
      <c r="AL160" s="1052"/>
      <c r="AM160" s="1052"/>
      <c r="AN160" s="1052"/>
      <c r="AO160" s="1052"/>
      <c r="AP160" s="1052"/>
      <c r="AQ160" s="1052"/>
      <c r="AR160" s="1052"/>
      <c r="AS160" s="1052"/>
      <c r="AT160" s="1052"/>
      <c r="AU160" s="1052"/>
      <c r="AV160" s="1052"/>
      <c r="AW160" s="640">
        <v>-8.63656192129565</v>
      </c>
      <c r="AX160" s="121" t="s">
        <v>2569</v>
      </c>
      <c r="AY160" s="1080">
        <v>7000000</v>
      </c>
      <c r="AZ160" s="1080">
        <v>500000</v>
      </c>
      <c r="BA160" s="1081"/>
      <c r="BB160" s="1088"/>
      <c r="BC160" s="1081">
        <v>2500000</v>
      </c>
      <c r="BD160" s="1080"/>
      <c r="BE160" s="1080"/>
      <c r="BF160" s="1081"/>
      <c r="BG160" s="1081">
        <v>500000</v>
      </c>
      <c r="BH160" s="1081">
        <v>250000</v>
      </c>
      <c r="BI160" s="1051" t="s">
        <v>0</v>
      </c>
      <c r="BJ160" s="1081" t="s">
        <v>48</v>
      </c>
      <c r="BK160" s="1081" t="s">
        <v>48</v>
      </c>
      <c r="BL160" s="1051"/>
      <c r="BM160" s="1104" t="s">
        <v>5742</v>
      </c>
      <c r="BN160" s="1095" t="s">
        <v>6340</v>
      </c>
      <c r="BO160" s="1095" t="s">
        <v>5744</v>
      </c>
      <c r="BP160" s="1545" t="s">
        <v>6341</v>
      </c>
      <c r="BQ160" s="1095"/>
      <c r="BR160" s="1095" t="s">
        <v>5747</v>
      </c>
      <c r="BS160" s="1095"/>
      <c r="BT160" s="1126" t="s">
        <v>6342</v>
      </c>
      <c r="BU160" s="1205" t="s">
        <v>6306</v>
      </c>
      <c r="BV160" s="1235" t="s">
        <v>6307</v>
      </c>
      <c r="BW160" s="1188"/>
    </row>
    <row r="161" s="1193" customFormat="1" ht="14.1" customHeight="1" spans="2:75">
      <c r="B161" s="1562" t="s">
        <v>940</v>
      </c>
      <c r="C161" s="838" t="s">
        <v>6343</v>
      </c>
      <c r="D161" s="838" t="s">
        <v>5760</v>
      </c>
      <c r="E161" s="1044" t="s">
        <v>5761</v>
      </c>
      <c r="F161" s="1044" t="s">
        <v>43</v>
      </c>
      <c r="G161" s="1044" t="s">
        <v>254</v>
      </c>
      <c r="H161" s="1044" t="s">
        <v>254</v>
      </c>
      <c r="I161" s="1051" t="s">
        <v>6344</v>
      </c>
      <c r="J161" s="1051"/>
      <c r="K161" s="1051" t="s">
        <v>5130</v>
      </c>
      <c r="L161" s="1052">
        <v>43023</v>
      </c>
      <c r="M161" s="1052">
        <v>43115</v>
      </c>
      <c r="N161" s="1202">
        <v>43131</v>
      </c>
      <c r="O161" s="1202"/>
      <c r="P161" s="1052"/>
      <c r="Q161" s="1205"/>
      <c r="R161" s="1052"/>
      <c r="S161" s="1052"/>
      <c r="T161" s="1052"/>
      <c r="U161" s="1052"/>
      <c r="V161" s="1052"/>
      <c r="W161" s="1052"/>
      <c r="X161" s="1052"/>
      <c r="Y161" s="1052"/>
      <c r="Z161" s="1052"/>
      <c r="AA161" s="1052"/>
      <c r="AB161" s="1052"/>
      <c r="AC161" s="1052"/>
      <c r="AD161" s="1052"/>
      <c r="AE161" s="1052"/>
      <c r="AF161" s="1052"/>
      <c r="AG161" s="1052"/>
      <c r="AH161" s="1052"/>
      <c r="AI161" s="1052"/>
      <c r="AJ161" s="1052"/>
      <c r="AK161" s="1052"/>
      <c r="AL161" s="1052"/>
      <c r="AM161" s="1052"/>
      <c r="AN161" s="1052"/>
      <c r="AO161" s="1052"/>
      <c r="AP161" s="1052"/>
      <c r="AQ161" s="1052"/>
      <c r="AR161" s="1052"/>
      <c r="AS161" s="1052"/>
      <c r="AT161" s="1052"/>
      <c r="AU161" s="1052"/>
      <c r="AV161" s="1052"/>
      <c r="AW161" s="640">
        <v>-8.63656192129565</v>
      </c>
      <c r="AX161" s="121" t="s">
        <v>2569</v>
      </c>
      <c r="AY161" s="1080">
        <v>7000000</v>
      </c>
      <c r="AZ161" s="1080">
        <v>500000</v>
      </c>
      <c r="BA161" s="1081"/>
      <c r="BB161" s="1088"/>
      <c r="BC161" s="1081">
        <v>2500000</v>
      </c>
      <c r="BD161" s="1080"/>
      <c r="BE161" s="1080"/>
      <c r="BF161" s="1081"/>
      <c r="BG161" s="1081">
        <v>500000</v>
      </c>
      <c r="BH161" s="1081">
        <v>250000</v>
      </c>
      <c r="BI161" s="1051" t="s">
        <v>0</v>
      </c>
      <c r="BJ161" s="1081" t="s">
        <v>48</v>
      </c>
      <c r="BK161" s="1081" t="s">
        <v>48</v>
      </c>
      <c r="BL161" s="1051"/>
      <c r="BM161" s="1104" t="s">
        <v>5763</v>
      </c>
      <c r="BN161" s="1095" t="s">
        <v>6345</v>
      </c>
      <c r="BO161" s="1095" t="s">
        <v>6346</v>
      </c>
      <c r="BP161" s="1545" t="s">
        <v>5766</v>
      </c>
      <c r="BQ161" s="1095" t="s">
        <v>5767</v>
      </c>
      <c r="BR161" s="1545" t="s">
        <v>5768</v>
      </c>
      <c r="BS161" s="1095"/>
      <c r="BT161" s="229" t="s">
        <v>6347</v>
      </c>
      <c r="BU161" s="1205" t="s">
        <v>6306</v>
      </c>
      <c r="BV161" s="1235" t="s">
        <v>6307</v>
      </c>
      <c r="BW161" s="1188"/>
    </row>
    <row r="162" s="1193" customFormat="1" ht="14.1" customHeight="1" spans="2:75">
      <c r="B162" s="1562" t="s">
        <v>949</v>
      </c>
      <c r="C162" s="838" t="s">
        <v>6348</v>
      </c>
      <c r="D162" s="838" t="s">
        <v>5785</v>
      </c>
      <c r="E162" s="1044" t="s">
        <v>5786</v>
      </c>
      <c r="F162" s="1044" t="s">
        <v>43</v>
      </c>
      <c r="G162" s="1044" t="s">
        <v>254</v>
      </c>
      <c r="H162" s="1044" t="s">
        <v>254</v>
      </c>
      <c r="I162" s="1051" t="s">
        <v>6349</v>
      </c>
      <c r="J162" s="1051"/>
      <c r="K162" s="1051" t="s">
        <v>5130</v>
      </c>
      <c r="L162" s="1052">
        <v>43023</v>
      </c>
      <c r="M162" s="1052">
        <v>43100</v>
      </c>
      <c r="N162" s="1202">
        <v>43131</v>
      </c>
      <c r="O162" s="1202"/>
      <c r="P162" s="1052"/>
      <c r="Q162" s="1205"/>
      <c r="R162" s="1052"/>
      <c r="S162" s="1052"/>
      <c r="T162" s="1052"/>
      <c r="U162" s="1052"/>
      <c r="V162" s="1052"/>
      <c r="W162" s="1052"/>
      <c r="X162" s="1052"/>
      <c r="Y162" s="1052"/>
      <c r="Z162" s="1052"/>
      <c r="AA162" s="1052"/>
      <c r="AB162" s="1052"/>
      <c r="AC162" s="1052"/>
      <c r="AD162" s="1052"/>
      <c r="AE162" s="1052"/>
      <c r="AF162" s="1052"/>
      <c r="AG162" s="1052"/>
      <c r="AH162" s="1052"/>
      <c r="AI162" s="1052"/>
      <c r="AJ162" s="1052"/>
      <c r="AK162" s="1052"/>
      <c r="AL162" s="1052"/>
      <c r="AM162" s="1052"/>
      <c r="AN162" s="1052"/>
      <c r="AO162" s="1052"/>
      <c r="AP162" s="1052"/>
      <c r="AQ162" s="1052"/>
      <c r="AR162" s="1052"/>
      <c r="AS162" s="1052"/>
      <c r="AT162" s="1052"/>
      <c r="AU162" s="1052"/>
      <c r="AV162" s="1052"/>
      <c r="AW162" s="640">
        <v>-8.63656192129565</v>
      </c>
      <c r="AX162" s="121" t="s">
        <v>2569</v>
      </c>
      <c r="AY162" s="1080">
        <v>7000000</v>
      </c>
      <c r="AZ162" s="1080">
        <v>500000</v>
      </c>
      <c r="BA162" s="1081"/>
      <c r="BB162" s="1088"/>
      <c r="BC162" s="1081">
        <v>1500000</v>
      </c>
      <c r="BD162" s="1080"/>
      <c r="BE162" s="1080"/>
      <c r="BF162" s="1081"/>
      <c r="BG162" s="1081">
        <v>500000</v>
      </c>
      <c r="BH162" s="1081">
        <v>250000</v>
      </c>
      <c r="BI162" s="1051" t="s">
        <v>0</v>
      </c>
      <c r="BJ162" s="1081" t="s">
        <v>48</v>
      </c>
      <c r="BK162" s="1081" t="s">
        <v>48</v>
      </c>
      <c r="BL162" s="1051"/>
      <c r="BM162" s="1104" t="s">
        <v>5787</v>
      </c>
      <c r="BN162" s="1095" t="s">
        <v>6350</v>
      </c>
      <c r="BO162" s="1095" t="s">
        <v>6351</v>
      </c>
      <c r="BP162" s="1545" t="s">
        <v>6352</v>
      </c>
      <c r="BQ162" s="1095" t="s">
        <v>6353</v>
      </c>
      <c r="BR162" s="1095" t="s">
        <v>6354</v>
      </c>
      <c r="BS162" s="1095" t="s">
        <v>6355</v>
      </c>
      <c r="BT162" s="229" t="s">
        <v>6356</v>
      </c>
      <c r="BU162" s="1205" t="s">
        <v>6306</v>
      </c>
      <c r="BV162" s="1235" t="s">
        <v>6307</v>
      </c>
      <c r="BW162" s="1188"/>
    </row>
    <row r="163" s="1193" customFormat="1" ht="14.1" customHeight="1" spans="2:75">
      <c r="B163" s="1562" t="s">
        <v>970</v>
      </c>
      <c r="C163" s="838" t="s">
        <v>5712</v>
      </c>
      <c r="D163" s="838" t="s">
        <v>5581</v>
      </c>
      <c r="E163" s="1044" t="s">
        <v>5582</v>
      </c>
      <c r="F163" s="1044" t="s">
        <v>43</v>
      </c>
      <c r="G163" s="1044" t="s">
        <v>96</v>
      </c>
      <c r="H163" s="1044" t="s">
        <v>96</v>
      </c>
      <c r="I163" s="1051" t="s">
        <v>6357</v>
      </c>
      <c r="J163" s="1051"/>
      <c r="K163" s="1051" t="s">
        <v>5130</v>
      </c>
      <c r="L163" s="1052">
        <v>43023</v>
      </c>
      <c r="M163" s="1052">
        <v>43115</v>
      </c>
      <c r="N163" s="1202">
        <v>43131</v>
      </c>
      <c r="O163" s="1202"/>
      <c r="P163" s="1052"/>
      <c r="Q163" s="1205"/>
      <c r="R163" s="1052"/>
      <c r="S163" s="1052"/>
      <c r="T163" s="1052"/>
      <c r="U163" s="1052"/>
      <c r="V163" s="1052"/>
      <c r="W163" s="1052"/>
      <c r="X163" s="1052"/>
      <c r="Y163" s="1052"/>
      <c r="Z163" s="1052"/>
      <c r="AA163" s="1052"/>
      <c r="AB163" s="1052"/>
      <c r="AC163" s="1052"/>
      <c r="AD163" s="1052"/>
      <c r="AE163" s="1052"/>
      <c r="AF163" s="1052"/>
      <c r="AG163" s="1052"/>
      <c r="AH163" s="1052"/>
      <c r="AI163" s="1052"/>
      <c r="AJ163" s="1052"/>
      <c r="AK163" s="1052"/>
      <c r="AL163" s="1052"/>
      <c r="AM163" s="1052"/>
      <c r="AN163" s="1052"/>
      <c r="AO163" s="1052"/>
      <c r="AP163" s="1052"/>
      <c r="AQ163" s="1052"/>
      <c r="AR163" s="1052"/>
      <c r="AS163" s="1052"/>
      <c r="AT163" s="1052"/>
      <c r="AU163" s="1052"/>
      <c r="AV163" s="1052"/>
      <c r="AW163" s="640">
        <v>-8.63656192129565</v>
      </c>
      <c r="AX163" s="121" t="s">
        <v>2569</v>
      </c>
      <c r="AY163" s="1080">
        <v>6500000</v>
      </c>
      <c r="AZ163" s="1080">
        <v>500000</v>
      </c>
      <c r="BA163" s="1081"/>
      <c r="BB163" s="1088"/>
      <c r="BC163" s="1081">
        <v>1500000</v>
      </c>
      <c r="BD163" s="1080"/>
      <c r="BE163" s="1080"/>
      <c r="BF163" s="1081"/>
      <c r="BG163" s="1081">
        <v>500000</v>
      </c>
      <c r="BH163" s="1081">
        <v>250000</v>
      </c>
      <c r="BI163" s="1051" t="s">
        <v>0</v>
      </c>
      <c r="BJ163" s="1081" t="s">
        <v>48</v>
      </c>
      <c r="BK163" s="1081" t="s">
        <v>48</v>
      </c>
      <c r="BL163" s="1051"/>
      <c r="BM163" s="1104" t="s">
        <v>5583</v>
      </c>
      <c r="BN163" s="1095" t="s">
        <v>5584</v>
      </c>
      <c r="BO163" s="1095" t="s">
        <v>5714</v>
      </c>
      <c r="BP163" s="1545" t="s">
        <v>5586</v>
      </c>
      <c r="BQ163" s="1095" t="s">
        <v>5587</v>
      </c>
      <c r="BR163" s="1095" t="s">
        <v>6358</v>
      </c>
      <c r="BS163" s="1095"/>
      <c r="BT163" s="229" t="s">
        <v>5588</v>
      </c>
      <c r="BU163" s="1205" t="s">
        <v>6306</v>
      </c>
      <c r="BV163" s="1235" t="s">
        <v>6307</v>
      </c>
      <c r="BW163" s="1188"/>
    </row>
    <row r="164" s="1193" customFormat="1" ht="14.1" customHeight="1" spans="2:75">
      <c r="B164" s="1562" t="s">
        <v>979</v>
      </c>
      <c r="C164" s="838" t="s">
        <v>6359</v>
      </c>
      <c r="D164" s="838" t="s">
        <v>5750</v>
      </c>
      <c r="E164" s="1044" t="s">
        <v>5751</v>
      </c>
      <c r="F164" s="1044" t="s">
        <v>43</v>
      </c>
      <c r="G164" s="1044" t="s">
        <v>254</v>
      </c>
      <c r="H164" s="1044" t="s">
        <v>254</v>
      </c>
      <c r="I164" s="1051" t="s">
        <v>6360</v>
      </c>
      <c r="J164" s="1051"/>
      <c r="K164" s="1051" t="s">
        <v>5130</v>
      </c>
      <c r="L164" s="1052">
        <v>43024</v>
      </c>
      <c r="M164" s="1052">
        <v>43100</v>
      </c>
      <c r="N164" s="1202">
        <v>43131</v>
      </c>
      <c r="O164" s="1202"/>
      <c r="P164" s="1052"/>
      <c r="Q164" s="1205"/>
      <c r="R164" s="1052"/>
      <c r="S164" s="1052"/>
      <c r="T164" s="1052"/>
      <c r="U164" s="1052"/>
      <c r="V164" s="1052"/>
      <c r="W164" s="1052"/>
      <c r="X164" s="1052"/>
      <c r="Y164" s="1052"/>
      <c r="Z164" s="1052"/>
      <c r="AA164" s="1052"/>
      <c r="AB164" s="1052"/>
      <c r="AC164" s="1052"/>
      <c r="AD164" s="1052"/>
      <c r="AE164" s="1052"/>
      <c r="AF164" s="1052"/>
      <c r="AG164" s="1052"/>
      <c r="AH164" s="1052"/>
      <c r="AI164" s="1052"/>
      <c r="AJ164" s="1052"/>
      <c r="AK164" s="1052"/>
      <c r="AL164" s="1052"/>
      <c r="AM164" s="1052"/>
      <c r="AN164" s="1052"/>
      <c r="AO164" s="1052"/>
      <c r="AP164" s="1052"/>
      <c r="AQ164" s="1052"/>
      <c r="AR164" s="1052"/>
      <c r="AS164" s="1052"/>
      <c r="AT164" s="1052"/>
      <c r="AU164" s="1052"/>
      <c r="AV164" s="1052"/>
      <c r="AW164" s="640">
        <v>-8.63656192129565</v>
      </c>
      <c r="AX164" s="121" t="s">
        <v>2569</v>
      </c>
      <c r="AY164" s="1080">
        <v>7000000</v>
      </c>
      <c r="AZ164" s="1080">
        <v>500000</v>
      </c>
      <c r="BA164" s="1081"/>
      <c r="BB164" s="1088"/>
      <c r="BC164" s="1081">
        <v>1500000</v>
      </c>
      <c r="BD164" s="1080"/>
      <c r="BE164" s="1080"/>
      <c r="BF164" s="1081"/>
      <c r="BG164" s="1081">
        <v>500000</v>
      </c>
      <c r="BH164" s="1081">
        <v>250000</v>
      </c>
      <c r="BI164" s="1051" t="s">
        <v>0</v>
      </c>
      <c r="BJ164" s="1081" t="s">
        <v>48</v>
      </c>
      <c r="BK164" s="1081" t="s">
        <v>48</v>
      </c>
      <c r="BL164" s="1051"/>
      <c r="BM164" s="1104" t="s">
        <v>5752</v>
      </c>
      <c r="BN164" s="1095" t="s">
        <v>6361</v>
      </c>
      <c r="BO164" s="1095" t="s">
        <v>6362</v>
      </c>
      <c r="BP164" s="1545" t="s">
        <v>6363</v>
      </c>
      <c r="BQ164" s="1095" t="s">
        <v>6364</v>
      </c>
      <c r="BR164" s="1095" t="s">
        <v>6365</v>
      </c>
      <c r="BS164" s="1095"/>
      <c r="BT164" s="229" t="s">
        <v>6366</v>
      </c>
      <c r="BU164" s="1205" t="s">
        <v>6306</v>
      </c>
      <c r="BV164" s="1235" t="s">
        <v>6307</v>
      </c>
      <c r="BW164" s="1188"/>
    </row>
    <row r="165" s="1193" customFormat="1" ht="14.1" customHeight="1" spans="2:75">
      <c r="B165" s="1562" t="s">
        <v>1086</v>
      </c>
      <c r="C165" s="838" t="s">
        <v>5863</v>
      </c>
      <c r="D165" s="1199" t="s">
        <v>5864</v>
      </c>
      <c r="E165" s="1044" t="s">
        <v>5865</v>
      </c>
      <c r="F165" s="1044" t="s">
        <v>43</v>
      </c>
      <c r="G165" s="1044" t="s">
        <v>60</v>
      </c>
      <c r="H165" s="1044" t="s">
        <v>60</v>
      </c>
      <c r="I165" s="1051" t="s">
        <v>5990</v>
      </c>
      <c r="J165" s="838" t="s">
        <v>4564</v>
      </c>
      <c r="K165" s="1051" t="s">
        <v>6367</v>
      </c>
      <c r="L165" s="1202">
        <v>43052</v>
      </c>
      <c r="M165" s="1202">
        <v>43131</v>
      </c>
      <c r="N165" s="1202"/>
      <c r="O165" s="1202"/>
      <c r="P165" s="1052"/>
      <c r="Q165" s="1202"/>
      <c r="R165" s="1211"/>
      <c r="S165" s="1202"/>
      <c r="T165" s="1202"/>
      <c r="U165" s="1202"/>
      <c r="V165" s="1202"/>
      <c r="W165" s="1202"/>
      <c r="X165" s="1202"/>
      <c r="Y165" s="1202"/>
      <c r="Z165" s="1202"/>
      <c r="AA165" s="1202"/>
      <c r="AB165" s="1202"/>
      <c r="AC165" s="1202"/>
      <c r="AD165" s="1202"/>
      <c r="AE165" s="1202"/>
      <c r="AF165" s="1202"/>
      <c r="AG165" s="1202"/>
      <c r="AH165" s="1202"/>
      <c r="AI165" s="1202"/>
      <c r="AJ165" s="1202"/>
      <c r="AK165" s="1202"/>
      <c r="AL165" s="1202"/>
      <c r="AM165" s="1202"/>
      <c r="AN165" s="1202"/>
      <c r="AO165" s="1202"/>
      <c r="AP165" s="1202"/>
      <c r="AQ165" s="1202"/>
      <c r="AR165" s="1202"/>
      <c r="AS165" s="1202"/>
      <c r="AT165" s="1202"/>
      <c r="AU165" s="1202"/>
      <c r="AV165" s="1202"/>
      <c r="AW165" s="640">
        <v>-8.63656192129565</v>
      </c>
      <c r="AX165" s="121" t="s">
        <v>2569</v>
      </c>
      <c r="AY165" s="1080">
        <v>7000000</v>
      </c>
      <c r="AZ165" s="1080">
        <v>250000</v>
      </c>
      <c r="BA165" s="1081"/>
      <c r="BB165" s="1088"/>
      <c r="BC165" s="1081">
        <v>1500000</v>
      </c>
      <c r="BD165" s="1080"/>
      <c r="BE165" s="1080"/>
      <c r="BF165" s="1081"/>
      <c r="BG165" s="1081">
        <v>500000</v>
      </c>
      <c r="BH165" s="1081">
        <v>250000</v>
      </c>
      <c r="BI165" s="1051" t="s">
        <v>112</v>
      </c>
      <c r="BJ165" s="1051" t="s">
        <v>113</v>
      </c>
      <c r="BK165" s="1081" t="s">
        <v>113</v>
      </c>
      <c r="BL165" s="1051"/>
      <c r="BM165" s="1104" t="s">
        <v>5867</v>
      </c>
      <c r="BN165" s="1545" t="s">
        <v>6368</v>
      </c>
      <c r="BO165" s="1095" t="s">
        <v>6369</v>
      </c>
      <c r="BP165" s="1545" t="s">
        <v>6370</v>
      </c>
      <c r="BQ165" s="1095" t="s">
        <v>6371</v>
      </c>
      <c r="BR165" s="1095" t="s">
        <v>6372</v>
      </c>
      <c r="BS165" s="1545" t="s">
        <v>6373</v>
      </c>
      <c r="BT165" s="229" t="s">
        <v>6374</v>
      </c>
      <c r="BU165" s="1205" t="s">
        <v>6306</v>
      </c>
      <c r="BV165" s="1235" t="s">
        <v>6307</v>
      </c>
      <c r="BW165" s="1188"/>
    </row>
    <row r="166" s="1193" customFormat="1" ht="14.1" customHeight="1" spans="2:75">
      <c r="B166" s="1562" t="s">
        <v>1097</v>
      </c>
      <c r="C166" s="838" t="s">
        <v>6375</v>
      </c>
      <c r="D166" s="1199" t="s">
        <v>6376</v>
      </c>
      <c r="E166" s="1044" t="s">
        <v>6377</v>
      </c>
      <c r="F166" s="1044" t="s">
        <v>43</v>
      </c>
      <c r="G166" s="1044" t="s">
        <v>96</v>
      </c>
      <c r="H166" s="1044" t="s">
        <v>96</v>
      </c>
      <c r="I166" s="1051" t="s">
        <v>665</v>
      </c>
      <c r="J166" s="838" t="s">
        <v>4564</v>
      </c>
      <c r="K166" s="1051" t="s">
        <v>6378</v>
      </c>
      <c r="L166" s="1202">
        <v>43052</v>
      </c>
      <c r="M166" s="1202">
        <v>43131</v>
      </c>
      <c r="N166" s="1202"/>
      <c r="O166" s="1202"/>
      <c r="P166" s="1052"/>
      <c r="Q166" s="1202"/>
      <c r="R166" s="1211"/>
      <c r="S166" s="1202"/>
      <c r="T166" s="1202"/>
      <c r="U166" s="1202"/>
      <c r="V166" s="1202"/>
      <c r="W166" s="1202"/>
      <c r="X166" s="1202"/>
      <c r="Y166" s="1202"/>
      <c r="Z166" s="1202"/>
      <c r="AA166" s="1202"/>
      <c r="AB166" s="1202"/>
      <c r="AC166" s="1202"/>
      <c r="AD166" s="1202"/>
      <c r="AE166" s="1202"/>
      <c r="AF166" s="1202"/>
      <c r="AG166" s="1202"/>
      <c r="AH166" s="1202"/>
      <c r="AI166" s="1202"/>
      <c r="AJ166" s="1202"/>
      <c r="AK166" s="1202"/>
      <c r="AL166" s="1202"/>
      <c r="AM166" s="1202"/>
      <c r="AN166" s="1202"/>
      <c r="AO166" s="1202"/>
      <c r="AP166" s="1202"/>
      <c r="AQ166" s="1202"/>
      <c r="AR166" s="1202"/>
      <c r="AS166" s="1202"/>
      <c r="AT166" s="1202"/>
      <c r="AU166" s="1202"/>
      <c r="AV166" s="1202"/>
      <c r="AW166" s="640">
        <v>-8.63656192129565</v>
      </c>
      <c r="AX166" s="121" t="s">
        <v>2569</v>
      </c>
      <c r="AY166" s="1080">
        <v>13000000</v>
      </c>
      <c r="AZ166" s="1080">
        <v>500000</v>
      </c>
      <c r="BA166" s="1081"/>
      <c r="BB166" s="1088"/>
      <c r="BC166" s="1081">
        <v>1500000</v>
      </c>
      <c r="BD166" s="1080"/>
      <c r="BE166" s="1080"/>
      <c r="BF166" s="1081"/>
      <c r="BG166" s="1081">
        <v>500000</v>
      </c>
      <c r="BH166" s="1081">
        <v>250000</v>
      </c>
      <c r="BI166" s="1051" t="s">
        <v>112</v>
      </c>
      <c r="BJ166" s="1051" t="s">
        <v>113</v>
      </c>
      <c r="BK166" s="1081" t="s">
        <v>113</v>
      </c>
      <c r="BL166" s="1051"/>
      <c r="BM166" s="1104" t="s">
        <v>6379</v>
      </c>
      <c r="BN166" s="1095" t="s">
        <v>6380</v>
      </c>
      <c r="BO166" s="1095" t="s">
        <v>6381</v>
      </c>
      <c r="BP166" s="1545" t="s">
        <v>6382</v>
      </c>
      <c r="BQ166" s="1095" t="s">
        <v>6383</v>
      </c>
      <c r="BR166" s="1095"/>
      <c r="BS166" s="1095" t="s">
        <v>6384</v>
      </c>
      <c r="BT166" s="229" t="s">
        <v>6385</v>
      </c>
      <c r="BU166" s="1205" t="s">
        <v>6306</v>
      </c>
      <c r="BV166" s="1235" t="s">
        <v>6307</v>
      </c>
      <c r="BW166" s="1188"/>
    </row>
    <row r="167" s="1193" customFormat="1" ht="14.1" customHeight="1" spans="2:75">
      <c r="B167" s="1562" t="s">
        <v>1106</v>
      </c>
      <c r="C167" s="838" t="s">
        <v>6386</v>
      </c>
      <c r="D167" s="1199" t="s">
        <v>6387</v>
      </c>
      <c r="E167" s="1044" t="s">
        <v>6388</v>
      </c>
      <c r="F167" s="1044" t="s">
        <v>125</v>
      </c>
      <c r="G167" s="1044" t="s">
        <v>1110</v>
      </c>
      <c r="H167" s="1044" t="s">
        <v>1110</v>
      </c>
      <c r="I167" s="1051" t="s">
        <v>3528</v>
      </c>
      <c r="J167" s="838" t="s">
        <v>4564</v>
      </c>
      <c r="K167" s="1051" t="s">
        <v>6389</v>
      </c>
      <c r="L167" s="1202">
        <v>43052</v>
      </c>
      <c r="M167" s="1202">
        <v>43081</v>
      </c>
      <c r="N167" s="1202">
        <v>43131</v>
      </c>
      <c r="O167" s="1202"/>
      <c r="P167" s="1052"/>
      <c r="Q167" s="1202"/>
      <c r="R167" s="1211"/>
      <c r="S167" s="1202"/>
      <c r="T167" s="1202"/>
      <c r="U167" s="1202"/>
      <c r="V167" s="1202"/>
      <c r="W167" s="1202"/>
      <c r="X167" s="1202"/>
      <c r="Y167" s="1202"/>
      <c r="Z167" s="1202"/>
      <c r="AA167" s="1202"/>
      <c r="AB167" s="1202"/>
      <c r="AC167" s="1202"/>
      <c r="AD167" s="1202"/>
      <c r="AE167" s="1202"/>
      <c r="AF167" s="1202"/>
      <c r="AG167" s="1202"/>
      <c r="AH167" s="1202"/>
      <c r="AI167" s="1202"/>
      <c r="AJ167" s="1202"/>
      <c r="AK167" s="1202"/>
      <c r="AL167" s="1202"/>
      <c r="AM167" s="1202"/>
      <c r="AN167" s="1202"/>
      <c r="AO167" s="1202"/>
      <c r="AP167" s="1202"/>
      <c r="AQ167" s="1202"/>
      <c r="AR167" s="1202"/>
      <c r="AS167" s="1202"/>
      <c r="AT167" s="1202"/>
      <c r="AU167" s="1202"/>
      <c r="AV167" s="1202"/>
      <c r="AW167" s="640">
        <v>-8.63656192129565</v>
      </c>
      <c r="AX167" s="121" t="s">
        <v>2569</v>
      </c>
      <c r="AY167" s="1080">
        <v>5500000</v>
      </c>
      <c r="AZ167" s="1080">
        <v>250000</v>
      </c>
      <c r="BA167" s="1081"/>
      <c r="BB167" s="1088"/>
      <c r="BC167" s="1081"/>
      <c r="BD167" s="1080"/>
      <c r="BE167" s="1080"/>
      <c r="BF167" s="1081"/>
      <c r="BG167" s="1081"/>
      <c r="BH167" s="1081">
        <v>250000</v>
      </c>
      <c r="BI167" s="1051" t="s">
        <v>112</v>
      </c>
      <c r="BJ167" s="1051" t="s">
        <v>113</v>
      </c>
      <c r="BK167" s="1081" t="s">
        <v>113</v>
      </c>
      <c r="BL167" s="1051"/>
      <c r="BM167" s="1104" t="s">
        <v>6390</v>
      </c>
      <c r="BN167" s="1095" t="s">
        <v>6391</v>
      </c>
      <c r="BO167" s="1095" t="s">
        <v>6392</v>
      </c>
      <c r="BP167" s="1545" t="s">
        <v>6393</v>
      </c>
      <c r="BQ167" s="1095" t="s">
        <v>6394</v>
      </c>
      <c r="BR167" s="1095"/>
      <c r="BS167" s="1095"/>
      <c r="BT167" s="229" t="s">
        <v>6395</v>
      </c>
      <c r="BU167" s="1205" t="s">
        <v>6306</v>
      </c>
      <c r="BV167" s="1235" t="s">
        <v>6307</v>
      </c>
      <c r="BW167" s="1188"/>
    </row>
    <row r="168" s="1193" customFormat="1" ht="14.1" customHeight="1" spans="2:75">
      <c r="B168" s="1563" t="s">
        <v>424</v>
      </c>
      <c r="C168" s="838" t="s">
        <v>6396</v>
      </c>
      <c r="D168" s="1199" t="s">
        <v>6397</v>
      </c>
      <c r="E168" s="1044" t="s">
        <v>6398</v>
      </c>
      <c r="F168" s="1044" t="s">
        <v>43</v>
      </c>
      <c r="G168" s="1044" t="s">
        <v>60</v>
      </c>
      <c r="H168" s="1044" t="s">
        <v>60</v>
      </c>
      <c r="I168" s="1051" t="s">
        <v>3089</v>
      </c>
      <c r="J168" s="1051" t="s">
        <v>4970</v>
      </c>
      <c r="K168" s="1051" t="s">
        <v>5130</v>
      </c>
      <c r="L168" s="1202">
        <v>42775</v>
      </c>
      <c r="M168" s="1202">
        <v>42855</v>
      </c>
      <c r="N168" s="1202">
        <v>42916</v>
      </c>
      <c r="O168" s="1202">
        <v>42978</v>
      </c>
      <c r="P168" s="1205">
        <v>43039</v>
      </c>
      <c r="Q168" s="1202">
        <v>43100</v>
      </c>
      <c r="R168" s="1202">
        <v>43159</v>
      </c>
      <c r="S168" s="1202"/>
      <c r="T168" s="1202"/>
      <c r="U168" s="1202"/>
      <c r="V168" s="1202"/>
      <c r="W168" s="1202"/>
      <c r="X168" s="1202"/>
      <c r="Y168" s="1202"/>
      <c r="Z168" s="1202"/>
      <c r="AA168" s="1202"/>
      <c r="AB168" s="1202"/>
      <c r="AC168" s="1202"/>
      <c r="AD168" s="1202"/>
      <c r="AE168" s="1202"/>
      <c r="AF168" s="1202"/>
      <c r="AG168" s="1202"/>
      <c r="AH168" s="1202"/>
      <c r="AI168" s="1202"/>
      <c r="AJ168" s="1202"/>
      <c r="AK168" s="1202"/>
      <c r="AL168" s="1202"/>
      <c r="AM168" s="1202"/>
      <c r="AN168" s="1202"/>
      <c r="AO168" s="1202"/>
      <c r="AP168" s="1202"/>
      <c r="AQ168" s="1202"/>
      <c r="AR168" s="1202"/>
      <c r="AS168" s="1202"/>
      <c r="AT168" s="1202"/>
      <c r="AU168" s="1202"/>
      <c r="AV168" s="1202"/>
      <c r="AW168" s="641">
        <v>-6.69849872685154</v>
      </c>
      <c r="AX168" s="187" t="s">
        <v>2569</v>
      </c>
      <c r="AY168" s="1080">
        <v>8000000</v>
      </c>
      <c r="AZ168" s="1080">
        <v>1000000</v>
      </c>
      <c r="BA168" s="1081"/>
      <c r="BB168" s="1088"/>
      <c r="BC168" s="1081">
        <v>1500000</v>
      </c>
      <c r="BD168" s="1080"/>
      <c r="BE168" s="1080"/>
      <c r="BF168" s="1081" t="s">
        <v>583</v>
      </c>
      <c r="BG168" s="1081">
        <v>500000</v>
      </c>
      <c r="BH168" s="1081">
        <v>250000</v>
      </c>
      <c r="BI168" s="1051" t="s">
        <v>0</v>
      </c>
      <c r="BJ168" s="1081" t="s">
        <v>48</v>
      </c>
      <c r="BK168" s="1081" t="s">
        <v>48</v>
      </c>
      <c r="BL168" s="1051"/>
      <c r="BM168" s="1104" t="s">
        <v>6399</v>
      </c>
      <c r="BN168" s="1095" t="s">
        <v>6400</v>
      </c>
      <c r="BO168" s="1095" t="s">
        <v>6401</v>
      </c>
      <c r="BP168" s="1545" t="s">
        <v>6402</v>
      </c>
      <c r="BQ168" s="1095" t="s">
        <v>6403</v>
      </c>
      <c r="BR168" s="1095"/>
      <c r="BS168" s="1095"/>
      <c r="BT168" s="1126" t="s">
        <v>6404</v>
      </c>
      <c r="BU168" s="1205" t="s">
        <v>6405</v>
      </c>
      <c r="BV168" s="1257"/>
      <c r="BW168" s="1188"/>
    </row>
    <row r="169" s="1193" customFormat="1" ht="14.1" customHeight="1" spans="2:75">
      <c r="B169" s="1563" t="s">
        <v>542</v>
      </c>
      <c r="C169" s="838" t="s">
        <v>6406</v>
      </c>
      <c r="D169" s="1199" t="s">
        <v>6407</v>
      </c>
      <c r="E169" s="1044" t="s">
        <v>6408</v>
      </c>
      <c r="F169" s="1044" t="s">
        <v>43</v>
      </c>
      <c r="G169" s="1044" t="s">
        <v>60</v>
      </c>
      <c r="H169" s="1044" t="s">
        <v>60</v>
      </c>
      <c r="I169" s="1051" t="s">
        <v>6409</v>
      </c>
      <c r="J169" s="1051" t="s">
        <v>4970</v>
      </c>
      <c r="K169" s="1051" t="s">
        <v>6410</v>
      </c>
      <c r="L169" s="1202">
        <v>42783</v>
      </c>
      <c r="M169" s="1202">
        <v>42855</v>
      </c>
      <c r="N169" s="1202">
        <v>42916</v>
      </c>
      <c r="O169" s="1202">
        <v>42947</v>
      </c>
      <c r="P169" s="1202">
        <v>42978</v>
      </c>
      <c r="Q169" s="1202">
        <v>43008</v>
      </c>
      <c r="R169" s="1205">
        <v>43069</v>
      </c>
      <c r="S169" s="1202">
        <v>43100</v>
      </c>
      <c r="T169" s="1202">
        <v>43190</v>
      </c>
      <c r="U169" s="1202"/>
      <c r="V169" s="1202"/>
      <c r="W169" s="1202"/>
      <c r="X169" s="1202"/>
      <c r="Y169" s="1202"/>
      <c r="Z169" s="1202"/>
      <c r="AA169" s="1202"/>
      <c r="AB169" s="1202"/>
      <c r="AC169" s="1202"/>
      <c r="AD169" s="1202"/>
      <c r="AE169" s="1202"/>
      <c r="AF169" s="1202"/>
      <c r="AG169" s="1202"/>
      <c r="AH169" s="1202"/>
      <c r="AI169" s="1202"/>
      <c r="AJ169" s="1202"/>
      <c r="AK169" s="1202"/>
      <c r="AL169" s="1202"/>
      <c r="AM169" s="1202"/>
      <c r="AN169" s="1202"/>
      <c r="AO169" s="1202"/>
      <c r="AP169" s="1202"/>
      <c r="AQ169" s="1202"/>
      <c r="AR169" s="1202"/>
      <c r="AS169" s="1202"/>
      <c r="AT169" s="1202"/>
      <c r="AU169" s="1202"/>
      <c r="AV169" s="1202"/>
      <c r="AW169" s="641">
        <v>24.3015012731485</v>
      </c>
      <c r="AX169" s="187" t="s">
        <v>2569</v>
      </c>
      <c r="AY169" s="1080">
        <v>10750000</v>
      </c>
      <c r="AZ169" s="1080">
        <v>1000000</v>
      </c>
      <c r="BA169" s="1081" t="s">
        <v>583</v>
      </c>
      <c r="BB169" s="1088" t="s">
        <v>583</v>
      </c>
      <c r="BC169" s="1081">
        <v>2500000</v>
      </c>
      <c r="BD169" s="1080"/>
      <c r="BE169" s="1080"/>
      <c r="BF169" s="1081" t="s">
        <v>583</v>
      </c>
      <c r="BG169" s="1081">
        <v>500000</v>
      </c>
      <c r="BH169" s="1081">
        <v>250000</v>
      </c>
      <c r="BI169" s="1051" t="s">
        <v>0</v>
      </c>
      <c r="BJ169" s="1081" t="s">
        <v>48</v>
      </c>
      <c r="BK169" s="1081" t="s">
        <v>48</v>
      </c>
      <c r="BL169" s="1051"/>
      <c r="BM169" s="1104" t="s">
        <v>6411</v>
      </c>
      <c r="BN169" s="1095" t="s">
        <v>6412</v>
      </c>
      <c r="BO169" s="1095" t="s">
        <v>6413</v>
      </c>
      <c r="BP169" s="1545" t="s">
        <v>6414</v>
      </c>
      <c r="BQ169" s="1095" t="s">
        <v>6415</v>
      </c>
      <c r="BR169" s="1095"/>
      <c r="BS169" s="1095"/>
      <c r="BT169" s="1126" t="s">
        <v>6416</v>
      </c>
      <c r="BU169" s="1205" t="s">
        <v>6405</v>
      </c>
      <c r="BV169" s="1257"/>
      <c r="BW169" s="1188"/>
    </row>
    <row r="170" s="1193" customFormat="1" ht="14.1" customHeight="1" spans="2:75">
      <c r="B170" s="1563" t="s">
        <v>730</v>
      </c>
      <c r="C170" s="838" t="s">
        <v>6417</v>
      </c>
      <c r="D170" s="1199" t="s">
        <v>6418</v>
      </c>
      <c r="E170" s="1044" t="s">
        <v>6419</v>
      </c>
      <c r="F170" s="1044" t="s">
        <v>43</v>
      </c>
      <c r="G170" s="1044" t="s">
        <v>44</v>
      </c>
      <c r="H170" s="1044" t="s">
        <v>44</v>
      </c>
      <c r="I170" s="1051" t="s">
        <v>6420</v>
      </c>
      <c r="J170" s="1051"/>
      <c r="K170" s="1051" t="s">
        <v>6421</v>
      </c>
      <c r="L170" s="1202">
        <v>42954</v>
      </c>
      <c r="M170" s="1202">
        <v>43008</v>
      </c>
      <c r="N170" s="1205">
        <v>43039</v>
      </c>
      <c r="O170" s="1202">
        <v>43069</v>
      </c>
      <c r="P170" s="1202">
        <v>43100</v>
      </c>
      <c r="Q170" s="1202">
        <v>43159</v>
      </c>
      <c r="R170" s="1202"/>
      <c r="S170" s="1202"/>
      <c r="T170" s="1202"/>
      <c r="U170" s="1202"/>
      <c r="V170" s="1202"/>
      <c r="W170" s="1202"/>
      <c r="X170" s="1202"/>
      <c r="Y170" s="1202"/>
      <c r="Z170" s="1202"/>
      <c r="AA170" s="1202"/>
      <c r="AB170" s="1202"/>
      <c r="AC170" s="1202"/>
      <c r="AD170" s="1202"/>
      <c r="AE170" s="1202"/>
      <c r="AF170" s="1202"/>
      <c r="AG170" s="1202"/>
      <c r="AH170" s="1202"/>
      <c r="AI170" s="1202"/>
      <c r="AJ170" s="1202"/>
      <c r="AK170" s="1202"/>
      <c r="AL170" s="1202"/>
      <c r="AM170" s="1202"/>
      <c r="AN170" s="1202"/>
      <c r="AO170" s="1202"/>
      <c r="AP170" s="1202"/>
      <c r="AQ170" s="1202"/>
      <c r="AR170" s="1202"/>
      <c r="AS170" s="1202"/>
      <c r="AT170" s="1202"/>
      <c r="AU170" s="1202"/>
      <c r="AV170" s="1202"/>
      <c r="AW170" s="641">
        <v>-6.69849872685154</v>
      </c>
      <c r="AX170" s="187" t="s">
        <v>2569</v>
      </c>
      <c r="AY170" s="1080">
        <v>3000000</v>
      </c>
      <c r="AZ170" s="1080">
        <v>200000</v>
      </c>
      <c r="BA170" s="1081"/>
      <c r="BB170" s="1088"/>
      <c r="BC170" s="1081"/>
      <c r="BD170" s="1080"/>
      <c r="BE170" s="1080"/>
      <c r="BF170" s="1081">
        <v>200000</v>
      </c>
      <c r="BG170" s="1081"/>
      <c r="BH170" s="1081">
        <v>150000</v>
      </c>
      <c r="BI170" s="1051" t="s">
        <v>0</v>
      </c>
      <c r="BJ170" s="1081" t="s">
        <v>48</v>
      </c>
      <c r="BK170" s="1253" t="s">
        <v>5296</v>
      </c>
      <c r="BL170" s="1051" t="s">
        <v>6194</v>
      </c>
      <c r="BM170" s="1104" t="s">
        <v>6422</v>
      </c>
      <c r="BN170" s="1095" t="s">
        <v>6423</v>
      </c>
      <c r="BO170" s="1095" t="s">
        <v>6424</v>
      </c>
      <c r="BP170" s="1545" t="s">
        <v>6425</v>
      </c>
      <c r="BQ170" s="1095"/>
      <c r="BR170" s="1095"/>
      <c r="BS170" s="1095" t="s">
        <v>6426</v>
      </c>
      <c r="BT170" s="229" t="s">
        <v>6427</v>
      </c>
      <c r="BU170" s="1205" t="s">
        <v>6405</v>
      </c>
      <c r="BV170" s="1257"/>
      <c r="BW170" s="1188"/>
    </row>
    <row r="171" s="1193" customFormat="1" ht="14.1" customHeight="1" spans="2:75">
      <c r="B171" s="1563" t="s">
        <v>740</v>
      </c>
      <c r="C171" s="838" t="s">
        <v>6428</v>
      </c>
      <c r="D171" s="1199" t="s">
        <v>6429</v>
      </c>
      <c r="E171" s="1044" t="s">
        <v>6430</v>
      </c>
      <c r="F171" s="1044" t="s">
        <v>125</v>
      </c>
      <c r="G171" s="1044" t="s">
        <v>44</v>
      </c>
      <c r="H171" s="1044" t="s">
        <v>44</v>
      </c>
      <c r="I171" s="1051" t="s">
        <v>3528</v>
      </c>
      <c r="J171" s="1051"/>
      <c r="K171" s="1051" t="s">
        <v>722</v>
      </c>
      <c r="L171" s="1202">
        <v>42957</v>
      </c>
      <c r="M171" s="1202">
        <v>43008</v>
      </c>
      <c r="N171" s="1205">
        <v>43039</v>
      </c>
      <c r="O171" s="1202">
        <v>43069</v>
      </c>
      <c r="P171" s="1202">
        <v>43100</v>
      </c>
      <c r="Q171" s="1202">
        <v>43159</v>
      </c>
      <c r="R171" s="1202"/>
      <c r="S171" s="1202"/>
      <c r="T171" s="1202"/>
      <c r="U171" s="1202"/>
      <c r="V171" s="1202"/>
      <c r="W171" s="1202"/>
      <c r="X171" s="1202"/>
      <c r="Y171" s="1202"/>
      <c r="Z171" s="1202"/>
      <c r="AA171" s="1202"/>
      <c r="AB171" s="1202"/>
      <c r="AC171" s="1202"/>
      <c r="AD171" s="1202"/>
      <c r="AE171" s="1202"/>
      <c r="AF171" s="1202"/>
      <c r="AG171" s="1202"/>
      <c r="AH171" s="1202"/>
      <c r="AI171" s="1202"/>
      <c r="AJ171" s="1202"/>
      <c r="AK171" s="1202"/>
      <c r="AL171" s="1202"/>
      <c r="AM171" s="1202"/>
      <c r="AN171" s="1202"/>
      <c r="AO171" s="1202"/>
      <c r="AP171" s="1202"/>
      <c r="AQ171" s="1202"/>
      <c r="AR171" s="1202"/>
      <c r="AS171" s="1202"/>
      <c r="AT171" s="1202"/>
      <c r="AU171" s="1202"/>
      <c r="AV171" s="1202"/>
      <c r="AW171" s="641">
        <v>-6.69849872685154</v>
      </c>
      <c r="AX171" s="187" t="s">
        <v>2569</v>
      </c>
      <c r="AY171" s="1080">
        <v>3500000</v>
      </c>
      <c r="AZ171" s="1080">
        <v>200000</v>
      </c>
      <c r="BA171" s="1081"/>
      <c r="BB171" s="1088"/>
      <c r="BC171" s="1081"/>
      <c r="BD171" s="1080"/>
      <c r="BE171" s="1080"/>
      <c r="BF171" s="1081"/>
      <c r="BG171" s="1081">
        <v>500000</v>
      </c>
      <c r="BH171" s="1081">
        <v>150000</v>
      </c>
      <c r="BI171" s="1051" t="s">
        <v>0</v>
      </c>
      <c r="BJ171" s="1081" t="s">
        <v>48</v>
      </c>
      <c r="BK171" s="1253" t="s">
        <v>5296</v>
      </c>
      <c r="BL171" s="1051" t="s">
        <v>5369</v>
      </c>
      <c r="BM171" s="1104" t="s">
        <v>6431</v>
      </c>
      <c r="BN171" s="1095" t="s">
        <v>6432</v>
      </c>
      <c r="BO171" s="1095" t="s">
        <v>6433</v>
      </c>
      <c r="BP171" s="1545" t="s">
        <v>6434</v>
      </c>
      <c r="BQ171" s="1095"/>
      <c r="BR171" s="1095"/>
      <c r="BS171" s="1095"/>
      <c r="BT171" s="229" t="s">
        <v>6435</v>
      </c>
      <c r="BU171" s="1205" t="s">
        <v>6405</v>
      </c>
      <c r="BV171" s="1257"/>
      <c r="BW171" s="1188"/>
    </row>
    <row r="172" s="1193" customFormat="1" ht="14.1" customHeight="1" spans="2:75">
      <c r="B172" s="1563" t="s">
        <v>766</v>
      </c>
      <c r="C172" s="32" t="s">
        <v>6436</v>
      </c>
      <c r="D172" s="1199" t="s">
        <v>6437</v>
      </c>
      <c r="E172" s="1044" t="s">
        <v>6438</v>
      </c>
      <c r="F172" s="1044" t="s">
        <v>125</v>
      </c>
      <c r="G172" s="1044" t="s">
        <v>254</v>
      </c>
      <c r="H172" s="1044" t="s">
        <v>254</v>
      </c>
      <c r="I172" s="1051" t="s">
        <v>3528</v>
      </c>
      <c r="J172" s="1051"/>
      <c r="K172" s="1051" t="s">
        <v>6439</v>
      </c>
      <c r="L172" s="1202">
        <v>42979</v>
      </c>
      <c r="M172" s="1202">
        <v>43100</v>
      </c>
      <c r="N172" s="1202">
        <v>43190</v>
      </c>
      <c r="O172" s="1208">
        <v>43220</v>
      </c>
      <c r="P172" s="1206"/>
      <c r="Q172" s="1202"/>
      <c r="R172" s="1202"/>
      <c r="S172" s="1202"/>
      <c r="T172" s="1202"/>
      <c r="U172" s="1202"/>
      <c r="V172" s="1202"/>
      <c r="W172" s="1202"/>
      <c r="X172" s="1202"/>
      <c r="Y172" s="1202"/>
      <c r="Z172" s="1202"/>
      <c r="AA172" s="1202"/>
      <c r="AB172" s="1202"/>
      <c r="AC172" s="1202"/>
      <c r="AD172" s="1202"/>
      <c r="AE172" s="1202"/>
      <c r="AF172" s="1202"/>
      <c r="AG172" s="1202"/>
      <c r="AH172" s="1202"/>
      <c r="AI172" s="1202"/>
      <c r="AJ172" s="1202"/>
      <c r="AK172" s="1202"/>
      <c r="AL172" s="1202"/>
      <c r="AM172" s="1202"/>
      <c r="AN172" s="1202"/>
      <c r="AO172" s="1202"/>
      <c r="AP172" s="1202"/>
      <c r="AQ172" s="1202"/>
      <c r="AR172" s="1202"/>
      <c r="AS172" s="1202"/>
      <c r="AT172" s="1202"/>
      <c r="AU172" s="1202"/>
      <c r="AV172" s="1202"/>
      <c r="AW172" s="641">
        <v>54.3015012731485</v>
      </c>
      <c r="AX172" s="187" t="s">
        <v>745</v>
      </c>
      <c r="AY172" s="1080">
        <v>7000000</v>
      </c>
      <c r="AZ172" s="1080">
        <v>250000</v>
      </c>
      <c r="BA172" s="1081"/>
      <c r="BB172" s="1088"/>
      <c r="BC172" s="1081"/>
      <c r="BD172" s="1080"/>
      <c r="BE172" s="1080"/>
      <c r="BF172" s="1081"/>
      <c r="BG172" s="1081">
        <v>500000</v>
      </c>
      <c r="BH172" s="1081">
        <v>150000</v>
      </c>
      <c r="BI172" s="1051" t="s">
        <v>0</v>
      </c>
      <c r="BJ172" s="1081" t="s">
        <v>48</v>
      </c>
      <c r="BK172" s="1081" t="s">
        <v>48</v>
      </c>
      <c r="BL172" s="1051"/>
      <c r="BM172" s="1104" t="s">
        <v>6440</v>
      </c>
      <c r="BN172" s="1095" t="s">
        <v>6441</v>
      </c>
      <c r="BO172" s="1095" t="s">
        <v>6442</v>
      </c>
      <c r="BP172" s="1545" t="s">
        <v>6443</v>
      </c>
      <c r="BQ172" s="1095" t="s">
        <v>6444</v>
      </c>
      <c r="BR172" s="1095" t="s">
        <v>6445</v>
      </c>
      <c r="BS172" s="1095"/>
      <c r="BT172" s="229" t="s">
        <v>6446</v>
      </c>
      <c r="BU172" s="1205" t="s">
        <v>6447</v>
      </c>
      <c r="BV172" s="1257"/>
      <c r="BW172" s="1188"/>
    </row>
    <row r="173" s="1193" customFormat="1" ht="14.1" customHeight="1" spans="2:75">
      <c r="B173" s="1563" t="s">
        <v>837</v>
      </c>
      <c r="C173" s="838" t="s">
        <v>6448</v>
      </c>
      <c r="D173" s="1199" t="s">
        <v>6449</v>
      </c>
      <c r="E173" s="1044" t="s">
        <v>6450</v>
      </c>
      <c r="F173" s="1044" t="s">
        <v>43</v>
      </c>
      <c r="G173" s="1044" t="s">
        <v>404</v>
      </c>
      <c r="H173" s="1044" t="s">
        <v>404</v>
      </c>
      <c r="I173" s="1051" t="s">
        <v>3089</v>
      </c>
      <c r="J173" s="1051" t="s">
        <v>4970</v>
      </c>
      <c r="K173" s="1051" t="s">
        <v>5130</v>
      </c>
      <c r="L173" s="1202">
        <v>42779</v>
      </c>
      <c r="M173" s="1202">
        <v>42855</v>
      </c>
      <c r="N173" s="1202">
        <v>42916</v>
      </c>
      <c r="O173" s="1202">
        <v>42947</v>
      </c>
      <c r="P173" s="1052">
        <v>42978</v>
      </c>
      <c r="Q173" s="1211">
        <v>43008</v>
      </c>
      <c r="R173" s="1202">
        <v>43039</v>
      </c>
      <c r="S173" s="1202">
        <v>43069</v>
      </c>
      <c r="T173" s="1202">
        <v>43100</v>
      </c>
      <c r="U173" s="1202">
        <v>43159</v>
      </c>
      <c r="V173" s="1202"/>
      <c r="W173" s="1202"/>
      <c r="X173" s="1202"/>
      <c r="Y173" s="1202"/>
      <c r="Z173" s="1202"/>
      <c r="AA173" s="1202"/>
      <c r="AB173" s="1202"/>
      <c r="AC173" s="1202"/>
      <c r="AD173" s="1202"/>
      <c r="AE173" s="1202"/>
      <c r="AF173" s="1202"/>
      <c r="AG173" s="1202"/>
      <c r="AH173" s="1202"/>
      <c r="AI173" s="1202"/>
      <c r="AJ173" s="1202"/>
      <c r="AK173" s="1202"/>
      <c r="AL173" s="1202"/>
      <c r="AM173" s="1202"/>
      <c r="AN173" s="1202"/>
      <c r="AO173" s="1202"/>
      <c r="AP173" s="1202"/>
      <c r="AQ173" s="1202"/>
      <c r="AR173" s="1202"/>
      <c r="AS173" s="1202"/>
      <c r="AT173" s="1202"/>
      <c r="AU173" s="1202"/>
      <c r="AV173" s="1202"/>
      <c r="AW173" s="641">
        <v>-6.69849872685154</v>
      </c>
      <c r="AX173" s="187" t="s">
        <v>2569</v>
      </c>
      <c r="AY173" s="1080">
        <v>7500000</v>
      </c>
      <c r="AZ173" s="1080">
        <v>1000000</v>
      </c>
      <c r="BA173" s="1081" t="s">
        <v>583</v>
      </c>
      <c r="BB173" s="1088"/>
      <c r="BC173" s="1081">
        <v>1000000</v>
      </c>
      <c r="BD173" s="1080"/>
      <c r="BE173" s="1080"/>
      <c r="BF173" s="1081" t="s">
        <v>583</v>
      </c>
      <c r="BG173" s="1081">
        <v>500000</v>
      </c>
      <c r="BH173" s="1081">
        <v>250000</v>
      </c>
      <c r="BI173" s="1051" t="s">
        <v>0</v>
      </c>
      <c r="BJ173" s="1081" t="s">
        <v>48</v>
      </c>
      <c r="BK173" s="1081" t="s">
        <v>48</v>
      </c>
      <c r="BL173" s="1051"/>
      <c r="BM173" s="1104" t="s">
        <v>6451</v>
      </c>
      <c r="BN173" s="1095" t="s">
        <v>6452</v>
      </c>
      <c r="BO173" s="1095" t="s">
        <v>6453</v>
      </c>
      <c r="BP173" s="1545" t="s">
        <v>6454</v>
      </c>
      <c r="BQ173" s="1095" t="s">
        <v>6455</v>
      </c>
      <c r="BR173" s="1095"/>
      <c r="BS173" s="1095"/>
      <c r="BT173" s="1126" t="s">
        <v>6456</v>
      </c>
      <c r="BU173" s="1205" t="s">
        <v>6457</v>
      </c>
      <c r="BV173" s="1257"/>
      <c r="BW173" s="1188"/>
    </row>
    <row r="174" s="1193" customFormat="1" ht="14.1" customHeight="1" spans="2:75">
      <c r="B174" s="1563" t="s">
        <v>847</v>
      </c>
      <c r="C174" s="838" t="s">
        <v>6458</v>
      </c>
      <c r="D174" s="1199" t="s">
        <v>6459</v>
      </c>
      <c r="E174" s="1044" t="s">
        <v>6460</v>
      </c>
      <c r="F174" s="1044" t="s">
        <v>43</v>
      </c>
      <c r="G174" s="1044" t="s">
        <v>44</v>
      </c>
      <c r="H174" s="1044" t="s">
        <v>44</v>
      </c>
      <c r="I174" s="1051" t="s">
        <v>3528</v>
      </c>
      <c r="J174" s="1051"/>
      <c r="K174" s="1051" t="s">
        <v>722</v>
      </c>
      <c r="L174" s="1202">
        <v>42944</v>
      </c>
      <c r="M174" s="1202">
        <v>43008</v>
      </c>
      <c r="N174" s="1202">
        <v>43039</v>
      </c>
      <c r="O174" s="1202">
        <v>43069</v>
      </c>
      <c r="P174" s="1202">
        <v>43100</v>
      </c>
      <c r="Q174" s="1202">
        <v>43159</v>
      </c>
      <c r="R174" s="1202"/>
      <c r="S174" s="1202"/>
      <c r="T174" s="1202"/>
      <c r="U174" s="1202"/>
      <c r="V174" s="1202"/>
      <c r="W174" s="1202"/>
      <c r="X174" s="1202"/>
      <c r="Y174" s="1202"/>
      <c r="Z174" s="1202"/>
      <c r="AA174" s="1202"/>
      <c r="AB174" s="1202"/>
      <c r="AC174" s="1202"/>
      <c r="AD174" s="1202"/>
      <c r="AE174" s="1202"/>
      <c r="AF174" s="1202"/>
      <c r="AG174" s="1202"/>
      <c r="AH174" s="1202"/>
      <c r="AI174" s="1202"/>
      <c r="AJ174" s="1202"/>
      <c r="AK174" s="1202"/>
      <c r="AL174" s="1202"/>
      <c r="AM174" s="1202"/>
      <c r="AN174" s="1202"/>
      <c r="AO174" s="1202"/>
      <c r="AP174" s="1202"/>
      <c r="AQ174" s="1202"/>
      <c r="AR174" s="1202"/>
      <c r="AS174" s="1202"/>
      <c r="AT174" s="1202"/>
      <c r="AU174" s="1202"/>
      <c r="AV174" s="1202"/>
      <c r="AW174" s="641">
        <v>-6.69849872685154</v>
      </c>
      <c r="AX174" s="187" t="s">
        <v>2569</v>
      </c>
      <c r="AY174" s="1080">
        <v>3200000</v>
      </c>
      <c r="AZ174" s="1080">
        <v>200000</v>
      </c>
      <c r="BA174" s="1081"/>
      <c r="BB174" s="1088"/>
      <c r="BC174" s="1081"/>
      <c r="BD174" s="1080"/>
      <c r="BE174" s="1080"/>
      <c r="BF174" s="1081"/>
      <c r="BG174" s="1081"/>
      <c r="BH174" s="1081">
        <v>150000</v>
      </c>
      <c r="BI174" s="1051" t="s">
        <v>0</v>
      </c>
      <c r="BJ174" s="1081" t="s">
        <v>48</v>
      </c>
      <c r="BK174" s="1251" t="s">
        <v>5296</v>
      </c>
      <c r="BL174" s="1051" t="s">
        <v>6461</v>
      </c>
      <c r="BM174" s="1104" t="s">
        <v>6462</v>
      </c>
      <c r="BN174" s="1095" t="s">
        <v>6463</v>
      </c>
      <c r="BO174" s="1545" t="s">
        <v>6464</v>
      </c>
      <c r="BP174" s="1545" t="s">
        <v>6465</v>
      </c>
      <c r="BQ174" s="1095"/>
      <c r="BR174" s="1095"/>
      <c r="BS174" s="1095"/>
      <c r="BT174" s="229" t="s">
        <v>6466</v>
      </c>
      <c r="BU174" s="1205" t="s">
        <v>6405</v>
      </c>
      <c r="BV174" s="1257"/>
      <c r="BW174" s="1188"/>
    </row>
    <row r="175" s="1193" customFormat="1" ht="14.1" customHeight="1" spans="2:75">
      <c r="B175" s="1563" t="s">
        <v>888</v>
      </c>
      <c r="C175" s="838" t="s">
        <v>6467</v>
      </c>
      <c r="D175" s="838" t="s">
        <v>5622</v>
      </c>
      <c r="E175" s="1044" t="s">
        <v>5623</v>
      </c>
      <c r="F175" s="1044" t="s">
        <v>43</v>
      </c>
      <c r="G175" s="1044" t="s">
        <v>254</v>
      </c>
      <c r="H175" s="1044" t="s">
        <v>254</v>
      </c>
      <c r="I175" s="1051" t="s">
        <v>6468</v>
      </c>
      <c r="J175" s="1051"/>
      <c r="K175" s="1051" t="s">
        <v>6245</v>
      </c>
      <c r="L175" s="1052">
        <v>43024</v>
      </c>
      <c r="M175" s="1052">
        <v>43100</v>
      </c>
      <c r="N175" s="1202">
        <v>43159</v>
      </c>
      <c r="O175" s="1052"/>
      <c r="P175" s="1052"/>
      <c r="Q175" s="1205"/>
      <c r="R175" s="1052"/>
      <c r="S175" s="1052"/>
      <c r="T175" s="1052"/>
      <c r="U175" s="1052"/>
      <c r="V175" s="1052"/>
      <c r="W175" s="1052"/>
      <c r="X175" s="1052"/>
      <c r="Y175" s="1052"/>
      <c r="Z175" s="1052"/>
      <c r="AA175" s="1052"/>
      <c r="AB175" s="1052"/>
      <c r="AC175" s="1052"/>
      <c r="AD175" s="1052"/>
      <c r="AE175" s="1052"/>
      <c r="AF175" s="1052"/>
      <c r="AG175" s="1052"/>
      <c r="AH175" s="1052"/>
      <c r="AI175" s="1052"/>
      <c r="AJ175" s="1052"/>
      <c r="AK175" s="1052"/>
      <c r="AL175" s="1052"/>
      <c r="AM175" s="1052"/>
      <c r="AN175" s="1052"/>
      <c r="AO175" s="1052"/>
      <c r="AP175" s="1052"/>
      <c r="AQ175" s="1052"/>
      <c r="AR175" s="1052"/>
      <c r="AS175" s="1052"/>
      <c r="AT175" s="1052"/>
      <c r="AU175" s="1052"/>
      <c r="AV175" s="1052"/>
      <c r="AW175" s="641">
        <v>-6.69849872685154</v>
      </c>
      <c r="AX175" s="187" t="s">
        <v>2569</v>
      </c>
      <c r="AY175" s="1080">
        <v>15000000</v>
      </c>
      <c r="AZ175" s="1080">
        <v>500000</v>
      </c>
      <c r="BA175" s="1081"/>
      <c r="BB175" s="1088"/>
      <c r="BC175" s="1081">
        <v>1500000</v>
      </c>
      <c r="BD175" s="1080"/>
      <c r="BE175" s="1080"/>
      <c r="BF175" s="1081"/>
      <c r="BG175" s="1081">
        <v>500000</v>
      </c>
      <c r="BH175" s="1081">
        <v>250000</v>
      </c>
      <c r="BI175" s="1051" t="s">
        <v>0</v>
      </c>
      <c r="BJ175" s="1081" t="s">
        <v>48</v>
      </c>
      <c r="BK175" s="1081" t="s">
        <v>48</v>
      </c>
      <c r="BL175" s="1051"/>
      <c r="BM175" s="1104" t="s">
        <v>5625</v>
      </c>
      <c r="BN175" s="1095" t="s">
        <v>5626</v>
      </c>
      <c r="BO175" s="1095" t="s">
        <v>5627</v>
      </c>
      <c r="BP175" s="1545" t="s">
        <v>5628</v>
      </c>
      <c r="BQ175" s="1095" t="s">
        <v>5629</v>
      </c>
      <c r="BR175" s="1095"/>
      <c r="BS175" s="1095"/>
      <c r="BT175" s="229" t="s">
        <v>5630</v>
      </c>
      <c r="BU175" s="1205" t="s">
        <v>6405</v>
      </c>
      <c r="BV175" s="1257"/>
      <c r="BW175" s="1188"/>
    </row>
    <row r="176" s="1193" customFormat="1" ht="14.1" customHeight="1" spans="2:75">
      <c r="B176" s="1563" t="s">
        <v>899</v>
      </c>
      <c r="C176" s="838" t="s">
        <v>6469</v>
      </c>
      <c r="D176" s="1199" t="s">
        <v>6470</v>
      </c>
      <c r="E176" s="1044" t="s">
        <v>6471</v>
      </c>
      <c r="F176" s="1044" t="s">
        <v>43</v>
      </c>
      <c r="G176" s="1044" t="s">
        <v>254</v>
      </c>
      <c r="H176" s="1044" t="s">
        <v>254</v>
      </c>
      <c r="I176" s="1051" t="s">
        <v>6472</v>
      </c>
      <c r="J176" s="838" t="s">
        <v>4564</v>
      </c>
      <c r="K176" s="1051" t="s">
        <v>6473</v>
      </c>
      <c r="L176" s="1202">
        <v>43032</v>
      </c>
      <c r="M176" s="1202">
        <v>43100</v>
      </c>
      <c r="N176" s="1202">
        <v>43159</v>
      </c>
      <c r="O176" s="1202"/>
      <c r="P176" s="1052"/>
      <c r="Q176" s="1202"/>
      <c r="R176" s="1211"/>
      <c r="S176" s="1202"/>
      <c r="T176" s="1202"/>
      <c r="U176" s="1202"/>
      <c r="V176" s="1202"/>
      <c r="W176" s="1202"/>
      <c r="X176" s="1202"/>
      <c r="Y176" s="1202"/>
      <c r="Z176" s="1202"/>
      <c r="AA176" s="1202"/>
      <c r="AB176" s="1202"/>
      <c r="AC176" s="1202"/>
      <c r="AD176" s="1202"/>
      <c r="AE176" s="1202"/>
      <c r="AF176" s="1202"/>
      <c r="AG176" s="1202"/>
      <c r="AH176" s="1202"/>
      <c r="AI176" s="1202"/>
      <c r="AJ176" s="1202"/>
      <c r="AK176" s="1202"/>
      <c r="AL176" s="1202"/>
      <c r="AM176" s="1202"/>
      <c r="AN176" s="1202"/>
      <c r="AO176" s="1202"/>
      <c r="AP176" s="1202"/>
      <c r="AQ176" s="1202"/>
      <c r="AR176" s="1202"/>
      <c r="AS176" s="1202"/>
      <c r="AT176" s="1202"/>
      <c r="AU176" s="1202"/>
      <c r="AV176" s="1202"/>
      <c r="AW176" s="641">
        <v>-6.69849872685154</v>
      </c>
      <c r="AX176" s="187" t="s">
        <v>2569</v>
      </c>
      <c r="AY176" s="1080">
        <v>7000000</v>
      </c>
      <c r="AZ176" s="1080">
        <v>500000</v>
      </c>
      <c r="BA176" s="1081"/>
      <c r="BB176" s="1088"/>
      <c r="BC176" s="1081">
        <v>1500000</v>
      </c>
      <c r="BD176" s="1080"/>
      <c r="BE176" s="1080"/>
      <c r="BF176" s="1081"/>
      <c r="BG176" s="1081">
        <v>500000</v>
      </c>
      <c r="BH176" s="1081">
        <v>250000</v>
      </c>
      <c r="BI176" s="1051" t="s">
        <v>112</v>
      </c>
      <c r="BJ176" s="1051" t="s">
        <v>113</v>
      </c>
      <c r="BK176" s="1081" t="s">
        <v>113</v>
      </c>
      <c r="BL176" s="1051"/>
      <c r="BM176" s="1104" t="s">
        <v>6474</v>
      </c>
      <c r="BN176" s="1095" t="s">
        <v>6475</v>
      </c>
      <c r="BO176" s="1095" t="s">
        <v>6476</v>
      </c>
      <c r="BP176" s="1545" t="s">
        <v>6477</v>
      </c>
      <c r="BQ176" s="1095" t="s">
        <v>6478</v>
      </c>
      <c r="BR176" s="1095"/>
      <c r="BS176" s="1095"/>
      <c r="BT176" s="229" t="s">
        <v>6479</v>
      </c>
      <c r="BU176" s="1205" t="s">
        <v>6405</v>
      </c>
      <c r="BV176" s="1257"/>
      <c r="BW176" s="1188"/>
    </row>
    <row r="177" s="1193" customFormat="1" ht="14.1" customHeight="1" spans="2:75">
      <c r="B177" s="1563" t="s">
        <v>1016</v>
      </c>
      <c r="C177" s="32" t="s">
        <v>6480</v>
      </c>
      <c r="D177" s="1199" t="s">
        <v>6481</v>
      </c>
      <c r="E177" s="1044" t="s">
        <v>6482</v>
      </c>
      <c r="F177" s="1044" t="s">
        <v>43</v>
      </c>
      <c r="G177" s="1044" t="s">
        <v>254</v>
      </c>
      <c r="H177" s="1044" t="s">
        <v>254</v>
      </c>
      <c r="I177" s="1051" t="s">
        <v>2832</v>
      </c>
      <c r="J177" s="1051"/>
      <c r="K177" s="1051" t="s">
        <v>1533</v>
      </c>
      <c r="L177" s="1202">
        <v>42982</v>
      </c>
      <c r="M177" s="1202">
        <v>43011</v>
      </c>
      <c r="N177" s="1202">
        <v>43100</v>
      </c>
      <c r="O177" s="1202">
        <v>43131</v>
      </c>
      <c r="P177" s="1272">
        <v>43190</v>
      </c>
      <c r="Q177" s="1202"/>
      <c r="R177" s="1202"/>
      <c r="S177" s="1202"/>
      <c r="T177" s="1202"/>
      <c r="U177" s="1202"/>
      <c r="V177" s="1202"/>
      <c r="W177" s="1202"/>
      <c r="X177" s="1202"/>
      <c r="Y177" s="1202"/>
      <c r="Z177" s="1202"/>
      <c r="AA177" s="1202"/>
      <c r="AB177" s="1202"/>
      <c r="AC177" s="1202"/>
      <c r="AD177" s="1202"/>
      <c r="AE177" s="1202"/>
      <c r="AF177" s="1202"/>
      <c r="AG177" s="1202"/>
      <c r="AH177" s="1202"/>
      <c r="AI177" s="1202"/>
      <c r="AJ177" s="1202"/>
      <c r="AK177" s="1202"/>
      <c r="AL177" s="1202"/>
      <c r="AM177" s="1202"/>
      <c r="AN177" s="1202"/>
      <c r="AO177" s="1202"/>
      <c r="AP177" s="1202"/>
      <c r="AQ177" s="1202"/>
      <c r="AR177" s="1202"/>
      <c r="AS177" s="1202"/>
      <c r="AT177" s="1202"/>
      <c r="AU177" s="1202"/>
      <c r="AV177" s="1202"/>
      <c r="AW177" s="641">
        <v>24.3015012731485</v>
      </c>
      <c r="AX177" s="187" t="s">
        <v>2569</v>
      </c>
      <c r="AY177" s="1080">
        <v>2700000</v>
      </c>
      <c r="AZ177" s="1080">
        <v>100000</v>
      </c>
      <c r="BA177" s="1081"/>
      <c r="BB177" s="1088"/>
      <c r="BC177" s="1081"/>
      <c r="BD177" s="1080"/>
      <c r="BE177" s="1080"/>
      <c r="BF177" s="1277">
        <v>500000</v>
      </c>
      <c r="BG177" s="1081"/>
      <c r="BH177" s="1081"/>
      <c r="BI177" s="1051" t="s">
        <v>0</v>
      </c>
      <c r="BJ177" s="1081" t="s">
        <v>48</v>
      </c>
      <c r="BK177" s="1253" t="s">
        <v>5296</v>
      </c>
      <c r="BL177" s="1051" t="s">
        <v>6483</v>
      </c>
      <c r="BM177" s="1104" t="s">
        <v>6484</v>
      </c>
      <c r="BN177" s="1095"/>
      <c r="BO177" s="1095" t="s">
        <v>6485</v>
      </c>
      <c r="BP177" s="1545" t="s">
        <v>6486</v>
      </c>
      <c r="BQ177" s="1095"/>
      <c r="BR177" s="1095"/>
      <c r="BS177" s="1095"/>
      <c r="BT177" s="229"/>
      <c r="BU177" s="1205" t="s">
        <v>6405</v>
      </c>
      <c r="BV177" s="1257"/>
      <c r="BW177" s="1188"/>
    </row>
    <row r="178" s="1191" customFormat="1" ht="27" customHeight="1" spans="2:77">
      <c r="B178" s="1563" t="s">
        <v>858</v>
      </c>
      <c r="C178" s="838" t="s">
        <v>6487</v>
      </c>
      <c r="D178" s="838" t="s">
        <v>6488</v>
      </c>
      <c r="E178" s="1044" t="s">
        <v>6489</v>
      </c>
      <c r="F178" s="1044" t="s">
        <v>43</v>
      </c>
      <c r="G178" s="1044" t="s">
        <v>254</v>
      </c>
      <c r="H178" s="1044" t="s">
        <v>254</v>
      </c>
      <c r="I178" s="1051" t="s">
        <v>3089</v>
      </c>
      <c r="J178" s="1051" t="s">
        <v>4970</v>
      </c>
      <c r="K178" s="1051" t="s">
        <v>5130</v>
      </c>
      <c r="L178" s="1052">
        <v>42779</v>
      </c>
      <c r="M178" s="1052">
        <v>42855</v>
      </c>
      <c r="N178" s="1202">
        <v>42916</v>
      </c>
      <c r="O178" s="1052">
        <v>42947</v>
      </c>
      <c r="P178" s="1052">
        <v>42978</v>
      </c>
      <c r="Q178" s="1205">
        <v>43008</v>
      </c>
      <c r="R178" s="1052">
        <v>43039</v>
      </c>
      <c r="S178" s="1202">
        <v>43100</v>
      </c>
      <c r="T178" s="1202">
        <v>43131</v>
      </c>
      <c r="U178" s="1208">
        <v>43159</v>
      </c>
      <c r="V178" s="1202">
        <v>43190</v>
      </c>
      <c r="W178" s="1052"/>
      <c r="X178" s="1052"/>
      <c r="Y178" s="1052"/>
      <c r="Z178" s="1052"/>
      <c r="AA178" s="1052"/>
      <c r="AB178" s="1052"/>
      <c r="AC178" s="1052"/>
      <c r="AD178" s="1052"/>
      <c r="AE178" s="1052"/>
      <c r="AF178" s="1052"/>
      <c r="AG178" s="1052"/>
      <c r="AH178" s="1052"/>
      <c r="AI178" s="1052"/>
      <c r="AJ178" s="1052"/>
      <c r="AK178" s="1052"/>
      <c r="AL178" s="1052"/>
      <c r="AM178" s="1052"/>
      <c r="AN178" s="1052"/>
      <c r="AO178" s="1052"/>
      <c r="AP178" s="1052"/>
      <c r="AQ178" s="1052"/>
      <c r="AR178" s="1052"/>
      <c r="AS178" s="1052"/>
      <c r="AT178" s="1052"/>
      <c r="AU178" s="1202"/>
      <c r="AV178" s="1202"/>
      <c r="AW178" s="641">
        <v>-41.5876628472251</v>
      </c>
      <c r="AX178" s="187" t="s">
        <v>2569</v>
      </c>
      <c r="AY178" s="1080">
        <v>8000000</v>
      </c>
      <c r="AZ178" s="1080">
        <v>1000000</v>
      </c>
      <c r="BA178" s="1081" t="s">
        <v>583</v>
      </c>
      <c r="BB178" s="1088"/>
      <c r="BC178" s="1081">
        <v>1000000</v>
      </c>
      <c r="BD178" s="1080"/>
      <c r="BE178" s="1080"/>
      <c r="BF178" s="1081" t="s">
        <v>583</v>
      </c>
      <c r="BG178" s="1081">
        <v>500000</v>
      </c>
      <c r="BH178" s="1081">
        <v>250000</v>
      </c>
      <c r="BI178" s="1051" t="s">
        <v>0</v>
      </c>
      <c r="BJ178" s="1081" t="s">
        <v>48</v>
      </c>
      <c r="BK178" s="1081" t="s">
        <v>48</v>
      </c>
      <c r="BL178" s="1051"/>
      <c r="BM178" s="1104" t="s">
        <v>6490</v>
      </c>
      <c r="BN178" s="1095" t="s">
        <v>6491</v>
      </c>
      <c r="BO178" s="1095" t="s">
        <v>6492</v>
      </c>
      <c r="BP178" s="1545" t="s">
        <v>6493</v>
      </c>
      <c r="BQ178" s="1095" t="s">
        <v>6494</v>
      </c>
      <c r="BR178" s="1095"/>
      <c r="BS178" s="1095"/>
      <c r="BT178" s="1126" t="s">
        <v>6495</v>
      </c>
      <c r="BU178" s="1205" t="s">
        <v>4508</v>
      </c>
      <c r="BV178" s="1232" t="s">
        <v>6496</v>
      </c>
      <c r="BW178" s="1233">
        <v>43190</v>
      </c>
      <c r="BX178" s="1236" t="s">
        <v>3479</v>
      </c>
      <c r="BY178" s="1190"/>
    </row>
    <row r="179" s="1191" customFormat="1" ht="18" customHeight="1" spans="2:77">
      <c r="B179" s="1563" t="s">
        <v>876</v>
      </c>
      <c r="C179" s="838" t="s">
        <v>6497</v>
      </c>
      <c r="D179" s="838" t="s">
        <v>6498</v>
      </c>
      <c r="E179" s="1044" t="s">
        <v>6499</v>
      </c>
      <c r="F179" s="1044" t="s">
        <v>43</v>
      </c>
      <c r="G179" s="1044" t="s">
        <v>254</v>
      </c>
      <c r="H179" s="1044" t="s">
        <v>254</v>
      </c>
      <c r="I179" s="1051" t="s">
        <v>3528</v>
      </c>
      <c r="J179" s="1051"/>
      <c r="K179" s="1051" t="s">
        <v>6245</v>
      </c>
      <c r="L179" s="1052">
        <v>43024</v>
      </c>
      <c r="M179" s="1052">
        <v>43115</v>
      </c>
      <c r="N179" s="1202">
        <v>43159</v>
      </c>
      <c r="O179" s="1273">
        <v>43190</v>
      </c>
      <c r="P179" s="1052"/>
      <c r="Q179" s="1205"/>
      <c r="R179" s="1052"/>
      <c r="S179" s="1052"/>
      <c r="T179" s="1052"/>
      <c r="U179" s="1052"/>
      <c r="V179" s="1052"/>
      <c r="W179" s="1052"/>
      <c r="X179" s="1052"/>
      <c r="Y179" s="1052"/>
      <c r="Z179" s="1052"/>
      <c r="AA179" s="1052"/>
      <c r="AB179" s="1052"/>
      <c r="AC179" s="1052"/>
      <c r="AD179" s="1052"/>
      <c r="AE179" s="1052"/>
      <c r="AF179" s="1052"/>
      <c r="AG179" s="1052"/>
      <c r="AH179" s="1052"/>
      <c r="AI179" s="1052"/>
      <c r="AJ179" s="1052"/>
      <c r="AK179" s="1052"/>
      <c r="AL179" s="1052"/>
      <c r="AM179" s="1052"/>
      <c r="AN179" s="1052"/>
      <c r="AO179" s="1052"/>
      <c r="AP179" s="1052"/>
      <c r="AQ179" s="1052"/>
      <c r="AR179" s="1052"/>
      <c r="AS179" s="1052"/>
      <c r="AT179" s="1052"/>
      <c r="AU179" s="1202"/>
      <c r="AV179" s="1202"/>
      <c r="AW179" s="641">
        <v>-41.5876629629638</v>
      </c>
      <c r="AX179" s="187" t="s">
        <v>2569</v>
      </c>
      <c r="AY179" s="1080">
        <v>18000000</v>
      </c>
      <c r="AZ179" s="1080">
        <v>500000</v>
      </c>
      <c r="BA179" s="1081"/>
      <c r="BB179" s="1088"/>
      <c r="BC179" s="1081">
        <v>1500000</v>
      </c>
      <c r="BD179" s="1080"/>
      <c r="BE179" s="1080"/>
      <c r="BF179" s="1081"/>
      <c r="BG179" s="1081">
        <v>500000</v>
      </c>
      <c r="BH179" s="1081">
        <v>250000</v>
      </c>
      <c r="BI179" s="1051" t="s">
        <v>0</v>
      </c>
      <c r="BJ179" s="1081" t="s">
        <v>48</v>
      </c>
      <c r="BK179" s="1081" t="s">
        <v>48</v>
      </c>
      <c r="BL179" s="1051"/>
      <c r="BM179" s="1104" t="s">
        <v>6500</v>
      </c>
      <c r="BN179" s="1095" t="s">
        <v>6501</v>
      </c>
      <c r="BO179" s="1095" t="s">
        <v>6502</v>
      </c>
      <c r="BP179" s="1545" t="s">
        <v>6503</v>
      </c>
      <c r="BQ179" s="1095" t="s">
        <v>6504</v>
      </c>
      <c r="BR179" s="1095"/>
      <c r="BS179" s="1095" t="s">
        <v>6505</v>
      </c>
      <c r="BT179" s="229" t="s">
        <v>6506</v>
      </c>
      <c r="BU179" s="1205" t="s">
        <v>4508</v>
      </c>
      <c r="BV179" s="1232" t="s">
        <v>6496</v>
      </c>
      <c r="BW179" s="1233">
        <v>43190</v>
      </c>
      <c r="BX179" s="1236" t="s">
        <v>3479</v>
      </c>
      <c r="BY179" s="1190"/>
    </row>
    <row r="180" s="1191" customFormat="1" ht="14.1" customHeight="1" spans="2:76">
      <c r="B180" s="1563" t="s">
        <v>1044</v>
      </c>
      <c r="C180" s="32" t="s">
        <v>6507</v>
      </c>
      <c r="D180" s="1199" t="s">
        <v>6508</v>
      </c>
      <c r="E180" s="1044" t="s">
        <v>6509</v>
      </c>
      <c r="F180" s="1044" t="s">
        <v>43</v>
      </c>
      <c r="G180" s="1044" t="s">
        <v>254</v>
      </c>
      <c r="H180" s="1044" t="s">
        <v>254</v>
      </c>
      <c r="I180" s="1051" t="s">
        <v>3528</v>
      </c>
      <c r="J180" s="1051"/>
      <c r="K180" s="1271" t="s">
        <v>6510</v>
      </c>
      <c r="L180" s="1202">
        <v>42986</v>
      </c>
      <c r="M180" s="1202">
        <v>43008</v>
      </c>
      <c r="N180" s="1205">
        <v>43069</v>
      </c>
      <c r="O180" s="1202">
        <v>43100</v>
      </c>
      <c r="P180" s="1202">
        <v>43131</v>
      </c>
      <c r="Q180" s="1272">
        <v>43190</v>
      </c>
      <c r="R180" s="1202"/>
      <c r="S180" s="1202"/>
      <c r="T180" s="1202"/>
      <c r="U180" s="1202"/>
      <c r="V180" s="1202"/>
      <c r="W180" s="1202"/>
      <c r="X180" s="1202"/>
      <c r="Y180" s="1202"/>
      <c r="Z180" s="1202"/>
      <c r="AA180" s="1202"/>
      <c r="AB180" s="1202"/>
      <c r="AC180" s="1202"/>
      <c r="AD180" s="1202"/>
      <c r="AE180" s="1202"/>
      <c r="AF180" s="1202"/>
      <c r="AG180" s="1202"/>
      <c r="AH180" s="1202"/>
      <c r="AI180" s="1202"/>
      <c r="AJ180" s="1202"/>
      <c r="AK180" s="1202"/>
      <c r="AL180" s="1202"/>
      <c r="AM180" s="1202"/>
      <c r="AN180" s="1202"/>
      <c r="AO180" s="1202"/>
      <c r="AP180" s="1202"/>
      <c r="AQ180" s="1202"/>
      <c r="AR180" s="1202"/>
      <c r="AS180" s="1202"/>
      <c r="AT180" s="1202"/>
      <c r="AU180" s="1202"/>
      <c r="AV180" s="1202"/>
      <c r="AW180" s="641">
        <v>-10.5876628472251</v>
      </c>
      <c r="AX180" s="187" t="s">
        <v>2569</v>
      </c>
      <c r="AY180" s="1080">
        <v>23500000</v>
      </c>
      <c r="AZ180" s="1275">
        <v>0</v>
      </c>
      <c r="BA180" s="1081"/>
      <c r="BB180" s="1275">
        <v>0</v>
      </c>
      <c r="BC180" s="1081"/>
      <c r="BD180" s="1080"/>
      <c r="BE180" s="1080"/>
      <c r="BF180" s="1081"/>
      <c r="BG180" s="1275">
        <v>0</v>
      </c>
      <c r="BH180" s="1275">
        <v>0</v>
      </c>
      <c r="BI180" s="1051" t="s">
        <v>0</v>
      </c>
      <c r="BJ180" s="1081" t="s">
        <v>48</v>
      </c>
      <c r="BK180" s="1081" t="s">
        <v>48</v>
      </c>
      <c r="BL180" s="1278" t="s">
        <v>6511</v>
      </c>
      <c r="BM180" s="1104" t="s">
        <v>6512</v>
      </c>
      <c r="BN180" s="1095" t="s">
        <v>6513</v>
      </c>
      <c r="BO180" s="1095" t="s">
        <v>6514</v>
      </c>
      <c r="BP180" s="1545" t="s">
        <v>6515</v>
      </c>
      <c r="BQ180" s="1095" t="s">
        <v>6516</v>
      </c>
      <c r="BR180" s="1095" t="s">
        <v>6517</v>
      </c>
      <c r="BS180" s="1545" t="s">
        <v>6518</v>
      </c>
      <c r="BT180" s="229" t="s">
        <v>6519</v>
      </c>
      <c r="BU180" s="1205" t="s">
        <v>4508</v>
      </c>
      <c r="BV180" s="1232" t="s">
        <v>6496</v>
      </c>
      <c r="BW180" s="1233">
        <v>43190</v>
      </c>
      <c r="BX180" s="1191" t="s">
        <v>3479</v>
      </c>
    </row>
    <row r="181" s="1191" customFormat="1" ht="14.1" customHeight="1" spans="2:76">
      <c r="B181" s="1563" t="s">
        <v>1053</v>
      </c>
      <c r="C181" s="32" t="s">
        <v>5609</v>
      </c>
      <c r="D181" s="1199" t="s">
        <v>5610</v>
      </c>
      <c r="E181" s="1044" t="s">
        <v>5611</v>
      </c>
      <c r="F181" s="1044" t="s">
        <v>43</v>
      </c>
      <c r="G181" s="1044" t="s">
        <v>880</v>
      </c>
      <c r="H181" s="1044" t="s">
        <v>880</v>
      </c>
      <c r="I181" s="1051" t="s">
        <v>3528</v>
      </c>
      <c r="J181" s="1051"/>
      <c r="K181" s="1051" t="s">
        <v>5601</v>
      </c>
      <c r="L181" s="1202">
        <v>43171</v>
      </c>
      <c r="M181" s="1202">
        <v>43201</v>
      </c>
      <c r="N181" s="1205"/>
      <c r="O181" s="1202"/>
      <c r="P181" s="1202"/>
      <c r="Q181" s="1202"/>
      <c r="R181" s="1202"/>
      <c r="S181" s="1202"/>
      <c r="T181" s="1202"/>
      <c r="U181" s="1202"/>
      <c r="V181" s="1202"/>
      <c r="W181" s="1202"/>
      <c r="X181" s="1202"/>
      <c r="Y181" s="1202"/>
      <c r="Z181" s="1202"/>
      <c r="AA181" s="1202"/>
      <c r="AB181" s="1202"/>
      <c r="AC181" s="1202"/>
      <c r="AD181" s="1202"/>
      <c r="AE181" s="1202"/>
      <c r="AF181" s="1202"/>
      <c r="AG181" s="1202"/>
      <c r="AH181" s="1202"/>
      <c r="AI181" s="1202"/>
      <c r="AJ181" s="1202"/>
      <c r="AK181" s="1202"/>
      <c r="AL181" s="1202"/>
      <c r="AM181" s="1202"/>
      <c r="AN181" s="1202"/>
      <c r="AO181" s="1202"/>
      <c r="AP181" s="1202"/>
      <c r="AQ181" s="1202"/>
      <c r="AR181" s="1202"/>
      <c r="AS181" s="1202"/>
      <c r="AT181" s="1202"/>
      <c r="AU181" s="1202"/>
      <c r="AV181" s="1202"/>
      <c r="AW181" s="641">
        <f ca="1" t="shared" ref="AW181:AW182" si="7">SUM(M181-NOW())</f>
        <v>-71.38453703704</v>
      </c>
      <c r="AX181" s="187" t="str">
        <f ca="1" t="shared" ref="AX181:AX182" si="8">IF(AW181&lt;=40,"WARNING","ACTIVE")</f>
        <v>WARNING</v>
      </c>
      <c r="AY181" s="1080">
        <v>8000000</v>
      </c>
      <c r="AZ181" s="1080">
        <v>1000000</v>
      </c>
      <c r="BA181" s="1081"/>
      <c r="BB181" s="1080"/>
      <c r="BC181" s="1080">
        <v>1000000</v>
      </c>
      <c r="BD181" s="1080"/>
      <c r="BE181" s="1080"/>
      <c r="BF181" s="1081"/>
      <c r="BG181" s="1080">
        <v>500000</v>
      </c>
      <c r="BH181" s="1080">
        <v>250000</v>
      </c>
      <c r="BI181" s="1051" t="s">
        <v>0</v>
      </c>
      <c r="BJ181" s="1081" t="s">
        <v>48</v>
      </c>
      <c r="BK181" s="1081" t="s">
        <v>48</v>
      </c>
      <c r="BL181" s="1051" t="s">
        <v>6520</v>
      </c>
      <c r="BM181" s="1104" t="s">
        <v>5612</v>
      </c>
      <c r="BN181" s="1545" t="s">
        <v>6521</v>
      </c>
      <c r="BO181" s="1095" t="s">
        <v>6522</v>
      </c>
      <c r="BP181" s="1545" t="s">
        <v>5615</v>
      </c>
      <c r="BQ181" s="1095" t="s">
        <v>6523</v>
      </c>
      <c r="BR181" s="1095"/>
      <c r="BS181" s="1545" t="s">
        <v>6524</v>
      </c>
      <c r="BT181" s="229" t="s">
        <v>6525</v>
      </c>
      <c r="BU181" s="1205" t="s">
        <v>6526</v>
      </c>
      <c r="BV181" s="1235" t="s">
        <v>6527</v>
      </c>
      <c r="BW181" s="1281">
        <v>43201</v>
      </c>
      <c r="BX181" s="1191" t="s">
        <v>3479</v>
      </c>
    </row>
    <row r="182" s="1191" customFormat="1" ht="14.1" customHeight="1" spans="2:76">
      <c r="B182" s="1563" t="s">
        <v>1035</v>
      </c>
      <c r="C182" s="32"/>
      <c r="D182" s="1199" t="s">
        <v>6328</v>
      </c>
      <c r="E182" s="1044" t="s">
        <v>6528</v>
      </c>
      <c r="F182" s="1044" t="s">
        <v>43</v>
      </c>
      <c r="G182" s="1044" t="s">
        <v>60</v>
      </c>
      <c r="H182" s="1044" t="s">
        <v>60</v>
      </c>
      <c r="I182" s="1051" t="s">
        <v>665</v>
      </c>
      <c r="J182" s="1051"/>
      <c r="K182" s="1051" t="s">
        <v>993</v>
      </c>
      <c r="L182" s="1202">
        <v>43150</v>
      </c>
      <c r="M182" s="1202">
        <v>43208</v>
      </c>
      <c r="N182" s="1202"/>
      <c r="O182" s="1202"/>
      <c r="P182" s="1202"/>
      <c r="Q182" s="1202"/>
      <c r="R182" s="1202"/>
      <c r="S182" s="1202"/>
      <c r="T182" s="1202"/>
      <c r="U182" s="1202"/>
      <c r="V182" s="1202"/>
      <c r="W182" s="1202"/>
      <c r="X182" s="1202"/>
      <c r="Y182" s="1202"/>
      <c r="Z182" s="1202"/>
      <c r="AA182" s="1202"/>
      <c r="AB182" s="1202"/>
      <c r="AC182" s="1202"/>
      <c r="AD182" s="1202"/>
      <c r="AE182" s="1202"/>
      <c r="AF182" s="1202"/>
      <c r="AG182" s="1202"/>
      <c r="AH182" s="1202"/>
      <c r="AI182" s="1202"/>
      <c r="AJ182" s="1202"/>
      <c r="AK182" s="1202"/>
      <c r="AL182" s="1202"/>
      <c r="AM182" s="1202"/>
      <c r="AN182" s="1202"/>
      <c r="AO182" s="1202"/>
      <c r="AP182" s="1202"/>
      <c r="AQ182" s="1202"/>
      <c r="AR182" s="1202"/>
      <c r="AS182" s="1202"/>
      <c r="AT182" s="1202"/>
      <c r="AU182" s="1202"/>
      <c r="AV182" s="1202"/>
      <c r="AW182" s="641">
        <f ca="1" t="shared" si="7"/>
        <v>-64.38453703704</v>
      </c>
      <c r="AX182" s="187" t="str">
        <f ca="1" t="shared" si="8"/>
        <v>WARNING</v>
      </c>
      <c r="AY182" s="1080">
        <v>8000000</v>
      </c>
      <c r="AZ182" s="1080">
        <v>1000000</v>
      </c>
      <c r="BA182" s="1081"/>
      <c r="BB182" s="1088"/>
      <c r="BC182" s="1081">
        <v>2500000</v>
      </c>
      <c r="BD182" s="1080"/>
      <c r="BE182" s="1080"/>
      <c r="BF182" s="1081"/>
      <c r="BG182" s="1081">
        <v>500000</v>
      </c>
      <c r="BH182" s="1081">
        <v>250000</v>
      </c>
      <c r="BI182" s="1051" t="s">
        <v>0</v>
      </c>
      <c r="BJ182" s="1081" t="s">
        <v>48</v>
      </c>
      <c r="BK182" s="1081" t="s">
        <v>48</v>
      </c>
      <c r="BL182" s="1051"/>
      <c r="BM182" s="1104" t="s">
        <v>6332</v>
      </c>
      <c r="BN182" s="1095" t="s">
        <v>6529</v>
      </c>
      <c r="BO182" s="1095" t="s">
        <v>6530</v>
      </c>
      <c r="BP182" s="1545" t="s">
        <v>6531</v>
      </c>
      <c r="BQ182" s="1095" t="s">
        <v>6532</v>
      </c>
      <c r="BR182" s="1095" t="s">
        <v>6533</v>
      </c>
      <c r="BS182" s="1095" t="s">
        <v>6534</v>
      </c>
      <c r="BT182" s="229" t="s">
        <v>6338</v>
      </c>
      <c r="BU182" s="1205" t="s">
        <v>6535</v>
      </c>
      <c r="BV182" s="1235" t="s">
        <v>5008</v>
      </c>
      <c r="BW182" s="1281">
        <v>43208</v>
      </c>
      <c r="BX182" s="1191" t="s">
        <v>6536</v>
      </c>
    </row>
    <row r="183" s="1193" customFormat="1" ht="13.5" customHeight="1" spans="2:76">
      <c r="B183" s="1563" t="s">
        <v>157</v>
      </c>
      <c r="C183" s="838" t="s">
        <v>6537</v>
      </c>
      <c r="D183" s="1199" t="s">
        <v>6538</v>
      </c>
      <c r="E183" s="1044">
        <v>26694</v>
      </c>
      <c r="F183" s="1044" t="s">
        <v>43</v>
      </c>
      <c r="G183" s="1044" t="s">
        <v>254</v>
      </c>
      <c r="H183" s="1044" t="s">
        <v>254</v>
      </c>
      <c r="I183" s="1051" t="s">
        <v>6539</v>
      </c>
      <c r="J183" s="1051" t="s">
        <v>4970</v>
      </c>
      <c r="K183" s="1051" t="s">
        <v>6540</v>
      </c>
      <c r="L183" s="1202">
        <v>41593</v>
      </c>
      <c r="M183" s="1202">
        <v>42004</v>
      </c>
      <c r="N183" s="1202">
        <v>42185</v>
      </c>
      <c r="O183" s="1202">
        <v>42247</v>
      </c>
      <c r="P183" s="1202">
        <v>42308</v>
      </c>
      <c r="Q183" s="1202"/>
      <c r="R183" s="1202"/>
      <c r="S183" s="1202"/>
      <c r="T183" s="1202"/>
      <c r="U183" s="1202"/>
      <c r="V183" s="1202"/>
      <c r="W183" s="1202"/>
      <c r="X183" s="1202"/>
      <c r="Y183" s="1202"/>
      <c r="Z183" s="1202">
        <v>42309</v>
      </c>
      <c r="AA183" s="1202">
        <v>42369</v>
      </c>
      <c r="AB183" s="1202">
        <v>42400</v>
      </c>
      <c r="AC183" s="1202">
        <v>42429</v>
      </c>
      <c r="AD183" s="1202">
        <v>42460</v>
      </c>
      <c r="AE183" s="1202">
        <v>42551</v>
      </c>
      <c r="AF183" s="1202">
        <v>42582</v>
      </c>
      <c r="AG183" s="1202">
        <v>42613</v>
      </c>
      <c r="AH183" s="1202">
        <v>42674</v>
      </c>
      <c r="AI183" s="1202">
        <v>42675</v>
      </c>
      <c r="AJ183" s="1202">
        <v>42735</v>
      </c>
      <c r="AK183" s="1202">
        <v>42736</v>
      </c>
      <c r="AL183" s="1202">
        <v>42794</v>
      </c>
      <c r="AM183" s="1202">
        <v>42886</v>
      </c>
      <c r="AN183" s="1202">
        <v>42916</v>
      </c>
      <c r="AO183" s="1202">
        <v>42978</v>
      </c>
      <c r="AP183" s="1205">
        <v>43008</v>
      </c>
      <c r="AQ183" s="1205">
        <v>43039</v>
      </c>
      <c r="AR183" s="1202">
        <v>43069</v>
      </c>
      <c r="AS183" s="1202">
        <v>43100</v>
      </c>
      <c r="AT183" s="1202">
        <v>43190</v>
      </c>
      <c r="AU183" s="1202">
        <v>43220</v>
      </c>
      <c r="AV183" s="1202"/>
      <c r="AW183" s="641">
        <v>4.56193206018361</v>
      </c>
      <c r="AX183" s="187" t="s">
        <v>2569</v>
      </c>
      <c r="AY183" s="1080">
        <v>6898203</v>
      </c>
      <c r="AZ183" s="1080">
        <v>550000</v>
      </c>
      <c r="BA183" s="1081"/>
      <c r="BB183" s="1088"/>
      <c r="BC183" s="1081"/>
      <c r="BD183" s="1080"/>
      <c r="BE183" s="1080"/>
      <c r="BF183" s="1081">
        <v>3500000</v>
      </c>
      <c r="BG183" s="1081">
        <v>500000</v>
      </c>
      <c r="BH183" s="1081"/>
      <c r="BI183" s="1051" t="s">
        <v>4670</v>
      </c>
      <c r="BJ183" s="1081" t="s">
        <v>48</v>
      </c>
      <c r="BK183" s="1081" t="s">
        <v>48</v>
      </c>
      <c r="BL183" s="1051" t="s">
        <v>6541</v>
      </c>
      <c r="BM183" s="1104" t="s">
        <v>6542</v>
      </c>
      <c r="BN183" s="1095" t="s">
        <v>6543</v>
      </c>
      <c r="BO183" s="1095" t="s">
        <v>6544</v>
      </c>
      <c r="BP183" s="1095"/>
      <c r="BQ183" s="1095" t="s">
        <v>6545</v>
      </c>
      <c r="BR183" s="1095">
        <v>11022513565</v>
      </c>
      <c r="BS183" s="1095" t="s">
        <v>6546</v>
      </c>
      <c r="BT183" s="1126" t="s">
        <v>6547</v>
      </c>
      <c r="BU183" s="1205" t="s">
        <v>6535</v>
      </c>
      <c r="BV183" s="1235" t="s">
        <v>5008</v>
      </c>
      <c r="BW183" s="1281">
        <v>43220</v>
      </c>
      <c r="BX183" s="1236" t="s">
        <v>3479</v>
      </c>
    </row>
    <row r="184" s="1193" customFormat="1" ht="13.5" customHeight="1" spans="2:76">
      <c r="B184" s="1563" t="s">
        <v>239</v>
      </c>
      <c r="C184" s="838" t="s">
        <v>5558</v>
      </c>
      <c r="D184" s="1199" t="s">
        <v>5559</v>
      </c>
      <c r="E184" s="1044" t="s">
        <v>5560</v>
      </c>
      <c r="F184" s="1044" t="s">
        <v>125</v>
      </c>
      <c r="G184" s="1044" t="s">
        <v>96</v>
      </c>
      <c r="H184" s="1044" t="s">
        <v>96</v>
      </c>
      <c r="I184" s="1051" t="s">
        <v>5561</v>
      </c>
      <c r="J184" s="1051" t="s">
        <v>4970</v>
      </c>
      <c r="K184" s="1051" t="s">
        <v>4922</v>
      </c>
      <c r="L184" s="1202">
        <v>42663</v>
      </c>
      <c r="M184" s="1202">
        <v>42754</v>
      </c>
      <c r="N184" s="1202">
        <v>42844</v>
      </c>
      <c r="O184" s="1202">
        <v>42916</v>
      </c>
      <c r="P184" s="1202">
        <v>43008</v>
      </c>
      <c r="Q184" s="1202">
        <v>43100</v>
      </c>
      <c r="R184" s="1202">
        <v>43190</v>
      </c>
      <c r="S184" s="1202">
        <v>43281</v>
      </c>
      <c r="T184" s="1202"/>
      <c r="U184" s="1202"/>
      <c r="V184" s="1202"/>
      <c r="W184" s="1202"/>
      <c r="X184" s="1202"/>
      <c r="Y184" s="1202"/>
      <c r="Z184" s="1202"/>
      <c r="AA184" s="1202"/>
      <c r="AB184" s="1202"/>
      <c r="AC184" s="1202"/>
      <c r="AD184" s="1202"/>
      <c r="AE184" s="1202"/>
      <c r="AF184" s="1202"/>
      <c r="AG184" s="1202"/>
      <c r="AH184" s="1202"/>
      <c r="AI184" s="1202"/>
      <c r="AJ184" s="1202"/>
      <c r="AK184" s="1202"/>
      <c r="AL184" s="1202"/>
      <c r="AM184" s="1202"/>
      <c r="AN184" s="1202"/>
      <c r="AO184" s="1202"/>
      <c r="AP184" s="1202"/>
      <c r="AQ184" s="1202"/>
      <c r="AR184" s="1202"/>
      <c r="AS184" s="1202"/>
      <c r="AT184" s="1202"/>
      <c r="AU184" s="1202"/>
      <c r="AV184" s="1202"/>
      <c r="AW184" s="641">
        <v>65.5619320601836</v>
      </c>
      <c r="AX184" s="187" t="s">
        <v>745</v>
      </c>
      <c r="AY184" s="1080">
        <v>4675000</v>
      </c>
      <c r="AZ184" s="1080">
        <v>250000</v>
      </c>
      <c r="BA184" s="1081"/>
      <c r="BB184" s="1088"/>
      <c r="BC184" s="1081"/>
      <c r="BD184" s="1080"/>
      <c r="BE184" s="1080"/>
      <c r="BF184" s="1081"/>
      <c r="BG184" s="1081">
        <v>500000</v>
      </c>
      <c r="BH184" s="1081">
        <v>250000</v>
      </c>
      <c r="BI184" s="1051" t="s">
        <v>112</v>
      </c>
      <c r="BJ184" s="1081" t="s">
        <v>48</v>
      </c>
      <c r="BK184" s="1081" t="s">
        <v>48</v>
      </c>
      <c r="BL184" s="1051" t="s">
        <v>5562</v>
      </c>
      <c r="BM184" s="1104" t="s">
        <v>5563</v>
      </c>
      <c r="BN184" s="1095" t="s">
        <v>5564</v>
      </c>
      <c r="BO184" s="1095" t="s">
        <v>5565</v>
      </c>
      <c r="BP184" s="1545" t="s">
        <v>5566</v>
      </c>
      <c r="BQ184" s="1095" t="s">
        <v>5567</v>
      </c>
      <c r="BR184" s="1095" t="s">
        <v>2574</v>
      </c>
      <c r="BS184" s="1095" t="s">
        <v>5568</v>
      </c>
      <c r="BT184" s="1126" t="s">
        <v>5569</v>
      </c>
      <c r="BU184" s="1205" t="s">
        <v>6535</v>
      </c>
      <c r="BV184" s="1235" t="s">
        <v>5008</v>
      </c>
      <c r="BW184" s="1281">
        <v>43281</v>
      </c>
      <c r="BX184" s="1236" t="s">
        <v>5547</v>
      </c>
    </row>
    <row r="185" s="1193" customFormat="1" ht="13.5" customHeight="1" spans="2:76">
      <c r="B185" s="1563" t="s">
        <v>250</v>
      </c>
      <c r="C185" s="838" t="s">
        <v>6548</v>
      </c>
      <c r="D185" s="1199" t="s">
        <v>6549</v>
      </c>
      <c r="E185" s="1044" t="s">
        <v>6550</v>
      </c>
      <c r="F185" s="1044" t="s">
        <v>43</v>
      </c>
      <c r="G185" s="1044" t="s">
        <v>44</v>
      </c>
      <c r="H185" s="1044" t="s">
        <v>44</v>
      </c>
      <c r="I185" s="1051" t="s">
        <v>6551</v>
      </c>
      <c r="J185" s="1051" t="s">
        <v>6552</v>
      </c>
      <c r="K185" s="1051" t="s">
        <v>6553</v>
      </c>
      <c r="L185" s="1202">
        <v>42485</v>
      </c>
      <c r="M185" s="1202">
        <v>42575</v>
      </c>
      <c r="N185" s="1202">
        <v>42582</v>
      </c>
      <c r="O185" s="1202">
        <v>42613</v>
      </c>
      <c r="P185" s="1202">
        <v>42643</v>
      </c>
      <c r="Q185" s="1202">
        <v>42674</v>
      </c>
      <c r="R185" s="1202">
        <v>42735</v>
      </c>
      <c r="S185" s="1202">
        <v>42794</v>
      </c>
      <c r="T185" s="1202">
        <v>42916</v>
      </c>
      <c r="U185" s="1202">
        <v>43100</v>
      </c>
      <c r="V185" s="1202">
        <v>43190</v>
      </c>
      <c r="W185" s="1202"/>
      <c r="X185" s="1202"/>
      <c r="Y185" s="1202"/>
      <c r="Z185" s="1202">
        <v>43191</v>
      </c>
      <c r="AA185" s="1272">
        <v>43220</v>
      </c>
      <c r="AB185" s="1202"/>
      <c r="AC185" s="1202"/>
      <c r="AD185" s="1202"/>
      <c r="AE185" s="1202"/>
      <c r="AF185" s="1202"/>
      <c r="AG185" s="1202"/>
      <c r="AH185" s="1202"/>
      <c r="AI185" s="1202"/>
      <c r="AJ185" s="1202"/>
      <c r="AK185" s="1202"/>
      <c r="AL185" s="1202"/>
      <c r="AM185" s="1202"/>
      <c r="AN185" s="1202"/>
      <c r="AO185" s="1202"/>
      <c r="AP185" s="1202"/>
      <c r="AQ185" s="1202"/>
      <c r="AR185" s="1202"/>
      <c r="AS185" s="1202"/>
      <c r="AT185" s="1202"/>
      <c r="AU185" s="1202"/>
      <c r="AV185" s="1202"/>
      <c r="AW185" s="641">
        <v>4.56193206018361</v>
      </c>
      <c r="AX185" s="187" t="s">
        <v>2569</v>
      </c>
      <c r="AY185" s="1080">
        <v>7150000</v>
      </c>
      <c r="AZ185" s="1080">
        <v>500000</v>
      </c>
      <c r="BA185" s="1081"/>
      <c r="BB185" s="1088">
        <v>2000000</v>
      </c>
      <c r="BC185" s="1081">
        <v>1500000</v>
      </c>
      <c r="BD185" s="1080"/>
      <c r="BE185" s="1080"/>
      <c r="BF185" s="1081"/>
      <c r="BG185" s="1081">
        <v>500000</v>
      </c>
      <c r="BH185" s="1081">
        <v>200000</v>
      </c>
      <c r="BI185" s="1051" t="s">
        <v>112</v>
      </c>
      <c r="BJ185" s="1081" t="s">
        <v>48</v>
      </c>
      <c r="BK185" s="1081" t="s">
        <v>48</v>
      </c>
      <c r="BL185" s="1051" t="s">
        <v>6554</v>
      </c>
      <c r="BM185" s="1104" t="s">
        <v>6555</v>
      </c>
      <c r="BN185" s="1095" t="s">
        <v>6556</v>
      </c>
      <c r="BO185" s="1095" t="s">
        <v>6557</v>
      </c>
      <c r="BP185" s="1545" t="s">
        <v>6558</v>
      </c>
      <c r="BQ185" s="1095" t="s">
        <v>6559</v>
      </c>
      <c r="BR185" s="1095">
        <v>12018967203</v>
      </c>
      <c r="BS185" s="1095"/>
      <c r="BT185" s="1126" t="s">
        <v>6560</v>
      </c>
      <c r="BU185" s="1205" t="s">
        <v>6535</v>
      </c>
      <c r="BV185" s="1235" t="s">
        <v>5008</v>
      </c>
      <c r="BW185" s="1281">
        <v>43220</v>
      </c>
      <c r="BX185" s="1236" t="s">
        <v>3479</v>
      </c>
    </row>
    <row r="186" s="1193" customFormat="1" ht="13.5" customHeight="1" spans="2:76">
      <c r="B186" s="1563" t="s">
        <v>463</v>
      </c>
      <c r="C186" s="838" t="s">
        <v>6561</v>
      </c>
      <c r="D186" s="1199" t="s">
        <v>6562</v>
      </c>
      <c r="E186" s="1044" t="s">
        <v>6563</v>
      </c>
      <c r="F186" s="1044" t="s">
        <v>43</v>
      </c>
      <c r="G186" s="1044" t="s">
        <v>254</v>
      </c>
      <c r="H186" s="1044" t="s">
        <v>254</v>
      </c>
      <c r="I186" s="1051" t="s">
        <v>3089</v>
      </c>
      <c r="J186" s="1051" t="s">
        <v>4970</v>
      </c>
      <c r="K186" s="1051" t="s">
        <v>5197</v>
      </c>
      <c r="L186" s="1202">
        <v>42779</v>
      </c>
      <c r="M186" s="1202">
        <v>42886</v>
      </c>
      <c r="N186" s="1202">
        <v>42916</v>
      </c>
      <c r="O186" s="1202">
        <v>43008</v>
      </c>
      <c r="P186" s="1202">
        <v>43039</v>
      </c>
      <c r="Q186" s="1205">
        <v>43069</v>
      </c>
      <c r="R186" s="1202">
        <v>43100</v>
      </c>
      <c r="S186" s="1202">
        <v>43190</v>
      </c>
      <c r="T186" s="1208">
        <v>43220</v>
      </c>
      <c r="U186" s="1202"/>
      <c r="V186" s="1202"/>
      <c r="W186" s="1202"/>
      <c r="X186" s="1202"/>
      <c r="Y186" s="1202"/>
      <c r="Z186" s="1202"/>
      <c r="AA186" s="1202"/>
      <c r="AB186" s="1202"/>
      <c r="AC186" s="1202"/>
      <c r="AD186" s="1202"/>
      <c r="AE186" s="1202"/>
      <c r="AF186" s="1202"/>
      <c r="AG186" s="1202"/>
      <c r="AH186" s="1202"/>
      <c r="AI186" s="1202"/>
      <c r="AJ186" s="1202"/>
      <c r="AK186" s="1202"/>
      <c r="AL186" s="1202"/>
      <c r="AM186" s="1202"/>
      <c r="AN186" s="1202"/>
      <c r="AO186" s="1202"/>
      <c r="AP186" s="1202"/>
      <c r="AQ186" s="1202"/>
      <c r="AR186" s="1202"/>
      <c r="AS186" s="1202"/>
      <c r="AT186" s="1202"/>
      <c r="AU186" s="1202"/>
      <c r="AV186" s="1202"/>
      <c r="AW186" s="641">
        <v>4.56193206018361</v>
      </c>
      <c r="AX186" s="187" t="s">
        <v>2569</v>
      </c>
      <c r="AY186" s="1080">
        <v>4300000</v>
      </c>
      <c r="AZ186" s="1080">
        <v>250000</v>
      </c>
      <c r="BA186" s="1081" t="s">
        <v>583</v>
      </c>
      <c r="BB186" s="1088"/>
      <c r="BC186" s="1081" t="s">
        <v>583</v>
      </c>
      <c r="BD186" s="1080"/>
      <c r="BE186" s="1080"/>
      <c r="BF186" s="1081">
        <v>500000</v>
      </c>
      <c r="BG186" s="1081">
        <v>500000</v>
      </c>
      <c r="BH186" s="1081">
        <v>150000</v>
      </c>
      <c r="BI186" s="1051" t="s">
        <v>0</v>
      </c>
      <c r="BJ186" s="1081" t="s">
        <v>48</v>
      </c>
      <c r="BK186" s="1081" t="s">
        <v>48</v>
      </c>
      <c r="BL186" s="1051" t="s">
        <v>4999</v>
      </c>
      <c r="BM186" s="1104" t="s">
        <v>6564</v>
      </c>
      <c r="BN186" s="1095" t="s">
        <v>6565</v>
      </c>
      <c r="BO186" s="1095" t="s">
        <v>6566</v>
      </c>
      <c r="BP186" s="1545" t="s">
        <v>6567</v>
      </c>
      <c r="BQ186" s="1095" t="s">
        <v>6568</v>
      </c>
      <c r="BR186" s="1095"/>
      <c r="BS186" s="1095"/>
      <c r="BT186" s="1126" t="s">
        <v>6569</v>
      </c>
      <c r="BU186" s="1205" t="s">
        <v>6535</v>
      </c>
      <c r="BV186" s="1235" t="s">
        <v>5008</v>
      </c>
      <c r="BW186" s="1281">
        <v>43220</v>
      </c>
      <c r="BX186" s="1236" t="s">
        <v>3479</v>
      </c>
    </row>
    <row r="187" s="1193" customFormat="1" ht="13.5" customHeight="1" spans="2:76">
      <c r="B187" s="1563" t="s">
        <v>473</v>
      </c>
      <c r="C187" s="838" t="s">
        <v>6570</v>
      </c>
      <c r="D187" s="1199" t="s">
        <v>6571</v>
      </c>
      <c r="E187" s="1044" t="s">
        <v>6572</v>
      </c>
      <c r="F187" s="1044" t="s">
        <v>43</v>
      </c>
      <c r="G187" s="1044" t="s">
        <v>404</v>
      </c>
      <c r="H187" s="1044" t="s">
        <v>404</v>
      </c>
      <c r="I187" s="1051" t="s">
        <v>2832</v>
      </c>
      <c r="J187" s="1051" t="s">
        <v>4970</v>
      </c>
      <c r="K187" s="1051" t="s">
        <v>5130</v>
      </c>
      <c r="L187" s="1202">
        <v>42779</v>
      </c>
      <c r="M187" s="1202">
        <v>42885</v>
      </c>
      <c r="N187" s="1202">
        <v>42916</v>
      </c>
      <c r="O187" s="1202">
        <v>42978</v>
      </c>
      <c r="P187" s="1205">
        <v>43008</v>
      </c>
      <c r="Q187" s="1205">
        <v>43039</v>
      </c>
      <c r="R187" s="1202">
        <v>43069</v>
      </c>
      <c r="S187" s="1202">
        <v>43100</v>
      </c>
      <c r="T187" s="1202">
        <v>43131</v>
      </c>
      <c r="U187" s="1208">
        <v>43159</v>
      </c>
      <c r="V187" s="1272">
        <v>43190</v>
      </c>
      <c r="W187" s="1272">
        <v>43220</v>
      </c>
      <c r="X187" s="1202"/>
      <c r="Y187" s="1202"/>
      <c r="Z187" s="1202"/>
      <c r="AA187" s="1202"/>
      <c r="AB187" s="1202"/>
      <c r="AC187" s="1202"/>
      <c r="AD187" s="1202"/>
      <c r="AE187" s="1202"/>
      <c r="AF187" s="1202"/>
      <c r="AG187" s="1202"/>
      <c r="AH187" s="1202"/>
      <c r="AI187" s="1202"/>
      <c r="AJ187" s="1202"/>
      <c r="AK187" s="1202"/>
      <c r="AL187" s="1202"/>
      <c r="AM187" s="1202"/>
      <c r="AN187" s="1202"/>
      <c r="AO187" s="1202"/>
      <c r="AP187" s="1202"/>
      <c r="AQ187" s="1202"/>
      <c r="AR187" s="1202"/>
      <c r="AS187" s="1202"/>
      <c r="AT187" s="1202"/>
      <c r="AU187" s="1202"/>
      <c r="AV187" s="1202"/>
      <c r="AW187" s="641">
        <v>4.56193206018361</v>
      </c>
      <c r="AX187" s="187" t="s">
        <v>2569</v>
      </c>
      <c r="AY187" s="1080">
        <v>8500000</v>
      </c>
      <c r="AZ187" s="1080">
        <v>1000000</v>
      </c>
      <c r="BA187" s="1081" t="s">
        <v>583</v>
      </c>
      <c r="BB187" s="1088"/>
      <c r="BC187" s="1081">
        <v>2500000</v>
      </c>
      <c r="BD187" s="1080"/>
      <c r="BE187" s="1080"/>
      <c r="BF187" s="1081" t="s">
        <v>583</v>
      </c>
      <c r="BG187" s="1081">
        <v>500000</v>
      </c>
      <c r="BH187" s="1081">
        <v>250000</v>
      </c>
      <c r="BI187" s="1051" t="s">
        <v>0</v>
      </c>
      <c r="BJ187" s="1081" t="s">
        <v>48</v>
      </c>
      <c r="BK187" s="1081" t="s">
        <v>48</v>
      </c>
      <c r="BL187" s="1051"/>
      <c r="BM187" s="1104" t="s">
        <v>6573</v>
      </c>
      <c r="BN187" s="1095" t="s">
        <v>6574</v>
      </c>
      <c r="BO187" s="1095" t="s">
        <v>6575</v>
      </c>
      <c r="BP187" s="1545" t="s">
        <v>6576</v>
      </c>
      <c r="BQ187" s="1095" t="s">
        <v>6577</v>
      </c>
      <c r="BR187" s="1095" t="s">
        <v>6578</v>
      </c>
      <c r="BS187" s="1095"/>
      <c r="BT187" s="1126" t="s">
        <v>6579</v>
      </c>
      <c r="BU187" s="1205" t="s">
        <v>6535</v>
      </c>
      <c r="BV187" s="1235" t="s">
        <v>5008</v>
      </c>
      <c r="BW187" s="1281">
        <v>43220</v>
      </c>
      <c r="BX187" s="1236" t="s">
        <v>3479</v>
      </c>
    </row>
    <row r="188" s="1193" customFormat="1" ht="13.5" customHeight="1" spans="2:76">
      <c r="B188" s="1563" t="s">
        <v>550</v>
      </c>
      <c r="C188" s="838" t="s">
        <v>6580</v>
      </c>
      <c r="D188" s="1199" t="s">
        <v>6581</v>
      </c>
      <c r="E188" s="1044" t="s">
        <v>6582</v>
      </c>
      <c r="F188" s="1044" t="s">
        <v>43</v>
      </c>
      <c r="G188" s="1044" t="s">
        <v>44</v>
      </c>
      <c r="H188" s="1044" t="s">
        <v>44</v>
      </c>
      <c r="I188" s="1051" t="s">
        <v>2832</v>
      </c>
      <c r="J188" s="1051" t="s">
        <v>4970</v>
      </c>
      <c r="K188" s="1051" t="s">
        <v>6583</v>
      </c>
      <c r="L188" s="1202">
        <v>42786</v>
      </c>
      <c r="M188" s="1202">
        <v>42855</v>
      </c>
      <c r="N188" s="1202">
        <v>42916</v>
      </c>
      <c r="O188" s="1202">
        <v>42978</v>
      </c>
      <c r="P188" s="1205">
        <v>43008</v>
      </c>
      <c r="Q188" s="1205">
        <v>43039</v>
      </c>
      <c r="R188" s="1202">
        <v>43100</v>
      </c>
      <c r="S188" s="1202">
        <v>43131</v>
      </c>
      <c r="T188" s="1208">
        <v>43159</v>
      </c>
      <c r="U188" s="1272">
        <v>43190</v>
      </c>
      <c r="V188" s="1272">
        <v>43220</v>
      </c>
      <c r="W188" s="1202"/>
      <c r="X188" s="1202"/>
      <c r="Y188" s="1202"/>
      <c r="Z188" s="1202"/>
      <c r="AA188" s="1202"/>
      <c r="AB188" s="1202"/>
      <c r="AC188" s="1202"/>
      <c r="AD188" s="1202"/>
      <c r="AE188" s="1202"/>
      <c r="AF188" s="1202"/>
      <c r="AG188" s="1202"/>
      <c r="AH188" s="1202"/>
      <c r="AI188" s="1202"/>
      <c r="AJ188" s="1202"/>
      <c r="AK188" s="1202"/>
      <c r="AL188" s="1202"/>
      <c r="AM188" s="1202"/>
      <c r="AN188" s="1202"/>
      <c r="AO188" s="1202"/>
      <c r="AP188" s="1202"/>
      <c r="AQ188" s="1202"/>
      <c r="AR188" s="1202"/>
      <c r="AS188" s="1202"/>
      <c r="AT188" s="1202"/>
      <c r="AU188" s="1202"/>
      <c r="AV188" s="1202"/>
      <c r="AW188" s="641">
        <v>4.56193206018361</v>
      </c>
      <c r="AX188" s="187" t="s">
        <v>2569</v>
      </c>
      <c r="AY188" s="1080">
        <v>8500000</v>
      </c>
      <c r="AZ188" s="1080">
        <v>1000000</v>
      </c>
      <c r="BA188" s="1081"/>
      <c r="BB188" s="1088"/>
      <c r="BC188" s="1081">
        <v>1000000</v>
      </c>
      <c r="BD188" s="1080"/>
      <c r="BE188" s="1080"/>
      <c r="BF188" s="1081">
        <v>1500000</v>
      </c>
      <c r="BG188" s="1081">
        <v>500000</v>
      </c>
      <c r="BH188" s="1081">
        <v>250000</v>
      </c>
      <c r="BI188" s="1051" t="s">
        <v>0</v>
      </c>
      <c r="BJ188" s="1081" t="s">
        <v>48</v>
      </c>
      <c r="BK188" s="1081" t="s">
        <v>48</v>
      </c>
      <c r="BL188" s="1051" t="s">
        <v>6584</v>
      </c>
      <c r="BM188" s="1104" t="s">
        <v>6585</v>
      </c>
      <c r="BN188" s="1095" t="s">
        <v>6586</v>
      </c>
      <c r="BO188" s="1095" t="s">
        <v>6587</v>
      </c>
      <c r="BP188" s="1545" t="s">
        <v>6588</v>
      </c>
      <c r="BQ188" s="1095" t="s">
        <v>6589</v>
      </c>
      <c r="BR188" s="1095"/>
      <c r="BS188" s="1095"/>
      <c r="BT188" s="1126" t="s">
        <v>6590</v>
      </c>
      <c r="BU188" s="1205" t="s">
        <v>6535</v>
      </c>
      <c r="BV188" s="1235" t="s">
        <v>5008</v>
      </c>
      <c r="BW188" s="1281">
        <v>43220</v>
      </c>
      <c r="BX188" s="1236" t="s">
        <v>3479</v>
      </c>
    </row>
    <row r="189" s="1193" customFormat="1" ht="13.5" customHeight="1" spans="2:76">
      <c r="B189" s="1563" t="s">
        <v>569</v>
      </c>
      <c r="C189" s="838" t="s">
        <v>6591</v>
      </c>
      <c r="D189" s="1199" t="s">
        <v>6592</v>
      </c>
      <c r="E189" s="1044" t="s">
        <v>6593</v>
      </c>
      <c r="F189" s="1044" t="s">
        <v>43</v>
      </c>
      <c r="G189" s="1044" t="s">
        <v>44</v>
      </c>
      <c r="H189" s="1044" t="s">
        <v>44</v>
      </c>
      <c r="I189" s="1051" t="s">
        <v>3089</v>
      </c>
      <c r="J189" s="1051" t="s">
        <v>4970</v>
      </c>
      <c r="K189" s="1051" t="s">
        <v>5130</v>
      </c>
      <c r="L189" s="1202">
        <v>42783</v>
      </c>
      <c r="M189" s="1202">
        <v>42855</v>
      </c>
      <c r="N189" s="1202">
        <v>42916</v>
      </c>
      <c r="O189" s="1202">
        <v>42978</v>
      </c>
      <c r="P189" s="1205">
        <v>43039</v>
      </c>
      <c r="Q189" s="1202">
        <v>43100</v>
      </c>
      <c r="R189" s="1202">
        <v>43190</v>
      </c>
      <c r="S189" s="1272">
        <v>43220</v>
      </c>
      <c r="T189" s="1202"/>
      <c r="U189" s="1202"/>
      <c r="V189" s="1202"/>
      <c r="W189" s="1202"/>
      <c r="X189" s="1202"/>
      <c r="Y189" s="1202"/>
      <c r="Z189" s="1202"/>
      <c r="AA189" s="1202"/>
      <c r="AB189" s="1202"/>
      <c r="AC189" s="1202"/>
      <c r="AD189" s="1202"/>
      <c r="AE189" s="1202"/>
      <c r="AF189" s="1202"/>
      <c r="AG189" s="1202"/>
      <c r="AH189" s="1202"/>
      <c r="AI189" s="1202"/>
      <c r="AJ189" s="1202"/>
      <c r="AK189" s="1202"/>
      <c r="AL189" s="1202"/>
      <c r="AM189" s="1202"/>
      <c r="AN189" s="1202"/>
      <c r="AO189" s="1202"/>
      <c r="AP189" s="1202"/>
      <c r="AQ189" s="1202"/>
      <c r="AR189" s="1202"/>
      <c r="AS189" s="1202"/>
      <c r="AT189" s="1202"/>
      <c r="AU189" s="1202"/>
      <c r="AV189" s="1202"/>
      <c r="AW189" s="641">
        <v>4.56193206018361</v>
      </c>
      <c r="AX189" s="187" t="s">
        <v>2569</v>
      </c>
      <c r="AY189" s="1080">
        <v>7000000</v>
      </c>
      <c r="AZ189" s="1080">
        <v>1000000</v>
      </c>
      <c r="BA189" s="1081" t="s">
        <v>583</v>
      </c>
      <c r="BB189" s="1088"/>
      <c r="BC189" s="1081">
        <v>1000000</v>
      </c>
      <c r="BD189" s="1080"/>
      <c r="BE189" s="1080"/>
      <c r="BF189" s="1081" t="s">
        <v>583</v>
      </c>
      <c r="BG189" s="1081">
        <v>500000</v>
      </c>
      <c r="BH189" s="1081">
        <v>250000</v>
      </c>
      <c r="BI189" s="1051" t="s">
        <v>0</v>
      </c>
      <c r="BJ189" s="1081" t="s">
        <v>48</v>
      </c>
      <c r="BK189" s="1081" t="s">
        <v>48</v>
      </c>
      <c r="BL189" s="1051"/>
      <c r="BM189" s="1104" t="s">
        <v>6594</v>
      </c>
      <c r="BN189" s="1095" t="s">
        <v>6595</v>
      </c>
      <c r="BO189" s="1095" t="s">
        <v>6596</v>
      </c>
      <c r="BP189" s="1545" t="s">
        <v>6597</v>
      </c>
      <c r="BQ189" s="1095"/>
      <c r="BR189" s="1095" t="s">
        <v>6598</v>
      </c>
      <c r="BS189" s="1095"/>
      <c r="BT189" s="1126" t="s">
        <v>6599</v>
      </c>
      <c r="BU189" s="1205" t="s">
        <v>6535</v>
      </c>
      <c r="BV189" s="1235" t="s">
        <v>5008</v>
      </c>
      <c r="BW189" s="1281">
        <v>43220</v>
      </c>
      <c r="BX189" s="1236" t="s">
        <v>3479</v>
      </c>
    </row>
    <row r="190" s="1193" customFormat="1" ht="13.5" customHeight="1" spans="2:76">
      <c r="B190" s="1563" t="s">
        <v>579</v>
      </c>
      <c r="C190" s="838" t="s">
        <v>6600</v>
      </c>
      <c r="D190" s="1199" t="s">
        <v>6601</v>
      </c>
      <c r="E190" s="1044" t="s">
        <v>6602</v>
      </c>
      <c r="F190" s="1044" t="s">
        <v>43</v>
      </c>
      <c r="G190" s="1044" t="s">
        <v>96</v>
      </c>
      <c r="H190" s="1044" t="s">
        <v>96</v>
      </c>
      <c r="I190" s="1051" t="s">
        <v>3528</v>
      </c>
      <c r="J190" s="1051" t="s">
        <v>4970</v>
      </c>
      <c r="K190" s="1051" t="s">
        <v>6603</v>
      </c>
      <c r="L190" s="1202">
        <v>42810</v>
      </c>
      <c r="M190" s="1202">
        <v>42916</v>
      </c>
      <c r="N190" s="1202">
        <v>43039</v>
      </c>
      <c r="O190" s="1202">
        <v>43220</v>
      </c>
      <c r="P190" s="1202"/>
      <c r="Q190" s="1202"/>
      <c r="R190" s="1202"/>
      <c r="S190" s="1202"/>
      <c r="T190" s="1202"/>
      <c r="U190" s="1202"/>
      <c r="V190" s="1202"/>
      <c r="W190" s="1202"/>
      <c r="X190" s="1202"/>
      <c r="Y190" s="1202"/>
      <c r="Z190" s="1202"/>
      <c r="AA190" s="1202"/>
      <c r="AB190" s="1202"/>
      <c r="AC190" s="1202"/>
      <c r="AD190" s="1202"/>
      <c r="AE190" s="1202"/>
      <c r="AF190" s="1202"/>
      <c r="AG190" s="1202"/>
      <c r="AH190" s="1202"/>
      <c r="AI190" s="1202"/>
      <c r="AJ190" s="1202"/>
      <c r="AK190" s="1202"/>
      <c r="AL190" s="1202"/>
      <c r="AM190" s="1202"/>
      <c r="AN190" s="1202"/>
      <c r="AO190" s="1202"/>
      <c r="AP190" s="1202"/>
      <c r="AQ190" s="1202"/>
      <c r="AR190" s="1202"/>
      <c r="AS190" s="1202"/>
      <c r="AT190" s="1202"/>
      <c r="AU190" s="1202"/>
      <c r="AV190" s="1202"/>
      <c r="AW190" s="641">
        <v>4.56193206018361</v>
      </c>
      <c r="AX190" s="187" t="s">
        <v>2569</v>
      </c>
      <c r="AY190" s="1080">
        <v>12000000</v>
      </c>
      <c r="AZ190" s="1080">
        <v>1000000</v>
      </c>
      <c r="BA190" s="1081" t="s">
        <v>583</v>
      </c>
      <c r="BB190" s="1088"/>
      <c r="BC190" s="1081">
        <v>3000000</v>
      </c>
      <c r="BD190" s="1080"/>
      <c r="BE190" s="1080"/>
      <c r="BF190" s="1081" t="s">
        <v>583</v>
      </c>
      <c r="BG190" s="1081">
        <v>500000</v>
      </c>
      <c r="BH190" s="1081">
        <v>250000</v>
      </c>
      <c r="BI190" s="1051" t="s">
        <v>0</v>
      </c>
      <c r="BJ190" s="1081" t="s">
        <v>48</v>
      </c>
      <c r="BK190" s="1081" t="s">
        <v>48</v>
      </c>
      <c r="BL190" s="1051"/>
      <c r="BM190" s="1104" t="s">
        <v>6604</v>
      </c>
      <c r="BN190" s="1095" t="s">
        <v>6605</v>
      </c>
      <c r="BO190" s="1095" t="s">
        <v>6606</v>
      </c>
      <c r="BP190" s="1545" t="s">
        <v>6607</v>
      </c>
      <c r="BQ190" s="1095" t="s">
        <v>6608</v>
      </c>
      <c r="BR190" s="1095"/>
      <c r="BS190" s="1095" t="s">
        <v>6609</v>
      </c>
      <c r="BT190" s="1126" t="s">
        <v>6610</v>
      </c>
      <c r="BU190" s="1205" t="s">
        <v>6535</v>
      </c>
      <c r="BV190" s="1235" t="s">
        <v>5008</v>
      </c>
      <c r="BW190" s="1281">
        <v>43220</v>
      </c>
      <c r="BX190" s="1236" t="s">
        <v>3479</v>
      </c>
    </row>
    <row r="191" s="1193" customFormat="1" ht="13.5" customHeight="1" spans="2:76">
      <c r="B191" s="1563" t="s">
        <v>598</v>
      </c>
      <c r="C191" s="838" t="s">
        <v>6611</v>
      </c>
      <c r="D191" s="1199" t="s">
        <v>6612</v>
      </c>
      <c r="E191" s="1044" t="s">
        <v>6613</v>
      </c>
      <c r="F191" s="1044" t="s">
        <v>43</v>
      </c>
      <c r="G191" s="1044" t="s">
        <v>254</v>
      </c>
      <c r="H191" s="1044" t="s">
        <v>254</v>
      </c>
      <c r="I191" s="1051" t="s">
        <v>3528</v>
      </c>
      <c r="J191" s="1051" t="s">
        <v>5347</v>
      </c>
      <c r="K191" s="1051" t="s">
        <v>6614</v>
      </c>
      <c r="L191" s="1202">
        <v>42644</v>
      </c>
      <c r="M191" s="1202">
        <v>42674</v>
      </c>
      <c r="N191" s="1202">
        <v>42794</v>
      </c>
      <c r="O191" s="1202">
        <v>42886</v>
      </c>
      <c r="P191" s="1202">
        <v>42916</v>
      </c>
      <c r="Q191" s="1202">
        <v>43008</v>
      </c>
      <c r="R191" s="1202">
        <v>43039</v>
      </c>
      <c r="S191" s="1205">
        <v>43100</v>
      </c>
      <c r="T191" s="1202">
        <v>43159</v>
      </c>
      <c r="U191" s="1272">
        <v>43190</v>
      </c>
      <c r="V191" s="1272">
        <v>43220</v>
      </c>
      <c r="W191" s="1202"/>
      <c r="X191" s="1202"/>
      <c r="Y191" s="1202"/>
      <c r="Z191" s="1202"/>
      <c r="AA191" s="1202"/>
      <c r="AB191" s="1202"/>
      <c r="AC191" s="1202"/>
      <c r="AD191" s="1202"/>
      <c r="AE191" s="1202"/>
      <c r="AF191" s="1202"/>
      <c r="AG191" s="1202"/>
      <c r="AH191" s="1202"/>
      <c r="AI191" s="1202"/>
      <c r="AJ191" s="1202"/>
      <c r="AK191" s="1202"/>
      <c r="AL191" s="1202"/>
      <c r="AM191" s="1202"/>
      <c r="AN191" s="1202"/>
      <c r="AO191" s="1202"/>
      <c r="AP191" s="1202"/>
      <c r="AQ191" s="1202"/>
      <c r="AR191" s="1202"/>
      <c r="AS191" s="1202"/>
      <c r="AT191" s="1202"/>
      <c r="AU191" s="1202"/>
      <c r="AV191" s="1202"/>
      <c r="AW191" s="641">
        <v>4.56193206018361</v>
      </c>
      <c r="AX191" s="187" t="s">
        <v>2569</v>
      </c>
      <c r="AY191" s="1080">
        <v>13200000</v>
      </c>
      <c r="AZ191" s="1080">
        <v>500000</v>
      </c>
      <c r="BA191" s="1081">
        <v>3500000</v>
      </c>
      <c r="BB191" s="1088">
        <v>1500000</v>
      </c>
      <c r="BC191" s="1081"/>
      <c r="BD191" s="1080"/>
      <c r="BE191" s="1080"/>
      <c r="BF191" s="1081">
        <v>1000000</v>
      </c>
      <c r="BG191" s="1081">
        <v>500000</v>
      </c>
      <c r="BH191" s="1081">
        <v>250000</v>
      </c>
      <c r="BI191" s="1051" t="s">
        <v>0</v>
      </c>
      <c r="BJ191" s="1081" t="s">
        <v>48</v>
      </c>
      <c r="BK191" s="1081" t="s">
        <v>48</v>
      </c>
      <c r="BL191" s="1051" t="s">
        <v>6615</v>
      </c>
      <c r="BM191" s="1104" t="s">
        <v>6616</v>
      </c>
      <c r="BN191" s="1095" t="s">
        <v>6617</v>
      </c>
      <c r="BO191" s="1095" t="s">
        <v>6618</v>
      </c>
      <c r="BP191" s="1545" t="s">
        <v>6619</v>
      </c>
      <c r="BQ191" s="1095" t="s">
        <v>6620</v>
      </c>
      <c r="BR191" s="1095" t="s">
        <v>6621</v>
      </c>
      <c r="BS191" s="1095"/>
      <c r="BT191" s="1126" t="s">
        <v>6622</v>
      </c>
      <c r="BU191" s="1205" t="s">
        <v>6535</v>
      </c>
      <c r="BV191" s="1235" t="s">
        <v>5008</v>
      </c>
      <c r="BW191" s="1281">
        <v>43220</v>
      </c>
      <c r="BX191" s="1236" t="s">
        <v>3479</v>
      </c>
    </row>
    <row r="192" s="1193" customFormat="1" ht="13.5" customHeight="1" spans="2:76">
      <c r="B192" s="1563" t="s">
        <v>619</v>
      </c>
      <c r="C192" s="838" t="s">
        <v>5536</v>
      </c>
      <c r="D192" s="1199" t="s">
        <v>5537</v>
      </c>
      <c r="E192" s="1044" t="s">
        <v>5538</v>
      </c>
      <c r="F192" s="1044" t="s">
        <v>43</v>
      </c>
      <c r="G192" s="1044" t="s">
        <v>96</v>
      </c>
      <c r="H192" s="1044" t="s">
        <v>96</v>
      </c>
      <c r="I192" s="1051" t="s">
        <v>4682</v>
      </c>
      <c r="J192" s="1051" t="s">
        <v>5347</v>
      </c>
      <c r="K192" s="1051" t="s">
        <v>4799</v>
      </c>
      <c r="L192" s="1202">
        <v>42644</v>
      </c>
      <c r="M192" s="1202">
        <v>42855</v>
      </c>
      <c r="N192" s="1202">
        <v>42916</v>
      </c>
      <c r="O192" s="1202">
        <v>42978</v>
      </c>
      <c r="P192" s="1205">
        <v>43008</v>
      </c>
      <c r="Q192" s="1205">
        <v>43039</v>
      </c>
      <c r="R192" s="1202">
        <v>43100</v>
      </c>
      <c r="S192" s="1202">
        <v>43159</v>
      </c>
      <c r="T192" s="1272">
        <v>43190</v>
      </c>
      <c r="U192" s="1202">
        <v>43281</v>
      </c>
      <c r="V192" s="1202"/>
      <c r="W192" s="1202"/>
      <c r="X192" s="1202"/>
      <c r="Y192" s="1202"/>
      <c r="Z192" s="1202"/>
      <c r="AA192" s="1202"/>
      <c r="AB192" s="1202"/>
      <c r="AC192" s="1202"/>
      <c r="AD192" s="1202"/>
      <c r="AE192" s="1202"/>
      <c r="AF192" s="1202"/>
      <c r="AG192" s="1202"/>
      <c r="AH192" s="1202"/>
      <c r="AI192" s="1202"/>
      <c r="AJ192" s="1202"/>
      <c r="AK192" s="1202"/>
      <c r="AL192" s="1202"/>
      <c r="AM192" s="1202"/>
      <c r="AN192" s="1202"/>
      <c r="AO192" s="1202"/>
      <c r="AP192" s="1202"/>
      <c r="AQ192" s="1202"/>
      <c r="AR192" s="1202"/>
      <c r="AS192" s="1202"/>
      <c r="AT192" s="1202"/>
      <c r="AU192" s="1202"/>
      <c r="AV192" s="1202"/>
      <c r="AW192" s="641">
        <v>65.5619320601836</v>
      </c>
      <c r="AX192" s="187" t="s">
        <v>745</v>
      </c>
      <c r="AY192" s="1080">
        <v>15000000</v>
      </c>
      <c r="AZ192" s="1080">
        <v>1000000</v>
      </c>
      <c r="BA192" s="1081"/>
      <c r="BB192" s="1088"/>
      <c r="BC192" s="1081">
        <v>3000000</v>
      </c>
      <c r="BD192" s="1080"/>
      <c r="BE192" s="1080"/>
      <c r="BF192" s="1081"/>
      <c r="BG192" s="1081">
        <v>500000</v>
      </c>
      <c r="BH192" s="1081">
        <v>250000</v>
      </c>
      <c r="BI192" s="1051" t="s">
        <v>0</v>
      </c>
      <c r="BJ192" s="1081" t="s">
        <v>48</v>
      </c>
      <c r="BK192" s="1081" t="s">
        <v>48</v>
      </c>
      <c r="BL192" s="1051"/>
      <c r="BM192" s="1104" t="s">
        <v>5539</v>
      </c>
      <c r="BN192" s="1095" t="s">
        <v>5540</v>
      </c>
      <c r="BO192" s="1095" t="s">
        <v>5541</v>
      </c>
      <c r="BP192" s="1545" t="s">
        <v>5542</v>
      </c>
      <c r="BQ192" s="1095" t="s">
        <v>5543</v>
      </c>
      <c r="BR192" s="1095"/>
      <c r="BS192" s="1095"/>
      <c r="BT192" s="1126" t="s">
        <v>5544</v>
      </c>
      <c r="BU192" s="1205" t="s">
        <v>6535</v>
      </c>
      <c r="BV192" s="1235" t="s">
        <v>5008</v>
      </c>
      <c r="BW192" s="1281">
        <v>43281</v>
      </c>
      <c r="BX192" s="1236" t="s">
        <v>5547</v>
      </c>
    </row>
    <row r="193" s="1193" customFormat="1" ht="13.5" customHeight="1" spans="2:76">
      <c r="B193" s="1563" t="s">
        <v>642</v>
      </c>
      <c r="C193" s="838" t="s">
        <v>6623</v>
      </c>
      <c r="D193" s="1199" t="s">
        <v>6624</v>
      </c>
      <c r="E193" s="1044" t="s">
        <v>6625</v>
      </c>
      <c r="F193" s="1044" t="s">
        <v>43</v>
      </c>
      <c r="G193" s="1044" t="s">
        <v>96</v>
      </c>
      <c r="H193" s="1044" t="s">
        <v>96</v>
      </c>
      <c r="I193" s="1051" t="s">
        <v>2832</v>
      </c>
      <c r="J193" s="1051" t="s">
        <v>4970</v>
      </c>
      <c r="K193" s="1051" t="s">
        <v>2823</v>
      </c>
      <c r="L193" s="1202">
        <v>42802</v>
      </c>
      <c r="M193" s="1202">
        <v>42947</v>
      </c>
      <c r="N193" s="1202">
        <v>43100</v>
      </c>
      <c r="O193" s="1202">
        <v>43190</v>
      </c>
      <c r="P193" s="1272">
        <v>43220</v>
      </c>
      <c r="Q193" s="1202"/>
      <c r="R193" s="1202"/>
      <c r="S193" s="1202"/>
      <c r="T193" s="1202"/>
      <c r="U193" s="1202"/>
      <c r="V193" s="1202"/>
      <c r="W193" s="1202"/>
      <c r="X193" s="1202"/>
      <c r="Y193" s="1202"/>
      <c r="Z193" s="1202"/>
      <c r="AA193" s="1202"/>
      <c r="AB193" s="1202"/>
      <c r="AC193" s="1202"/>
      <c r="AD193" s="1202"/>
      <c r="AE193" s="1202"/>
      <c r="AF193" s="1202"/>
      <c r="AG193" s="1202"/>
      <c r="AH193" s="1202"/>
      <c r="AI193" s="1202"/>
      <c r="AJ193" s="1202"/>
      <c r="AK193" s="1202"/>
      <c r="AL193" s="1202"/>
      <c r="AM193" s="1202"/>
      <c r="AN193" s="1202"/>
      <c r="AO193" s="1202"/>
      <c r="AP193" s="1202"/>
      <c r="AQ193" s="1202"/>
      <c r="AR193" s="1202"/>
      <c r="AS193" s="1202"/>
      <c r="AT193" s="1202"/>
      <c r="AU193" s="1202"/>
      <c r="AV193" s="1202"/>
      <c r="AW193" s="641">
        <v>4.56193206018361</v>
      </c>
      <c r="AX193" s="187" t="s">
        <v>2569</v>
      </c>
      <c r="AY193" s="1080">
        <v>2500000</v>
      </c>
      <c r="AZ193" s="1080">
        <v>100000</v>
      </c>
      <c r="BA193" s="1081" t="s">
        <v>583</v>
      </c>
      <c r="BB193" s="1088"/>
      <c r="BC193" s="1081" t="s">
        <v>583</v>
      </c>
      <c r="BD193" s="1080"/>
      <c r="BE193" s="1080"/>
      <c r="BF193" s="1081" t="s">
        <v>583</v>
      </c>
      <c r="BG193" s="1081" t="s">
        <v>583</v>
      </c>
      <c r="BH193" s="1081" t="s">
        <v>583</v>
      </c>
      <c r="BI193" s="1051" t="s">
        <v>0</v>
      </c>
      <c r="BJ193" s="1081" t="s">
        <v>48</v>
      </c>
      <c r="BK193" s="1253" t="s">
        <v>5296</v>
      </c>
      <c r="BL193" s="1051"/>
      <c r="BM193" s="1104" t="s">
        <v>6626</v>
      </c>
      <c r="BN193" s="1095" t="s">
        <v>6627</v>
      </c>
      <c r="BO193" s="1095" t="s">
        <v>6628</v>
      </c>
      <c r="BP193" s="1095" t="s">
        <v>6629</v>
      </c>
      <c r="BQ193" s="1095"/>
      <c r="BR193" s="1095" t="s">
        <v>6630</v>
      </c>
      <c r="BS193" s="1095"/>
      <c r="BT193" s="1095" t="s">
        <v>112</v>
      </c>
      <c r="BU193" s="1205" t="s">
        <v>6535</v>
      </c>
      <c r="BV193" s="1235" t="s">
        <v>5008</v>
      </c>
      <c r="BW193" s="1281">
        <v>43220</v>
      </c>
      <c r="BX193" s="1236" t="s">
        <v>3479</v>
      </c>
    </row>
    <row r="194" s="1193" customFormat="1" ht="13.5" customHeight="1" spans="2:76">
      <c r="B194" s="1563" t="s">
        <v>651</v>
      </c>
      <c r="C194" s="838" t="s">
        <v>6631</v>
      </c>
      <c r="D194" s="1199" t="s">
        <v>426</v>
      </c>
      <c r="E194" s="1044" t="s">
        <v>6632</v>
      </c>
      <c r="F194" s="1044" t="s">
        <v>43</v>
      </c>
      <c r="G194" s="1044" t="s">
        <v>96</v>
      </c>
      <c r="H194" s="1044" t="s">
        <v>96</v>
      </c>
      <c r="I194" s="1051" t="s">
        <v>6633</v>
      </c>
      <c r="J194" s="1051" t="s">
        <v>4970</v>
      </c>
      <c r="K194" s="1051" t="s">
        <v>5917</v>
      </c>
      <c r="L194" s="1202">
        <v>42816</v>
      </c>
      <c r="M194" s="1202">
        <v>42907</v>
      </c>
      <c r="N194" s="1202">
        <v>42978</v>
      </c>
      <c r="O194" s="1205">
        <v>43039</v>
      </c>
      <c r="P194" s="1202">
        <v>43100</v>
      </c>
      <c r="Q194" s="1202">
        <v>43159</v>
      </c>
      <c r="R194" s="1202">
        <v>43190</v>
      </c>
      <c r="S194" s="1272">
        <v>43220</v>
      </c>
      <c r="T194" s="1202"/>
      <c r="U194" s="1202"/>
      <c r="V194" s="1202"/>
      <c r="W194" s="1202"/>
      <c r="X194" s="1202"/>
      <c r="Y194" s="1202"/>
      <c r="Z194" s="1202"/>
      <c r="AA194" s="1202"/>
      <c r="AB194" s="1202"/>
      <c r="AC194" s="1202"/>
      <c r="AD194" s="1202"/>
      <c r="AE194" s="1202"/>
      <c r="AF194" s="1202"/>
      <c r="AG194" s="1202"/>
      <c r="AH194" s="1202"/>
      <c r="AI194" s="1202"/>
      <c r="AJ194" s="1202"/>
      <c r="AK194" s="1202"/>
      <c r="AL194" s="1202"/>
      <c r="AM194" s="1202"/>
      <c r="AN194" s="1202"/>
      <c r="AO194" s="1202"/>
      <c r="AP194" s="1202"/>
      <c r="AQ194" s="1202"/>
      <c r="AR194" s="1202"/>
      <c r="AS194" s="1202"/>
      <c r="AT194" s="1202"/>
      <c r="AU194" s="1202"/>
      <c r="AV194" s="1202"/>
      <c r="AW194" s="641">
        <v>4.56193206018361</v>
      </c>
      <c r="AX194" s="187" t="s">
        <v>2569</v>
      </c>
      <c r="AY194" s="1080">
        <v>5500000</v>
      </c>
      <c r="AZ194" s="1080">
        <v>250000</v>
      </c>
      <c r="BA194" s="1081" t="s">
        <v>583</v>
      </c>
      <c r="BB194" s="1088"/>
      <c r="BC194" s="1081" t="s">
        <v>583</v>
      </c>
      <c r="BD194" s="1080"/>
      <c r="BE194" s="1080"/>
      <c r="BF194" s="1081" t="s">
        <v>583</v>
      </c>
      <c r="BG194" s="1081">
        <v>500000</v>
      </c>
      <c r="BH194" s="1081">
        <v>150000</v>
      </c>
      <c r="BI194" s="1051" t="s">
        <v>0</v>
      </c>
      <c r="BJ194" s="1081" t="s">
        <v>48</v>
      </c>
      <c r="BK194" s="1081" t="s">
        <v>48</v>
      </c>
      <c r="BL194" s="1051"/>
      <c r="BM194" s="1104" t="s">
        <v>6634</v>
      </c>
      <c r="BN194" s="1095" t="s">
        <v>6635</v>
      </c>
      <c r="BO194" s="1095" t="s">
        <v>6636</v>
      </c>
      <c r="BP194" s="1095" t="s">
        <v>6637</v>
      </c>
      <c r="BQ194" s="1095" t="s">
        <v>6638</v>
      </c>
      <c r="BR194" s="1095"/>
      <c r="BS194" s="1095"/>
      <c r="BT194" s="1126" t="s">
        <v>6639</v>
      </c>
      <c r="BU194" s="1205" t="s">
        <v>6535</v>
      </c>
      <c r="BV194" s="1235" t="s">
        <v>5008</v>
      </c>
      <c r="BW194" s="1281">
        <v>43220</v>
      </c>
      <c r="BX194" s="1236" t="s">
        <v>3479</v>
      </c>
    </row>
    <row r="195" s="1193" customFormat="1" ht="13.5" customHeight="1" spans="2:76">
      <c r="B195" s="1563" t="s">
        <v>661</v>
      </c>
      <c r="C195" s="838" t="s">
        <v>6640</v>
      </c>
      <c r="D195" s="1038" t="s">
        <v>6641</v>
      </c>
      <c r="E195" s="1046" t="s">
        <v>6642</v>
      </c>
      <c r="F195" s="1201" t="s">
        <v>43</v>
      </c>
      <c r="G195" s="1201" t="s">
        <v>44</v>
      </c>
      <c r="H195" s="1201" t="s">
        <v>44</v>
      </c>
      <c r="I195" s="1051" t="s">
        <v>6643</v>
      </c>
      <c r="J195" s="1051" t="s">
        <v>4970</v>
      </c>
      <c r="K195" s="1051" t="s">
        <v>6644</v>
      </c>
      <c r="L195" s="1054">
        <v>42824</v>
      </c>
      <c r="M195" s="1054">
        <v>42886</v>
      </c>
      <c r="N195" s="1202">
        <v>42916</v>
      </c>
      <c r="O195" s="1202">
        <v>42978</v>
      </c>
      <c r="P195" s="1202">
        <v>43008</v>
      </c>
      <c r="Q195" s="1205">
        <v>43039</v>
      </c>
      <c r="R195" s="1202">
        <v>43100</v>
      </c>
      <c r="S195" s="1202">
        <v>43159</v>
      </c>
      <c r="T195" s="1272">
        <v>43190</v>
      </c>
      <c r="U195" s="1272">
        <v>43220</v>
      </c>
      <c r="V195" s="1054"/>
      <c r="W195" s="1054"/>
      <c r="X195" s="1054"/>
      <c r="Y195" s="1054"/>
      <c r="Z195" s="1054"/>
      <c r="AA195" s="1054"/>
      <c r="AB195" s="1054"/>
      <c r="AC195" s="1054"/>
      <c r="AD195" s="1054"/>
      <c r="AE195" s="1054"/>
      <c r="AF195" s="1054"/>
      <c r="AG195" s="1054"/>
      <c r="AH195" s="1054"/>
      <c r="AI195" s="1054"/>
      <c r="AJ195" s="1054"/>
      <c r="AK195" s="1220"/>
      <c r="AL195" s="1220"/>
      <c r="AM195" s="1220"/>
      <c r="AN195" s="1220"/>
      <c r="AO195" s="1220"/>
      <c r="AP195" s="1220"/>
      <c r="AQ195" s="1220"/>
      <c r="AR195" s="1220"/>
      <c r="AS195" s="1220"/>
      <c r="AT195" s="1220"/>
      <c r="AU195" s="1202"/>
      <c r="AV195" s="1202"/>
      <c r="AW195" s="641">
        <v>4.56193206018361</v>
      </c>
      <c r="AX195" s="187" t="s">
        <v>2569</v>
      </c>
      <c r="AY195" s="1086">
        <v>6500000</v>
      </c>
      <c r="AZ195" s="1086">
        <v>1000000</v>
      </c>
      <c r="BA195" s="1086" t="s">
        <v>583</v>
      </c>
      <c r="BB195" s="1088" t="s">
        <v>583</v>
      </c>
      <c r="BC195" s="1086">
        <v>3250000</v>
      </c>
      <c r="BD195" s="1086"/>
      <c r="BE195" s="1220"/>
      <c r="BF195" s="1086" t="s">
        <v>583</v>
      </c>
      <c r="BG195" s="958">
        <v>500000</v>
      </c>
      <c r="BH195" s="1086">
        <v>250000</v>
      </c>
      <c r="BI195" s="1051" t="s">
        <v>0</v>
      </c>
      <c r="BJ195" s="1081" t="s">
        <v>48</v>
      </c>
      <c r="BK195" s="1096" t="s">
        <v>48</v>
      </c>
      <c r="BL195" s="1051" t="s">
        <v>6645</v>
      </c>
      <c r="BM195" s="1104" t="s">
        <v>6646</v>
      </c>
      <c r="BN195" s="1095" t="s">
        <v>6647</v>
      </c>
      <c r="BO195" s="1095" t="s">
        <v>6648</v>
      </c>
      <c r="BP195" s="1110" t="s">
        <v>6649</v>
      </c>
      <c r="BQ195" s="1110" t="s">
        <v>2574</v>
      </c>
      <c r="BR195" s="1110" t="s">
        <v>2574</v>
      </c>
      <c r="BS195" s="1111" t="s">
        <v>6650</v>
      </c>
      <c r="BT195" s="229" t="s">
        <v>6651</v>
      </c>
      <c r="BU195" s="1205" t="s">
        <v>6535</v>
      </c>
      <c r="BV195" s="1235" t="s">
        <v>5008</v>
      </c>
      <c r="BW195" s="1281">
        <v>43220</v>
      </c>
      <c r="BX195" s="1236" t="s">
        <v>3479</v>
      </c>
    </row>
    <row r="196" s="1193" customFormat="1" ht="13.5" customHeight="1" spans="2:76">
      <c r="B196" s="1563" t="s">
        <v>908</v>
      </c>
      <c r="C196" s="838" t="s">
        <v>5884</v>
      </c>
      <c r="D196" s="1199" t="s">
        <v>5885</v>
      </c>
      <c r="E196" s="1044" t="s">
        <v>5886</v>
      </c>
      <c r="F196" s="1044" t="s">
        <v>43</v>
      </c>
      <c r="G196" s="1044" t="s">
        <v>96</v>
      </c>
      <c r="H196" s="1044" t="s">
        <v>96</v>
      </c>
      <c r="I196" s="1051" t="s">
        <v>1300</v>
      </c>
      <c r="J196" s="838" t="s">
        <v>4564</v>
      </c>
      <c r="K196" s="1051" t="s">
        <v>6367</v>
      </c>
      <c r="L196" s="1202">
        <v>43024</v>
      </c>
      <c r="M196" s="1202">
        <v>43115</v>
      </c>
      <c r="N196" s="1202">
        <v>43159</v>
      </c>
      <c r="O196" s="1272">
        <v>43190</v>
      </c>
      <c r="P196" s="1272">
        <v>43220</v>
      </c>
      <c r="Q196" s="1202"/>
      <c r="R196" s="1211"/>
      <c r="S196" s="1202"/>
      <c r="T196" s="1202"/>
      <c r="U196" s="1202"/>
      <c r="V196" s="1202"/>
      <c r="W196" s="1202"/>
      <c r="X196" s="1202"/>
      <c r="Y196" s="1202"/>
      <c r="Z196" s="1202"/>
      <c r="AA196" s="1202"/>
      <c r="AB196" s="1202"/>
      <c r="AC196" s="1202"/>
      <c r="AD196" s="1202"/>
      <c r="AE196" s="1202"/>
      <c r="AF196" s="1202"/>
      <c r="AG196" s="1202"/>
      <c r="AH196" s="1202"/>
      <c r="AI196" s="1202"/>
      <c r="AJ196" s="1202"/>
      <c r="AK196" s="1202"/>
      <c r="AL196" s="1202"/>
      <c r="AM196" s="1202"/>
      <c r="AN196" s="1202"/>
      <c r="AO196" s="1202"/>
      <c r="AP196" s="1202"/>
      <c r="AQ196" s="1202"/>
      <c r="AR196" s="1202"/>
      <c r="AS196" s="1202"/>
      <c r="AT196" s="1202"/>
      <c r="AU196" s="1202"/>
      <c r="AV196" s="1202"/>
      <c r="AW196" s="641">
        <v>4.56193206018361</v>
      </c>
      <c r="AX196" s="187" t="s">
        <v>2569</v>
      </c>
      <c r="AY196" s="1080">
        <v>7500000</v>
      </c>
      <c r="AZ196" s="1080">
        <v>500000</v>
      </c>
      <c r="BA196" s="1081"/>
      <c r="BB196" s="1088"/>
      <c r="BC196" s="1081">
        <v>1000000</v>
      </c>
      <c r="BD196" s="1080"/>
      <c r="BE196" s="1080"/>
      <c r="BF196" s="1081"/>
      <c r="BG196" s="1081">
        <v>500000</v>
      </c>
      <c r="BH196" s="1081">
        <v>250000</v>
      </c>
      <c r="BI196" s="1051" t="s">
        <v>112</v>
      </c>
      <c r="BJ196" s="1051" t="s">
        <v>113</v>
      </c>
      <c r="BK196" s="1081" t="s">
        <v>113</v>
      </c>
      <c r="BL196" s="1051"/>
      <c r="BM196" s="1104" t="s">
        <v>5888</v>
      </c>
      <c r="BN196" s="1095" t="s">
        <v>6652</v>
      </c>
      <c r="BO196" s="1095" t="s">
        <v>6653</v>
      </c>
      <c r="BP196" s="1545" t="s">
        <v>6654</v>
      </c>
      <c r="BQ196" s="1095" t="s">
        <v>6655</v>
      </c>
      <c r="BR196" s="1095" t="s">
        <v>6656</v>
      </c>
      <c r="BS196" s="1095" t="s">
        <v>6657</v>
      </c>
      <c r="BT196" s="229" t="s">
        <v>6658</v>
      </c>
      <c r="BU196" s="1205" t="s">
        <v>6535</v>
      </c>
      <c r="BV196" s="1235" t="s">
        <v>5008</v>
      </c>
      <c r="BW196" s="1281">
        <v>43220</v>
      </c>
      <c r="BX196" s="1236" t="s">
        <v>3479</v>
      </c>
    </row>
    <row r="197" s="1193" customFormat="1" ht="13.5" customHeight="1" spans="2:76">
      <c r="B197" s="1563" t="s">
        <v>926</v>
      </c>
      <c r="C197" s="838" t="s">
        <v>5927</v>
      </c>
      <c r="D197" s="1199" t="s">
        <v>5928</v>
      </c>
      <c r="E197" s="1044" t="s">
        <v>6659</v>
      </c>
      <c r="F197" s="1044" t="s">
        <v>125</v>
      </c>
      <c r="G197" s="1044" t="s">
        <v>6039</v>
      </c>
      <c r="H197" s="1044" t="s">
        <v>6039</v>
      </c>
      <c r="I197" s="1051" t="s">
        <v>1793</v>
      </c>
      <c r="J197" s="838" t="s">
        <v>4564</v>
      </c>
      <c r="K197" s="1051" t="s">
        <v>5917</v>
      </c>
      <c r="L197" s="1202">
        <v>43040</v>
      </c>
      <c r="M197" s="1202">
        <v>43100</v>
      </c>
      <c r="N197" s="1202">
        <v>43159</v>
      </c>
      <c r="O197" s="1202">
        <v>43190</v>
      </c>
      <c r="P197" s="1202">
        <v>43220</v>
      </c>
      <c r="Q197" s="1202"/>
      <c r="R197" s="1211"/>
      <c r="S197" s="1202"/>
      <c r="T197" s="1202"/>
      <c r="U197" s="1202"/>
      <c r="V197" s="1202"/>
      <c r="W197" s="1202"/>
      <c r="X197" s="1202"/>
      <c r="Y197" s="1202"/>
      <c r="Z197" s="1202"/>
      <c r="AA197" s="1202"/>
      <c r="AB197" s="1202"/>
      <c r="AC197" s="1202"/>
      <c r="AD197" s="1202"/>
      <c r="AE197" s="1202"/>
      <c r="AF197" s="1202"/>
      <c r="AG197" s="1202"/>
      <c r="AH197" s="1202"/>
      <c r="AI197" s="1202"/>
      <c r="AJ197" s="1202"/>
      <c r="AK197" s="1202"/>
      <c r="AL197" s="1202"/>
      <c r="AM197" s="1202"/>
      <c r="AN197" s="1202"/>
      <c r="AO197" s="1202"/>
      <c r="AP197" s="1202"/>
      <c r="AQ197" s="1202"/>
      <c r="AR197" s="1202"/>
      <c r="AS197" s="1202"/>
      <c r="AT197" s="1202"/>
      <c r="AU197" s="1202"/>
      <c r="AV197" s="1202"/>
      <c r="AW197" s="641">
        <v>4.56193206018361</v>
      </c>
      <c r="AX197" s="187" t="s">
        <v>2569</v>
      </c>
      <c r="AY197" s="1080">
        <v>4500000</v>
      </c>
      <c r="AZ197" s="1080">
        <v>250000</v>
      </c>
      <c r="BA197" s="1081"/>
      <c r="BB197" s="1088"/>
      <c r="BC197" s="1081"/>
      <c r="BD197" s="1080"/>
      <c r="BE197" s="1080"/>
      <c r="BF197" s="1081"/>
      <c r="BG197" s="1081">
        <v>500000</v>
      </c>
      <c r="BH197" s="1081">
        <v>150000</v>
      </c>
      <c r="BI197" s="1051" t="s">
        <v>112</v>
      </c>
      <c r="BJ197" s="1051" t="s">
        <v>113</v>
      </c>
      <c r="BK197" s="1081" t="s">
        <v>113</v>
      </c>
      <c r="BL197" s="1051"/>
      <c r="BM197" s="1104" t="s">
        <v>5932</v>
      </c>
      <c r="BN197" s="1095" t="s">
        <v>6660</v>
      </c>
      <c r="BO197" s="1095" t="s">
        <v>6661</v>
      </c>
      <c r="BP197" s="1545" t="s">
        <v>6662</v>
      </c>
      <c r="BQ197" s="1095" t="s">
        <v>6663</v>
      </c>
      <c r="BR197" s="1095" t="s">
        <v>6664</v>
      </c>
      <c r="BS197" s="1095" t="s">
        <v>6665</v>
      </c>
      <c r="BT197" s="229" t="s">
        <v>6666</v>
      </c>
      <c r="BU197" s="1205" t="s">
        <v>6535</v>
      </c>
      <c r="BV197" s="1235" t="s">
        <v>5008</v>
      </c>
      <c r="BW197" s="1281">
        <v>43220</v>
      </c>
      <c r="BX197" s="1236" t="s">
        <v>3479</v>
      </c>
    </row>
    <row r="198" s="1193" customFormat="1" ht="13.5" customHeight="1" spans="2:76">
      <c r="B198" s="1563" t="s">
        <v>940</v>
      </c>
      <c r="C198" s="838" t="s">
        <v>6667</v>
      </c>
      <c r="D198" s="1199" t="s">
        <v>6668</v>
      </c>
      <c r="E198" s="1044" t="s">
        <v>6669</v>
      </c>
      <c r="F198" s="1044" t="s">
        <v>43</v>
      </c>
      <c r="G198" s="1044" t="s">
        <v>404</v>
      </c>
      <c r="H198" s="1044" t="s">
        <v>404</v>
      </c>
      <c r="I198" s="1051" t="s">
        <v>1793</v>
      </c>
      <c r="J198" s="838" t="s">
        <v>4564</v>
      </c>
      <c r="K198" s="1051" t="s">
        <v>4639</v>
      </c>
      <c r="L198" s="1202">
        <v>43032</v>
      </c>
      <c r="M198" s="1202">
        <v>43100</v>
      </c>
      <c r="N198" s="1202">
        <v>43159</v>
      </c>
      <c r="O198" s="1272">
        <v>43220</v>
      </c>
      <c r="P198" s="1202"/>
      <c r="Q198" s="1202"/>
      <c r="R198" s="1211"/>
      <c r="S198" s="1202"/>
      <c r="T198" s="1202"/>
      <c r="U198" s="1202"/>
      <c r="V198" s="1202"/>
      <c r="W198" s="1202"/>
      <c r="X198" s="1202"/>
      <c r="Y198" s="1202"/>
      <c r="Z198" s="1202"/>
      <c r="AA198" s="1202"/>
      <c r="AB198" s="1202"/>
      <c r="AC198" s="1202"/>
      <c r="AD198" s="1202"/>
      <c r="AE198" s="1202"/>
      <c r="AF198" s="1202"/>
      <c r="AG198" s="1202"/>
      <c r="AH198" s="1202"/>
      <c r="AI198" s="1202"/>
      <c r="AJ198" s="1202"/>
      <c r="AK198" s="1202"/>
      <c r="AL198" s="1202"/>
      <c r="AM198" s="1202"/>
      <c r="AN198" s="1202"/>
      <c r="AO198" s="1202"/>
      <c r="AP198" s="1202"/>
      <c r="AQ198" s="1202"/>
      <c r="AR198" s="1202"/>
      <c r="AS198" s="1202"/>
      <c r="AT198" s="1202"/>
      <c r="AU198" s="1202"/>
      <c r="AV198" s="1202"/>
      <c r="AW198" s="641">
        <v>4.56193206018361</v>
      </c>
      <c r="AX198" s="187" t="s">
        <v>2569</v>
      </c>
      <c r="AY198" s="1275">
        <v>3200000</v>
      </c>
      <c r="AZ198" s="1080"/>
      <c r="BA198" s="1081"/>
      <c r="BB198" s="1088"/>
      <c r="BC198" s="1081"/>
      <c r="BD198" s="1080"/>
      <c r="BE198" s="1080"/>
      <c r="BF198" s="1081"/>
      <c r="BG198" s="1277">
        <v>0</v>
      </c>
      <c r="BH198" s="1081"/>
      <c r="BI198" s="1051" t="s">
        <v>0</v>
      </c>
      <c r="BJ198" s="1081" t="s">
        <v>48</v>
      </c>
      <c r="BK198" s="1251" t="s">
        <v>5296</v>
      </c>
      <c r="BL198" s="1051" t="s">
        <v>6670</v>
      </c>
      <c r="BM198" s="1104" t="s">
        <v>6671</v>
      </c>
      <c r="BN198" s="1095" t="s">
        <v>6672</v>
      </c>
      <c r="BO198" s="1095" t="s">
        <v>6673</v>
      </c>
      <c r="BP198" s="1545" t="s">
        <v>6674</v>
      </c>
      <c r="BQ198" s="1095"/>
      <c r="BR198" s="1095" t="s">
        <v>6675</v>
      </c>
      <c r="BS198" s="1095"/>
      <c r="BT198" s="229" t="s">
        <v>6676</v>
      </c>
      <c r="BU198" s="1205" t="s">
        <v>6535</v>
      </c>
      <c r="BV198" s="1235" t="s">
        <v>5008</v>
      </c>
      <c r="BW198" s="1281">
        <v>43220</v>
      </c>
      <c r="BX198" s="1236" t="s">
        <v>3479</v>
      </c>
    </row>
    <row r="199" s="1193" customFormat="1" ht="13.5" customHeight="1" spans="2:76">
      <c r="B199" s="1563" t="s">
        <v>970</v>
      </c>
      <c r="C199" s="838" t="s">
        <v>5589</v>
      </c>
      <c r="D199" s="1199" t="s">
        <v>5590</v>
      </c>
      <c r="E199" s="1044" t="s">
        <v>5591</v>
      </c>
      <c r="F199" s="1044" t="s">
        <v>43</v>
      </c>
      <c r="G199" s="1044" t="s">
        <v>44</v>
      </c>
      <c r="H199" s="1044" t="s">
        <v>44</v>
      </c>
      <c r="I199" s="1051" t="s">
        <v>3904</v>
      </c>
      <c r="J199" s="838" t="s">
        <v>4564</v>
      </c>
      <c r="K199" s="1051" t="s">
        <v>722</v>
      </c>
      <c r="L199" s="1202">
        <v>43052</v>
      </c>
      <c r="M199" s="1202">
        <v>43131</v>
      </c>
      <c r="N199" s="1208">
        <v>43159</v>
      </c>
      <c r="O199" s="1272">
        <v>43190</v>
      </c>
      <c r="P199" s="1272">
        <v>43220</v>
      </c>
      <c r="Q199" s="1202"/>
      <c r="R199" s="1211"/>
      <c r="S199" s="1202"/>
      <c r="T199" s="1202"/>
      <c r="U199" s="1202"/>
      <c r="V199" s="1202"/>
      <c r="W199" s="1202"/>
      <c r="X199" s="1202"/>
      <c r="Y199" s="1202"/>
      <c r="Z199" s="1202"/>
      <c r="AA199" s="1202"/>
      <c r="AB199" s="1202"/>
      <c r="AC199" s="1202"/>
      <c r="AD199" s="1202"/>
      <c r="AE199" s="1202"/>
      <c r="AF199" s="1202"/>
      <c r="AG199" s="1202"/>
      <c r="AH199" s="1202"/>
      <c r="AI199" s="1202"/>
      <c r="AJ199" s="1202"/>
      <c r="AK199" s="1202"/>
      <c r="AL199" s="1202"/>
      <c r="AM199" s="1202"/>
      <c r="AN199" s="1202"/>
      <c r="AO199" s="1202"/>
      <c r="AP199" s="1202"/>
      <c r="AQ199" s="1202"/>
      <c r="AR199" s="1202"/>
      <c r="AS199" s="1202"/>
      <c r="AT199" s="1202"/>
      <c r="AU199" s="1202"/>
      <c r="AV199" s="1202"/>
      <c r="AW199" s="641">
        <v>4.56193206018361</v>
      </c>
      <c r="AX199" s="187" t="s">
        <v>2569</v>
      </c>
      <c r="AY199" s="1080">
        <v>4000000</v>
      </c>
      <c r="AZ199" s="1080">
        <v>500000</v>
      </c>
      <c r="BA199" s="1081"/>
      <c r="BB199" s="1088"/>
      <c r="BC199" s="1081"/>
      <c r="BD199" s="1080"/>
      <c r="BE199" s="1080"/>
      <c r="BF199" s="1081"/>
      <c r="BG199" s="1081">
        <v>500000</v>
      </c>
      <c r="BH199" s="1081">
        <v>250000</v>
      </c>
      <c r="BI199" s="1051" t="s">
        <v>0</v>
      </c>
      <c r="BJ199" s="1081" t="s">
        <v>48</v>
      </c>
      <c r="BK199" s="1251" t="s">
        <v>113</v>
      </c>
      <c r="BL199" s="1051"/>
      <c r="BM199" s="1104" t="s">
        <v>5592</v>
      </c>
      <c r="BN199" s="1095" t="s">
        <v>6677</v>
      </c>
      <c r="BO199" s="1095" t="s">
        <v>6678</v>
      </c>
      <c r="BP199" s="1545" t="s">
        <v>5595</v>
      </c>
      <c r="BQ199" s="1095"/>
      <c r="BR199" s="1545" t="s">
        <v>5596</v>
      </c>
      <c r="BS199" s="1095"/>
      <c r="BT199" s="229" t="s">
        <v>5597</v>
      </c>
      <c r="BU199" s="1205" t="s">
        <v>6535</v>
      </c>
      <c r="BV199" s="1235" t="s">
        <v>5008</v>
      </c>
      <c r="BW199" s="1281">
        <v>43220</v>
      </c>
      <c r="BX199" s="1236" t="s">
        <v>3479</v>
      </c>
    </row>
    <row r="200" s="1193" customFormat="1" spans="54:75">
      <c r="BB200" s="1248"/>
      <c r="BN200" s="1197"/>
      <c r="BO200" s="1197"/>
      <c r="BP200" s="1197"/>
      <c r="BQ200" s="1197"/>
      <c r="BR200" s="1197"/>
      <c r="BS200" s="1197"/>
      <c r="BT200" s="1197"/>
      <c r="BU200" s="1197"/>
      <c r="BV200" s="1257"/>
      <c r="BW200" s="1188"/>
    </row>
    <row r="201" s="1193" customFormat="1" spans="54:75">
      <c r="BB201" s="1248"/>
      <c r="BN201" s="1197"/>
      <c r="BO201" s="1197"/>
      <c r="BP201" s="1197"/>
      <c r="BQ201" s="1197"/>
      <c r="BR201" s="1197"/>
      <c r="BS201" s="1197"/>
      <c r="BT201" s="1197"/>
      <c r="BU201" s="1197"/>
      <c r="BV201" s="1257"/>
      <c r="BW201" s="1188"/>
    </row>
    <row r="202" s="1193" customFormat="1" spans="54:75">
      <c r="BB202" s="1248"/>
      <c r="BN202" s="1197"/>
      <c r="BO202" s="1197"/>
      <c r="BP202" s="1197"/>
      <c r="BQ202" s="1197"/>
      <c r="BR202" s="1197"/>
      <c r="BS202" s="1197"/>
      <c r="BT202" s="1197"/>
      <c r="BU202" s="1197"/>
      <c r="BV202" s="1257"/>
      <c r="BW202" s="1188"/>
    </row>
    <row r="203" s="1193" customFormat="1" spans="54:75">
      <c r="BB203" s="1248"/>
      <c r="BN203" s="1197"/>
      <c r="BO203" s="1197"/>
      <c r="BP203" s="1197"/>
      <c r="BQ203" s="1197"/>
      <c r="BR203" s="1197"/>
      <c r="BS203" s="1197"/>
      <c r="BT203" s="1197"/>
      <c r="BU203" s="1197"/>
      <c r="BV203" s="1257"/>
      <c r="BW203" s="1188"/>
    </row>
    <row r="204" s="1193" customFormat="1" spans="54:75">
      <c r="BB204" s="1248"/>
      <c r="BN204" s="1197"/>
      <c r="BO204" s="1197"/>
      <c r="BP204" s="1197"/>
      <c r="BQ204" s="1197"/>
      <c r="BR204" s="1197"/>
      <c r="BS204" s="1197"/>
      <c r="BT204" s="1197"/>
      <c r="BU204" s="1197"/>
      <c r="BV204" s="1257"/>
      <c r="BW204" s="1188"/>
    </row>
    <row r="205" s="1193" customFormat="1" spans="54:75">
      <c r="BB205" s="1248"/>
      <c r="BN205" s="1197"/>
      <c r="BO205" s="1197"/>
      <c r="BP205" s="1197"/>
      <c r="BQ205" s="1197"/>
      <c r="BR205" s="1197"/>
      <c r="BS205" s="1197"/>
      <c r="BT205" s="1197"/>
      <c r="BU205" s="1197"/>
      <c r="BV205" s="1257"/>
      <c r="BW205" s="1188"/>
    </row>
    <row r="206" s="1193" customFormat="1" spans="54:75">
      <c r="BB206" s="1248"/>
      <c r="BN206" s="1197"/>
      <c r="BO206" s="1197"/>
      <c r="BP206" s="1197"/>
      <c r="BQ206" s="1197"/>
      <c r="BR206" s="1197"/>
      <c r="BS206" s="1197"/>
      <c r="BT206" s="1197"/>
      <c r="BU206" s="1197"/>
      <c r="BV206" s="1257"/>
      <c r="BW206" s="1188"/>
    </row>
    <row r="207" s="1193" customFormat="1" spans="54:75">
      <c r="BB207" s="1248"/>
      <c r="BN207" s="1197"/>
      <c r="BO207" s="1197"/>
      <c r="BP207" s="1197"/>
      <c r="BQ207" s="1197"/>
      <c r="BR207" s="1197"/>
      <c r="BS207" s="1197"/>
      <c r="BT207" s="1197"/>
      <c r="BU207" s="1197"/>
      <c r="BV207" s="1257"/>
      <c r="BW207" s="1188"/>
    </row>
    <row r="208" s="1193" customFormat="1" spans="54:75">
      <c r="BB208" s="1248"/>
      <c r="BN208" s="1197"/>
      <c r="BO208" s="1197"/>
      <c r="BP208" s="1197"/>
      <c r="BQ208" s="1197"/>
      <c r="BR208" s="1197"/>
      <c r="BS208" s="1197"/>
      <c r="BT208" s="1197"/>
      <c r="BU208" s="1197"/>
      <c r="BV208" s="1257"/>
      <c r="BW208" s="1188"/>
    </row>
    <row r="209" s="1193" customFormat="1" spans="54:75">
      <c r="BB209" s="1248"/>
      <c r="BN209" s="1197"/>
      <c r="BO209" s="1197"/>
      <c r="BP209" s="1197"/>
      <c r="BQ209" s="1197"/>
      <c r="BR209" s="1197"/>
      <c r="BS209" s="1197"/>
      <c r="BT209" s="1197"/>
      <c r="BU209" s="1197"/>
      <c r="BV209" s="1257"/>
      <c r="BW209" s="1188"/>
    </row>
    <row r="210" s="1193" customFormat="1" spans="54:75">
      <c r="BB210" s="1248"/>
      <c r="BN210" s="1197"/>
      <c r="BO210" s="1197"/>
      <c r="BP210" s="1197"/>
      <c r="BQ210" s="1197"/>
      <c r="BR210" s="1197"/>
      <c r="BS210" s="1197"/>
      <c r="BT210" s="1197"/>
      <c r="BU210" s="1197"/>
      <c r="BV210" s="1257"/>
      <c r="BW210" s="1188"/>
    </row>
    <row r="211" s="1193" customFormat="1" spans="54:75">
      <c r="BB211" s="1248"/>
      <c r="BN211" s="1197"/>
      <c r="BO211" s="1197"/>
      <c r="BP211" s="1197"/>
      <c r="BQ211" s="1197"/>
      <c r="BR211" s="1197"/>
      <c r="BS211" s="1197"/>
      <c r="BT211" s="1197"/>
      <c r="BU211" s="1197"/>
      <c r="BV211" s="1257"/>
      <c r="BW211" s="1188"/>
    </row>
    <row r="212" s="1193" customFormat="1" spans="54:75">
      <c r="BB212" s="1248"/>
      <c r="BN212" s="1197"/>
      <c r="BO212" s="1197"/>
      <c r="BP212" s="1197"/>
      <c r="BQ212" s="1197"/>
      <c r="BR212" s="1197"/>
      <c r="BS212" s="1197"/>
      <c r="BT212" s="1197"/>
      <c r="BU212" s="1197"/>
      <c r="BV212" s="1257"/>
      <c r="BW212" s="1188"/>
    </row>
    <row r="213" s="1193" customFormat="1" spans="54:75">
      <c r="BB213" s="1248"/>
      <c r="BN213" s="1197"/>
      <c r="BO213" s="1197"/>
      <c r="BP213" s="1197"/>
      <c r="BQ213" s="1197"/>
      <c r="BR213" s="1197"/>
      <c r="BS213" s="1197"/>
      <c r="BT213" s="1197"/>
      <c r="BU213" s="1197"/>
      <c r="BV213" s="1257"/>
      <c r="BW213" s="1188"/>
    </row>
    <row r="214" s="1193" customFormat="1" spans="54:75">
      <c r="BB214" s="1248"/>
      <c r="BN214" s="1197"/>
      <c r="BO214" s="1197"/>
      <c r="BP214" s="1197"/>
      <c r="BQ214" s="1197"/>
      <c r="BR214" s="1197"/>
      <c r="BS214" s="1197"/>
      <c r="BT214" s="1197"/>
      <c r="BU214" s="1197"/>
      <c r="BV214" s="1257"/>
      <c r="BW214" s="1188"/>
    </row>
    <row r="215" s="1193" customFormat="1" spans="54:75">
      <c r="BB215" s="1248"/>
      <c r="BN215" s="1197"/>
      <c r="BO215" s="1197"/>
      <c r="BP215" s="1197"/>
      <c r="BQ215" s="1197"/>
      <c r="BR215" s="1197"/>
      <c r="BS215" s="1197"/>
      <c r="BT215" s="1197"/>
      <c r="BU215" s="1197"/>
      <c r="BV215" s="1257"/>
      <c r="BW215" s="1188"/>
    </row>
    <row r="216" s="1193" customFormat="1" spans="54:75">
      <c r="BB216" s="1248"/>
      <c r="BN216" s="1197"/>
      <c r="BO216" s="1197"/>
      <c r="BP216" s="1197"/>
      <c r="BQ216" s="1197"/>
      <c r="BR216" s="1197"/>
      <c r="BS216" s="1197"/>
      <c r="BT216" s="1197"/>
      <c r="BU216" s="1197"/>
      <c r="BV216" s="1257"/>
      <c r="BW216" s="1188"/>
    </row>
    <row r="217" s="1193" customFormat="1" spans="54:75">
      <c r="BB217" s="1248"/>
      <c r="BN217" s="1197"/>
      <c r="BO217" s="1197"/>
      <c r="BP217" s="1197"/>
      <c r="BQ217" s="1197"/>
      <c r="BR217" s="1197"/>
      <c r="BS217" s="1197"/>
      <c r="BT217" s="1197"/>
      <c r="BU217" s="1197"/>
      <c r="BV217" s="1257"/>
      <c r="BW217" s="1188"/>
    </row>
    <row r="218" s="1193" customFormat="1" spans="54:75">
      <c r="BB218" s="1248"/>
      <c r="BN218" s="1197"/>
      <c r="BO218" s="1197"/>
      <c r="BP218" s="1197"/>
      <c r="BQ218" s="1197"/>
      <c r="BR218" s="1197"/>
      <c r="BS218" s="1197"/>
      <c r="BT218" s="1197"/>
      <c r="BU218" s="1197"/>
      <c r="BV218" s="1257"/>
      <c r="BW218" s="1188"/>
    </row>
    <row r="219" s="1193" customFormat="1" spans="54:75">
      <c r="BB219" s="1248"/>
      <c r="BN219" s="1197"/>
      <c r="BO219" s="1197"/>
      <c r="BP219" s="1197"/>
      <c r="BQ219" s="1197"/>
      <c r="BR219" s="1197"/>
      <c r="BS219" s="1197"/>
      <c r="BT219" s="1197"/>
      <c r="BU219" s="1197"/>
      <c r="BV219" s="1257"/>
      <c r="BW219" s="1188"/>
    </row>
    <row r="220" s="1193" customFormat="1" spans="54:75">
      <c r="BB220" s="1248"/>
      <c r="BN220" s="1197"/>
      <c r="BO220" s="1197"/>
      <c r="BP220" s="1197"/>
      <c r="BQ220" s="1197"/>
      <c r="BR220" s="1197"/>
      <c r="BS220" s="1197"/>
      <c r="BT220" s="1197"/>
      <c r="BU220" s="1197"/>
      <c r="BV220" s="1257"/>
      <c r="BW220" s="1188"/>
    </row>
    <row r="221" s="1193" customFormat="1" spans="54:75">
      <c r="BB221" s="1248"/>
      <c r="BN221" s="1197"/>
      <c r="BO221" s="1197"/>
      <c r="BP221" s="1197"/>
      <c r="BQ221" s="1197"/>
      <c r="BR221" s="1197"/>
      <c r="BS221" s="1197"/>
      <c r="BT221" s="1197"/>
      <c r="BU221" s="1197"/>
      <c r="BV221" s="1257"/>
      <c r="BW221" s="1188"/>
    </row>
    <row r="222" s="1193" customFormat="1" spans="54:75">
      <c r="BB222" s="1248"/>
      <c r="BN222" s="1197"/>
      <c r="BO222" s="1197"/>
      <c r="BP222" s="1197"/>
      <c r="BQ222" s="1197"/>
      <c r="BR222" s="1197"/>
      <c r="BS222" s="1197"/>
      <c r="BT222" s="1197"/>
      <c r="BU222" s="1197"/>
      <c r="BV222" s="1257"/>
      <c r="BW222" s="1188"/>
    </row>
    <row r="223" s="1193" customFormat="1" spans="54:75">
      <c r="BB223" s="1248"/>
      <c r="BN223" s="1197"/>
      <c r="BO223" s="1197"/>
      <c r="BP223" s="1197"/>
      <c r="BQ223" s="1197"/>
      <c r="BR223" s="1197"/>
      <c r="BS223" s="1197"/>
      <c r="BT223" s="1197"/>
      <c r="BU223" s="1197"/>
      <c r="BV223" s="1257"/>
      <c r="BW223" s="1188"/>
    </row>
    <row r="224" s="1193" customFormat="1" spans="54:75">
      <c r="BB224" s="1248"/>
      <c r="BN224" s="1197"/>
      <c r="BO224" s="1197"/>
      <c r="BP224" s="1197"/>
      <c r="BQ224" s="1197"/>
      <c r="BR224" s="1197"/>
      <c r="BS224" s="1197"/>
      <c r="BT224" s="1197"/>
      <c r="BU224" s="1197"/>
      <c r="BV224" s="1257"/>
      <c r="BW224" s="1188"/>
    </row>
    <row r="225" s="1193" customFormat="1" spans="54:75">
      <c r="BB225" s="1248"/>
      <c r="BN225" s="1197"/>
      <c r="BO225" s="1197"/>
      <c r="BP225" s="1197"/>
      <c r="BQ225" s="1197"/>
      <c r="BR225" s="1197"/>
      <c r="BS225" s="1197"/>
      <c r="BT225" s="1197"/>
      <c r="BU225" s="1197"/>
      <c r="BV225" s="1257"/>
      <c r="BW225" s="1188"/>
    </row>
    <row r="226" s="1193" customFormat="1" spans="54:75">
      <c r="BB226" s="1248"/>
      <c r="BN226" s="1197"/>
      <c r="BO226" s="1197"/>
      <c r="BP226" s="1197"/>
      <c r="BQ226" s="1197"/>
      <c r="BR226" s="1197"/>
      <c r="BS226" s="1197"/>
      <c r="BT226" s="1197"/>
      <c r="BU226" s="1197"/>
      <c r="BV226" s="1257"/>
      <c r="BW226" s="1188"/>
    </row>
    <row r="227" s="1193" customFormat="1" spans="54:75">
      <c r="BB227" s="1248"/>
      <c r="BN227" s="1197"/>
      <c r="BO227" s="1197"/>
      <c r="BP227" s="1197"/>
      <c r="BQ227" s="1197"/>
      <c r="BR227" s="1197"/>
      <c r="BS227" s="1197"/>
      <c r="BT227" s="1197"/>
      <c r="BU227" s="1197"/>
      <c r="BV227" s="1257"/>
      <c r="BW227" s="1188"/>
    </row>
    <row r="228" s="1193" customFormat="1" spans="54:75">
      <c r="BB228" s="1248"/>
      <c r="BN228" s="1197"/>
      <c r="BO228" s="1197"/>
      <c r="BP228" s="1197"/>
      <c r="BQ228" s="1197"/>
      <c r="BR228" s="1197"/>
      <c r="BS228" s="1197"/>
      <c r="BT228" s="1197"/>
      <c r="BU228" s="1197"/>
      <c r="BV228" s="1257"/>
      <c r="BW228" s="1188"/>
    </row>
    <row r="229" s="1193" customFormat="1" spans="54:75">
      <c r="BB229" s="1248"/>
      <c r="BN229" s="1197"/>
      <c r="BO229" s="1197"/>
      <c r="BP229" s="1197"/>
      <c r="BQ229" s="1197"/>
      <c r="BR229" s="1197"/>
      <c r="BS229" s="1197"/>
      <c r="BT229" s="1197"/>
      <c r="BU229" s="1197"/>
      <c r="BV229" s="1257"/>
      <c r="BW229" s="1188"/>
    </row>
    <row r="230" s="1193" customFormat="1" spans="54:75">
      <c r="BB230" s="1248"/>
      <c r="BN230" s="1197"/>
      <c r="BO230" s="1197"/>
      <c r="BP230" s="1197"/>
      <c r="BQ230" s="1197"/>
      <c r="BR230" s="1197"/>
      <c r="BS230" s="1197"/>
      <c r="BT230" s="1197"/>
      <c r="BU230" s="1197"/>
      <c r="BV230" s="1257"/>
      <c r="BW230" s="1188"/>
    </row>
    <row r="231" s="1193" customFormat="1" spans="54:75">
      <c r="BB231" s="1248"/>
      <c r="BN231" s="1197"/>
      <c r="BO231" s="1197"/>
      <c r="BP231" s="1197"/>
      <c r="BQ231" s="1197"/>
      <c r="BR231" s="1197"/>
      <c r="BS231" s="1197"/>
      <c r="BT231" s="1197"/>
      <c r="BU231" s="1197"/>
      <c r="BV231" s="1257"/>
      <c r="BW231" s="1188"/>
    </row>
    <row r="232" s="1193" customFormat="1" spans="54:75">
      <c r="BB232" s="1248"/>
      <c r="BN232" s="1197"/>
      <c r="BO232" s="1197"/>
      <c r="BP232" s="1197"/>
      <c r="BQ232" s="1197"/>
      <c r="BR232" s="1197"/>
      <c r="BS232" s="1197"/>
      <c r="BT232" s="1197"/>
      <c r="BU232" s="1197"/>
      <c r="BV232" s="1257"/>
      <c r="BW232" s="1188"/>
    </row>
    <row r="233" s="1193" customFormat="1" spans="54:75">
      <c r="BB233" s="1248"/>
      <c r="BN233" s="1197"/>
      <c r="BO233" s="1197"/>
      <c r="BP233" s="1197"/>
      <c r="BQ233" s="1197"/>
      <c r="BR233" s="1197"/>
      <c r="BS233" s="1197"/>
      <c r="BT233" s="1197"/>
      <c r="BU233" s="1197"/>
      <c r="BV233" s="1257"/>
      <c r="BW233" s="1188"/>
    </row>
    <row r="234" s="1193" customFormat="1" spans="54:75">
      <c r="BB234" s="1248"/>
      <c r="BN234" s="1197"/>
      <c r="BO234" s="1197"/>
      <c r="BP234" s="1197"/>
      <c r="BQ234" s="1197"/>
      <c r="BR234" s="1197"/>
      <c r="BS234" s="1197"/>
      <c r="BT234" s="1197"/>
      <c r="BU234" s="1197"/>
      <c r="BV234" s="1257"/>
      <c r="BW234" s="1188"/>
    </row>
    <row r="235" s="1193" customFormat="1" spans="54:75">
      <c r="BB235" s="1248"/>
      <c r="BN235" s="1197"/>
      <c r="BO235" s="1197"/>
      <c r="BP235" s="1197"/>
      <c r="BQ235" s="1197"/>
      <c r="BR235" s="1197"/>
      <c r="BS235" s="1197"/>
      <c r="BT235" s="1197"/>
      <c r="BU235" s="1197"/>
      <c r="BV235" s="1257"/>
      <c r="BW235" s="1188"/>
    </row>
    <row r="236" s="1193" customFormat="1" spans="54:75">
      <c r="BB236" s="1248"/>
      <c r="BN236" s="1197"/>
      <c r="BO236" s="1197"/>
      <c r="BP236" s="1197"/>
      <c r="BQ236" s="1197"/>
      <c r="BR236" s="1197"/>
      <c r="BS236" s="1197"/>
      <c r="BT236" s="1197"/>
      <c r="BU236" s="1197"/>
      <c r="BV236" s="1257"/>
      <c r="BW236" s="1188"/>
    </row>
    <row r="237" s="1193" customFormat="1" spans="54:75">
      <c r="BB237" s="1248"/>
      <c r="BN237" s="1197"/>
      <c r="BO237" s="1197"/>
      <c r="BP237" s="1197"/>
      <c r="BQ237" s="1197"/>
      <c r="BR237" s="1197"/>
      <c r="BS237" s="1197"/>
      <c r="BT237" s="1197"/>
      <c r="BU237" s="1197"/>
      <c r="BV237" s="1257"/>
      <c r="BW237" s="1188"/>
    </row>
    <row r="238" s="1193" customFormat="1" spans="54:75">
      <c r="BB238" s="1248"/>
      <c r="BN238" s="1197"/>
      <c r="BO238" s="1197"/>
      <c r="BP238" s="1197"/>
      <c r="BQ238" s="1197"/>
      <c r="BR238" s="1197"/>
      <c r="BS238" s="1197"/>
      <c r="BT238" s="1197"/>
      <c r="BU238" s="1197"/>
      <c r="BV238" s="1257"/>
      <c r="BW238" s="1188"/>
    </row>
    <row r="239" s="1193" customFormat="1" spans="54:75">
      <c r="BB239" s="1248"/>
      <c r="BN239" s="1197"/>
      <c r="BO239" s="1197"/>
      <c r="BP239" s="1197"/>
      <c r="BQ239" s="1197"/>
      <c r="BR239" s="1197"/>
      <c r="BS239" s="1197"/>
      <c r="BT239" s="1197"/>
      <c r="BU239" s="1197"/>
      <c r="BV239" s="1257"/>
      <c r="BW239" s="1188"/>
    </row>
    <row r="240" s="1193" customFormat="1" spans="54:75">
      <c r="BB240" s="1248"/>
      <c r="BN240" s="1197"/>
      <c r="BO240" s="1197"/>
      <c r="BP240" s="1197"/>
      <c r="BQ240" s="1197"/>
      <c r="BR240" s="1197"/>
      <c r="BS240" s="1197"/>
      <c r="BT240" s="1197"/>
      <c r="BU240" s="1197"/>
      <c r="BV240" s="1257"/>
      <c r="BW240" s="1188"/>
    </row>
    <row r="241" s="1193" customFormat="1" spans="54:75">
      <c r="BB241" s="1248"/>
      <c r="BN241" s="1197"/>
      <c r="BO241" s="1197"/>
      <c r="BP241" s="1197"/>
      <c r="BQ241" s="1197"/>
      <c r="BR241" s="1197"/>
      <c r="BS241" s="1197"/>
      <c r="BT241" s="1197"/>
      <c r="BU241" s="1197"/>
      <c r="BV241" s="1257"/>
      <c r="BW241" s="1188"/>
    </row>
    <row r="242" s="1193" customFormat="1" spans="54:75">
      <c r="BB242" s="1248"/>
      <c r="BN242" s="1197"/>
      <c r="BO242" s="1197"/>
      <c r="BP242" s="1197"/>
      <c r="BQ242" s="1197"/>
      <c r="BR242" s="1197"/>
      <c r="BS242" s="1197"/>
      <c r="BT242" s="1197"/>
      <c r="BU242" s="1197"/>
      <c r="BV242" s="1257"/>
      <c r="BW242" s="1188"/>
    </row>
    <row r="243" s="1193" customFormat="1" spans="54:75">
      <c r="BB243" s="1248"/>
      <c r="BN243" s="1197"/>
      <c r="BO243" s="1197"/>
      <c r="BP243" s="1197"/>
      <c r="BQ243" s="1197"/>
      <c r="BR243" s="1197"/>
      <c r="BS243" s="1197"/>
      <c r="BT243" s="1197"/>
      <c r="BU243" s="1197"/>
      <c r="BV243" s="1257"/>
      <c r="BW243" s="1188"/>
    </row>
    <row r="244" s="1193" customFormat="1" spans="54:75">
      <c r="BB244" s="1248"/>
      <c r="BN244" s="1197"/>
      <c r="BO244" s="1197"/>
      <c r="BP244" s="1197"/>
      <c r="BQ244" s="1197"/>
      <c r="BR244" s="1197"/>
      <c r="BS244" s="1197"/>
      <c r="BT244" s="1197"/>
      <c r="BU244" s="1197"/>
      <c r="BV244" s="1257"/>
      <c r="BW244" s="1188"/>
    </row>
  </sheetData>
  <autoFilter ref="B4:BZ76"/>
  <sortState ref="C112:R134">
    <sortCondition ref="C112:C134"/>
  </sortState>
  <mergeCells count="42">
    <mergeCell ref="L3:M3"/>
    <mergeCell ref="N3:Y3"/>
    <mergeCell ref="Z3:AA3"/>
    <mergeCell ref="AB3:AH3"/>
    <mergeCell ref="AI3:AJ3"/>
    <mergeCell ref="AK3:AL3"/>
    <mergeCell ref="B3:B4"/>
    <mergeCell ref="C3:C4"/>
    <mergeCell ref="D3:D4"/>
    <mergeCell ref="E3:E4"/>
    <mergeCell ref="F3:F4"/>
    <mergeCell ref="G3:G4"/>
    <mergeCell ref="H3:H4"/>
    <mergeCell ref="I3:I4"/>
    <mergeCell ref="J3:J4"/>
    <mergeCell ref="K3:K4"/>
    <mergeCell ref="AW3:AW4"/>
    <mergeCell ref="AX3:AX4"/>
    <mergeCell ref="AY3:AY4"/>
    <mergeCell ref="AZ3:AZ4"/>
    <mergeCell ref="BA3:BA4"/>
    <mergeCell ref="BB3:BB4"/>
    <mergeCell ref="BC3:BC4"/>
    <mergeCell ref="BD3:BD4"/>
    <mergeCell ref="BE3:BE4"/>
    <mergeCell ref="BF3:BF4"/>
    <mergeCell ref="BG3:BG4"/>
    <mergeCell ref="BH3:BH4"/>
    <mergeCell ref="BI3:BI4"/>
    <mergeCell ref="BJ3:BJ4"/>
    <mergeCell ref="BK3:BK4"/>
    <mergeCell ref="BL3:BL4"/>
    <mergeCell ref="BM3:BM4"/>
    <mergeCell ref="BN3:BN4"/>
    <mergeCell ref="BO3:BO4"/>
    <mergeCell ref="BP3:BP4"/>
    <mergeCell ref="BQ3:BQ4"/>
    <mergeCell ref="BR3:BR4"/>
    <mergeCell ref="BS3:BS4"/>
    <mergeCell ref="BT3:BT4"/>
    <mergeCell ref="BU3:BU4"/>
    <mergeCell ref="BV3:BV4"/>
  </mergeCells>
  <conditionalFormatting sqref="AX3:AX4;AX111:AX114">
    <cfRule type="expression" dxfId="839" priority="1" stopIfTrue="1">
      <formula>NOT(ISERROR(SEARCH("warning",AX3)))</formula>
    </cfRule>
  </conditionalFormatting>
  <conditionalFormatting sqref="BK44;BP45:BP47;BG45:BG48">
    <cfRule type="expression" dxfId="840" priority="2" stopIfTrue="1">
      <formula>IF(OR(#REF!="not",#REF!="resign",#REF!="resign",#REF!="end",#REF!="terminated",#REF!="permanent"),"TRUE","FALSE")</formula>
    </cfRule>
  </conditionalFormatting>
  <conditionalFormatting sqref="BP48">
    <cfRule type="expression" dxfId="841" priority="3" stopIfTrue="1">
      <formula>IF(OR(#REF!="not",#REF!="resign",#REF!="resign",#REF!="end",#REF!="terminated",#REF!="permanent"),"TRUE","FALSE")</formula>
    </cfRule>
  </conditionalFormatting>
  <conditionalFormatting sqref="BP49">
    <cfRule type="expression" dxfId="842" priority="4" stopIfTrue="1">
      <formula>IF(OR(#REF!="not",#REF!="resign",#REF!="resign",#REF!="end",#REF!="terminated",#REF!="permanent"),"TRUE","FALSE")</formula>
    </cfRule>
  </conditionalFormatting>
  <conditionalFormatting sqref="BK51">
    <cfRule type="expression" dxfId="843" priority="5" stopIfTrue="1">
      <formula>IF(OR(#REF!="not",#REF!="resign",#REF!="resign",#REF!="end",#REF!="terminated",#REF!="permanent"),"TRUE","FALSE")</formula>
    </cfRule>
  </conditionalFormatting>
  <conditionalFormatting sqref="E111:E114;BP111:BP114">
    <cfRule type="expression" dxfId="844" priority="6" stopIfTrue="1">
      <formula>IF(OR(#REF!="not",#REF!="resign",#REF!="resign",#REF!="end",#REF!="terminated",#REF!="permanent"),"TRUE","FALSE")</formula>
    </cfRule>
  </conditionalFormatting>
  <conditionalFormatting sqref="BG112:BG114">
    <cfRule type="expression" dxfId="845" priority="7" stopIfTrue="1">
      <formula>IF(OR(#REF!="not",#REF!="resign",#REF!="resign",#REF!="end",#REF!="terminated",#REF!="permanent"),"TRUE","FALSE")</formula>
    </cfRule>
  </conditionalFormatting>
  <conditionalFormatting sqref="W115">
    <cfRule type="expression" dxfId="846" priority="8" stopIfTrue="1">
      <formula>IF(OR(#REF!="not",#REF!="resign",#REF!="resign",#REF!="end",#REF!="terminated",#REF!="permanent"),"TRUE","FALSE")</formula>
    </cfRule>
  </conditionalFormatting>
  <conditionalFormatting sqref="W116">
    <cfRule type="expression" dxfId="847" priority="9" stopIfTrue="1">
      <formula>IF(OR(#REF!="not",#REF!="resign",#REF!="resign",#REF!="end",#REF!="terminated",#REF!="permanent"),"TRUE","FALSE")</formula>
    </cfRule>
  </conditionalFormatting>
  <conditionalFormatting sqref="AZ117:BA118;BC117:BH118">
    <cfRule type="expression" dxfId="848" priority="10" stopIfTrue="1">
      <formula>IF(OR(#REF!="not",#REF!="resign",#REF!="resign",#REF!="end",#REF!="terminated",#REF!="permanent"),"TRUE","FALSE")</formula>
    </cfRule>
  </conditionalFormatting>
  <conditionalFormatting sqref="BI117:BI118">
    <cfRule type="expression" dxfId="849" priority="11" stopIfTrue="1">
      <formula>IF(OR(#REF!="not",#REF!="resign",#REF!="resign",#REF!="end",#REF!="terminated",#REF!="permanent"),"TRUE","FALSE")</formula>
    </cfRule>
    <cfRule type="expression" dxfId="850" priority="12" stopIfTrue="1">
      <formula>IF(OR(#REF!="not",#REF!="resign",#REF!="resign",#REF!="end",#REF!="terminated",#REF!="permanent"),"TRUE","FALSE")</formula>
    </cfRule>
  </conditionalFormatting>
  <conditionalFormatting sqref="BP117:BP118;E117:E118">
    <cfRule type="expression" dxfId="851" priority="13" stopIfTrue="1">
      <formula>IF(OR(#REF!="not",#REF!="resign",#REF!="resign",#REF!="end",#REF!="terminated",#REF!="permanent"),"TRUE","FALSE")</formula>
    </cfRule>
  </conditionalFormatting>
  <conditionalFormatting sqref="AZ117:BA118;BC117:BI118">
    <cfRule type="expression" dxfId="852" priority="14" stopIfTrue="1">
      <formula>IF(OR(#REF!="not",#REF!="resign",#REF!="resign",#REF!="end",#REF!="terminated",#REF!="permanent"),"TRUE","FALSE")</formula>
    </cfRule>
  </conditionalFormatting>
  <conditionalFormatting sqref="BK120">
    <cfRule type="expression" dxfId="853" priority="15" stopIfTrue="1">
      <formula>IF(OR(#REF!="not",#REF!="resign",#REF!="resign",#REF!="end",#REF!="terminated",#REF!="permanent"),"TRUE","FALSE")</formula>
    </cfRule>
  </conditionalFormatting>
  <conditionalFormatting sqref="BK123">
    <cfRule type="expression" dxfId="854" priority="16" stopIfTrue="1">
      <formula>IF(OR(#REF!="not",#REF!="resign",#REF!="resign",#REF!="end",#REF!="terminated",#REF!="permanent"),"TRUE","FALSE")</formula>
    </cfRule>
  </conditionalFormatting>
  <conditionalFormatting sqref="BK124">
    <cfRule type="expression" dxfId="855" priority="17" stopIfTrue="1">
      <formula>IF(OR(#REF!="not",#REF!="resign",#REF!="resign",#REF!="end",#REF!="terminated",#REF!="permanent"),"TRUE","FALSE")</formula>
    </cfRule>
  </conditionalFormatting>
  <conditionalFormatting sqref="BK125:BK126">
    <cfRule type="expression" dxfId="856" priority="18" stopIfTrue="1">
      <formula>IF(OR(#REF!="not",#REF!="resign",#REF!="resign",#REF!="end",#REF!="terminated",#REF!="permanent"),"TRUE","FALSE")</formula>
    </cfRule>
  </conditionalFormatting>
  <conditionalFormatting sqref="BK127">
    <cfRule type="expression" dxfId="857" priority="19" stopIfTrue="1">
      <formula>IF(OR(#REF!="not",#REF!="resign",#REF!="resign",#REF!="end",#REF!="terminated",#REF!="permanent"),"TRUE","FALSE")</formula>
    </cfRule>
  </conditionalFormatting>
  <conditionalFormatting sqref="C52:C54;C172;E45:E47">
    <cfRule type="expression" dxfId="858" priority="20" stopIfTrue="1">
      <formula>IF(OR(#REF!="not",#REF!="resign",#REF!="resign",#REF!="end",#REF!="terminated",#REF!="permanent"),"TRUE","FALSE")</formula>
    </cfRule>
  </conditionalFormatting>
  <conditionalFormatting sqref="C55">
    <cfRule type="expression" dxfId="859" priority="21" stopIfTrue="1">
      <formula>IF(OR(#REF!="not",#REF!="resign",#REF!="resign",#REF!="end",#REF!="terminated",#REF!="permanent"),"TRUE","FALSE")</formula>
    </cfRule>
  </conditionalFormatting>
  <conditionalFormatting sqref="BP57;BG57">
    <cfRule type="expression" dxfId="860" priority="22" stopIfTrue="1">
      <formula>IF(OR(#REF!="not",#REF!="resign",#REF!="resign",#REF!="end",#REF!="terminated",#REF!="permanent"),"TRUE","FALSE")</formula>
    </cfRule>
  </conditionalFormatting>
  <conditionalFormatting sqref="AX128:AX131">
    <cfRule type="expression" dxfId="861" priority="23" stopIfTrue="1">
      <formula>NOT(ISERROR(SEARCH("warning",AX128)))</formula>
    </cfRule>
  </conditionalFormatting>
  <conditionalFormatting sqref="BK131">
    <cfRule type="expression" dxfId="862" priority="24" stopIfTrue="1">
      <formula>IF(OR(#REF!="not",#REF!="resign",#REF!="resign",#REF!="end",#REF!="terminated",#REF!="permanent"),"TRUE","FALSE")</formula>
    </cfRule>
  </conditionalFormatting>
  <conditionalFormatting sqref="BG59">
    <cfRule type="expression" dxfId="863" priority="25" stopIfTrue="1">
      <formula>IF(OR(#REF!="not",#REF!="resign",#REF!="resign",#REF!="end",#REF!="terminated",#REF!="permanent"),"TRUE","FALSE")</formula>
    </cfRule>
  </conditionalFormatting>
  <conditionalFormatting sqref="BG58">
    <cfRule type="expression" dxfId="864" priority="26" stopIfTrue="1">
      <formula>IF(OR(#REF!="not",#REF!="resign",#REF!="resign",#REF!="end",#REF!="terminated",#REF!="permanent"),"TRUE","FALSE")</formula>
    </cfRule>
  </conditionalFormatting>
  <conditionalFormatting sqref="BG60">
    <cfRule type="expression" dxfId="865" priority="27" stopIfTrue="1">
      <formula>IF(OR(#REF!="not",#REF!="resign",#REF!="resign",#REF!="end",#REF!="terminated",#REF!="permanent"),"TRUE","FALSE")</formula>
    </cfRule>
  </conditionalFormatting>
  <conditionalFormatting sqref="BG61">
    <cfRule type="expression" dxfId="866" priority="28" stopIfTrue="1">
      <formula>IF(OR(#REF!="not",#REF!="resign",#REF!="resign",#REF!="end",#REF!="terminated",#REF!="permanent"),"TRUE","FALSE")</formula>
    </cfRule>
  </conditionalFormatting>
  <conditionalFormatting sqref="BG62">
    <cfRule type="expression" dxfId="867" priority="29" stopIfTrue="1">
      <formula>IF(OR(#REF!="not",#REF!="resign",#REF!="resign",#REF!="end",#REF!="terminated",#REF!="permanent"),"TRUE","FALSE")</formula>
    </cfRule>
  </conditionalFormatting>
  <conditionalFormatting sqref="BK133">
    <cfRule type="expression" dxfId="868" priority="30" stopIfTrue="1">
      <formula>IF(OR(#REF!="not",#REF!="resign",#REF!="resign",#REF!="end",#REF!="terminated",#REF!="permanent"),"TRUE","FALSE")</formula>
    </cfRule>
  </conditionalFormatting>
  <conditionalFormatting sqref="AY134:BJ134;D134:E134;BM134:BT134;I134:N134;P134:Y134">
    <cfRule type="expression" dxfId="869" priority="31" stopIfTrue="1">
      <formula>IF(OR(#REF!="not",#REF!="resign",#REF!="resign",#REF!="end",#REF!="terminated",#REF!="permanent"),"TRUE","FALSE")</formula>
    </cfRule>
  </conditionalFormatting>
  <conditionalFormatting sqref="E135:E136;BP135:BP136">
    <cfRule type="expression" dxfId="870" priority="32" stopIfTrue="1">
      <formula>IF(OR(#REF!="not",#REF!="resign",#REF!="resign",#REF!="end",#REF!="terminated",#REF!="permanent"),"TRUE","FALSE")</formula>
    </cfRule>
  </conditionalFormatting>
  <conditionalFormatting sqref="AX138:AX155">
    <cfRule type="expression" dxfId="871" priority="33" stopIfTrue="1">
      <formula>NOT(ISERROR(SEARCH("warning",AX138)))</formula>
    </cfRule>
  </conditionalFormatting>
  <conditionalFormatting sqref="AZ141:BA141;BC141:BH141">
    <cfRule type="expression" dxfId="872" priority="34" stopIfTrue="1">
      <formula>IF(OR(#REF!="not",#REF!="resign",#REF!="resign",#REF!="end",#REF!="terminated",#REF!="permanent"),"TRUE","FALSE")</formula>
    </cfRule>
  </conditionalFormatting>
  <conditionalFormatting sqref="BK142;BP140;E140">
    <cfRule type="expression" dxfId="873" priority="35" stopIfTrue="1">
      <formula>IF(OR(#REF!="not",#REF!="resign",#REF!="resign",#REF!="end",#REF!="terminated",#REF!="permanent"),"TRUE","FALSE")</formula>
    </cfRule>
  </conditionalFormatting>
  <conditionalFormatting sqref="BI141">
    <cfRule type="expression" dxfId="874" priority="36" stopIfTrue="1">
      <formula>IF(OR(#REF!="not",#REF!="resign",#REF!="resign",#REF!="end",#REF!="terminated",#REF!="permanent"),"TRUE","FALSE")</formula>
    </cfRule>
    <cfRule type="expression" dxfId="875" priority="37" stopIfTrue="1">
      <formula>IF(OR(#REF!="not",#REF!="resign",#REF!="resign",#REF!="end",#REF!="terminated",#REF!="permanent"),"TRUE","FALSE")</formula>
    </cfRule>
  </conditionalFormatting>
  <conditionalFormatting sqref="BP141;E141">
    <cfRule type="expression" dxfId="876" priority="38" stopIfTrue="1">
      <formula>IF(OR(#REF!="not",#REF!="resign",#REF!="resign",#REF!="end",#REF!="terminated",#REF!="permanent"),"TRUE","FALSE")</formula>
    </cfRule>
  </conditionalFormatting>
  <conditionalFormatting sqref="AZ141:BA141;BC141:BI141">
    <cfRule type="expression" dxfId="877" priority="39" stopIfTrue="1">
      <formula>IF(OR(#REF!="not",#REF!="resign",#REF!="resign",#REF!="end",#REF!="terminated",#REF!="permanent"),"TRUE","FALSE")</formula>
    </cfRule>
  </conditionalFormatting>
  <conditionalFormatting sqref="BK143">
    <cfRule type="expression" dxfId="878" priority="40" stopIfTrue="1">
      <formula>IF(OR(#REF!="not",#REF!="resign",#REF!="resign",#REF!="end",#REF!="terminated",#REF!="permanent"),"TRUE","FALSE")</formula>
    </cfRule>
  </conditionalFormatting>
  <conditionalFormatting sqref="C144">
    <cfRule type="expression" dxfId="879" priority="41" stopIfTrue="1">
      <formula>IF(OR(#REF!="not",#REF!="resign",#REF!="resign",#REF!="end",#REF!="terminated",#REF!="permanent"),"TRUE","FALSE")</formula>
    </cfRule>
  </conditionalFormatting>
  <conditionalFormatting sqref="E146;BP146">
    <cfRule type="expression" dxfId="880" priority="42" stopIfTrue="1">
      <formula>IF(OR(#REF!="not",#REF!="resign",#REF!="resign",#REF!="end",#REF!="terminated",#REF!="permanent"),"TRUE","FALSE")</formula>
    </cfRule>
  </conditionalFormatting>
  <conditionalFormatting sqref="BG146">
    <cfRule type="expression" dxfId="881" priority="43" stopIfTrue="1">
      <formula>IF(OR(#REF!="not",#REF!="resign",#REF!="resign",#REF!="end",#REF!="terminated",#REF!="permanent"),"TRUE","FALSE")</formula>
    </cfRule>
  </conditionalFormatting>
  <conditionalFormatting sqref="BG147">
    <cfRule type="expression" dxfId="882" priority="44" stopIfTrue="1">
      <formula>IF(OR(#REF!="not",#REF!="resign",#REF!="resign",#REF!="end",#REF!="terminated",#REF!="permanent"),"TRUE","FALSE")</formula>
    </cfRule>
  </conditionalFormatting>
  <conditionalFormatting sqref="BG148">
    <cfRule type="expression" dxfId="883" priority="45" stopIfTrue="1">
      <formula>IF(OR(#REF!="not",#REF!="resign",#REF!="resign",#REF!="end",#REF!="terminated",#REF!="permanent"),"TRUE","FALSE")</formula>
    </cfRule>
  </conditionalFormatting>
  <conditionalFormatting sqref="BG149">
    <cfRule type="expression" dxfId="884" priority="46" stopIfTrue="1">
      <formula>IF(OR(#REF!="not",#REF!="resign",#REF!="resign",#REF!="end",#REF!="terminated",#REF!="permanent"),"TRUE","FALSE")</formula>
    </cfRule>
  </conditionalFormatting>
  <conditionalFormatting sqref="BG150">
    <cfRule type="expression" dxfId="885" priority="47" stopIfTrue="1">
      <formula>IF(OR(#REF!="not",#REF!="resign",#REF!="resign",#REF!="end",#REF!="terminated",#REF!="permanent"),"TRUE","FALSE")</formula>
    </cfRule>
  </conditionalFormatting>
  <conditionalFormatting sqref="BG151:BG154">
    <cfRule type="expression" dxfId="886" priority="48" stopIfTrue="1">
      <formula>IF(OR(#REF!="not",#REF!="resign",#REF!="resign",#REF!="end",#REF!="terminated",#REF!="permanent"),"TRUE","FALSE")</formula>
    </cfRule>
  </conditionalFormatting>
  <conditionalFormatting sqref="BG155">
    <cfRule type="expression" dxfId="887" priority="49" stopIfTrue="1">
      <formula>IF(OR(#REF!="not",#REF!="resign",#REF!="resign",#REF!="end",#REF!="terminated",#REF!="permanent"),"TRUE","FALSE")</formula>
    </cfRule>
  </conditionalFormatting>
  <conditionalFormatting sqref="AX5">
    <cfRule type="expression" dxfId="888" priority="50" stopIfTrue="1">
      <formula>NOT(ISERROR(SEARCH("warning",AX5)))</formula>
    </cfRule>
  </conditionalFormatting>
  <conditionalFormatting sqref="BP63">
    <cfRule type="expression" dxfId="889" priority="51" stopIfTrue="1">
      <formula>IF(OR(#REF!="not",#REF!="resign",#REF!="resign",#REF!="end",#REF!="terminated",#REF!="permanent"),"TRUE","FALSE")</formula>
    </cfRule>
  </conditionalFormatting>
  <conditionalFormatting sqref="AZ159:BA159;BC159:BH159">
    <cfRule type="expression" dxfId="890" priority="52" stopIfTrue="1">
      <formula>IF(OR(#REF!="not",#REF!="resign",#REF!="resign",#REF!="end",#REF!="terminated",#REF!="permanent"),"TRUE","FALSE")</formula>
    </cfRule>
  </conditionalFormatting>
  <conditionalFormatting sqref="E160:E164;BP160:BP164;BG160:BG164">
    <cfRule type="expression" dxfId="891" priority="53" stopIfTrue="1">
      <formula>IF(OR(#REF!="not",#REF!="resign",#REF!="resign",#REF!="end",#REF!="terminated",#REF!="permanent"),"TRUE","FALSE")</formula>
    </cfRule>
  </conditionalFormatting>
  <conditionalFormatting sqref="BG165:BG166">
    <cfRule type="expression" dxfId="892" priority="54" stopIfTrue="1">
      <formula>IF(OR(#REF!="not",#REF!="resign",#REF!="resign",#REF!="end",#REF!="terminated",#REF!="permanent"),"TRUE","FALSE")</formula>
    </cfRule>
  </conditionalFormatting>
  <conditionalFormatting sqref="BG167">
    <cfRule type="expression" dxfId="893" priority="55" stopIfTrue="1">
      <formula>IF(OR(#REF!="not",#REF!="resign",#REF!="resign",#REF!="end",#REF!="terminated",#REF!="permanent"),"TRUE","FALSE")</formula>
    </cfRule>
  </conditionalFormatting>
  <conditionalFormatting sqref="AX64">
    <cfRule type="expression" dxfId="894" priority="56" stopIfTrue="1">
      <formula>NOT(ISERROR(SEARCH("warning",AX64)))</formula>
    </cfRule>
  </conditionalFormatting>
  <conditionalFormatting sqref="E48">
    <cfRule type="expression" dxfId="895" priority="57" stopIfTrue="1">
      <formula>IF(OR(#REF!="not",#REF!="resign",#REF!="resign",#REF!="end",#REF!="terminated",#REF!="permanent"),"TRUE","FALSE")</formula>
    </cfRule>
  </conditionalFormatting>
  <conditionalFormatting sqref="E49">
    <cfRule type="expression" dxfId="896" priority="58" stopIfTrue="1">
      <formula>IF(OR(#REF!="not",#REF!="resign",#REF!="resign",#REF!="end",#REF!="terminated",#REF!="permanent"),"TRUE","FALSE")</formula>
    </cfRule>
  </conditionalFormatting>
  <conditionalFormatting sqref="E57">
    <cfRule type="expression" dxfId="897" priority="59" stopIfTrue="1">
      <formula>IF(OR(#REF!="not",#REF!="resign",#REF!="resign",#REF!="end",#REF!="terminated",#REF!="permanent"),"TRUE","FALSE")</formula>
    </cfRule>
  </conditionalFormatting>
  <conditionalFormatting sqref="BK170">
    <cfRule type="expression" dxfId="898" priority="60" stopIfTrue="1">
      <formula>IF(OR(#REF!="not",#REF!="resign",#REF!="resign",#REF!="end",#REF!="terminated",#REF!="permanent"),"TRUE","FALSE")</formula>
    </cfRule>
  </conditionalFormatting>
  <conditionalFormatting sqref="BK171">
    <cfRule type="expression" dxfId="899" priority="61" stopIfTrue="1">
      <formula>IF(OR(#REF!="not",#REF!="resign",#REF!="resign",#REF!="end",#REF!="terminated",#REF!="permanent"),"TRUE","FALSE")</formula>
    </cfRule>
  </conditionalFormatting>
  <conditionalFormatting sqref="BP175;BG175">
    <cfRule type="expression" dxfId="900" priority="62" stopIfTrue="1">
      <formula>IF(OR(#REF!="not",#REF!="resign",#REF!="resign",#REF!="end",#REF!="terminated",#REF!="permanent"),"TRUE","FALSE")</formula>
    </cfRule>
  </conditionalFormatting>
  <conditionalFormatting sqref="BG176">
    <cfRule type="expression" dxfId="901" priority="63" stopIfTrue="1">
      <formula>IF(OR(#REF!="not",#REF!="resign",#REF!="resign",#REF!="end",#REF!="terminated",#REF!="permanent"),"TRUE","FALSE")</formula>
    </cfRule>
  </conditionalFormatting>
  <conditionalFormatting sqref="E175">
    <cfRule type="expression" dxfId="902" priority="64" stopIfTrue="1">
      <formula>IF(OR(#REF!="not",#REF!="resign",#REF!="resign",#REF!="end",#REF!="terminated",#REF!="permanent"),"TRUE","FALSE")</formula>
    </cfRule>
  </conditionalFormatting>
  <conditionalFormatting sqref="BK177">
    <cfRule type="expression" dxfId="903" priority="65" stopIfTrue="1">
      <formula>IF(OR(#REF!="not",#REF!="resign",#REF!="resign",#REF!="end",#REF!="terminated",#REF!="permanent"),"TRUE","FALSE")</formula>
    </cfRule>
  </conditionalFormatting>
  <conditionalFormatting sqref="C177">
    <cfRule type="expression" dxfId="904" priority="66" stopIfTrue="1">
      <formula>IF(OR(#REF!="not",#REF!="resign",#REF!="resign",#REF!="end",#REF!="terminated",#REF!="permanent"),"TRUE","FALSE")</formula>
    </cfRule>
  </conditionalFormatting>
  <conditionalFormatting sqref="BP178">
    <cfRule type="expression" dxfId="905" priority="67" stopIfTrue="1">
      <formula>IF(OR(#REF!="not",#REF!="resign",#REF!="resign",#REF!="end",#REF!="terminated",#REF!="permanent"),"TRUE","FALSE")</formula>
    </cfRule>
  </conditionalFormatting>
  <conditionalFormatting sqref="BG178">
    <cfRule type="expression" dxfId="906" priority="68" stopIfTrue="1">
      <formula>IF(OR(#REF!="not",#REF!="resign",#REF!="resign",#REF!="end",#REF!="terminated",#REF!="permanent"),"TRUE","FALSE")</formula>
    </cfRule>
  </conditionalFormatting>
  <conditionalFormatting sqref="AX178:AX180">
    <cfRule type="expression" dxfId="907" priority="69" stopIfTrue="1">
      <formula>NOT(ISERROR(SEARCH("warning",AX178)))</formula>
    </cfRule>
  </conditionalFormatting>
  <conditionalFormatting sqref="E178">
    <cfRule type="expression" dxfId="908" priority="70" stopIfTrue="1">
      <formula>IF(OR(#REF!="not",#REF!="resign",#REF!="resign",#REF!="end",#REF!="terminated",#REF!="permanent"),"TRUE","FALSE")</formula>
    </cfRule>
  </conditionalFormatting>
  <conditionalFormatting sqref="BP179;BG179">
    <cfRule type="expression" dxfId="909" priority="71" stopIfTrue="1">
      <formula>IF(OR(#REF!="not",#REF!="resign",#REF!="resign",#REF!="end",#REF!="terminated",#REF!="permanent"),"TRUE","FALSE")</formula>
    </cfRule>
  </conditionalFormatting>
  <conditionalFormatting sqref="E179">
    <cfRule type="expression" dxfId="910" priority="72" stopIfTrue="1">
      <formula>IF(OR(#REF!="not",#REF!="resign",#REF!="resign",#REF!="end",#REF!="terminated",#REF!="permanent"),"TRUE","FALSE")</formula>
    </cfRule>
  </conditionalFormatting>
  <conditionalFormatting sqref="C180">
    <cfRule type="expression" dxfId="911" priority="73" stopIfTrue="1">
      <formula>IF(OR(#REF!="not",#REF!="resign",#REF!="resign",#REF!="end",#REF!="terminated",#REF!="permanent"),"TRUE","FALSE")</formula>
    </cfRule>
  </conditionalFormatting>
  <conditionalFormatting sqref="AX65:AX66">
    <cfRule type="expression" dxfId="912" priority="74" stopIfTrue="1">
      <formula>NOT(ISERROR(SEARCH("warning",AX65)))</formula>
    </cfRule>
  </conditionalFormatting>
  <conditionalFormatting sqref="C181">
    <cfRule type="expression" dxfId="913" priority="75" stopIfTrue="1">
      <formula>IF(OR(#REF!="not",#REF!="resign",#REF!="resign",#REF!="end",#REF!="terminated",#REF!="permanent"),"TRUE","FALSE")</formula>
    </cfRule>
  </conditionalFormatting>
  <conditionalFormatting sqref="AX182">
    <cfRule type="expression" dxfId="914" priority="76" stopIfTrue="1">
      <formula>NOT(ISERROR(SEARCH("warning",AX182)))</formula>
    </cfRule>
  </conditionalFormatting>
  <conditionalFormatting sqref="AX181">
    <cfRule type="expression" dxfId="915" priority="77" stopIfTrue="1">
      <formula>NOT(ISERROR(SEARCH("warning",AX181)))</formula>
    </cfRule>
  </conditionalFormatting>
  <conditionalFormatting sqref="C182">
    <cfRule type="expression" dxfId="916" priority="78" stopIfTrue="1">
      <formula>IF(OR(#REF!="not",#REF!="resign",#REF!="resign",#REF!="end",#REF!="terminated",#REF!="permanent"),"TRUE","FALSE")</formula>
    </cfRule>
  </conditionalFormatting>
  <conditionalFormatting sqref="BK193">
    <cfRule type="expression" dxfId="917" priority="79" stopIfTrue="1">
      <formula>IF(OR(#REF!="not",#REF!="resign",#REF!="resign",#REF!="end",#REF!="terminated",#REF!="permanent"),"TRUE","FALSE")</formula>
    </cfRule>
  </conditionalFormatting>
  <conditionalFormatting sqref="BP195">
    <cfRule type="expression" dxfId="918" priority="80" stopIfTrue="1">
      <formula>IF(OR(#REF!="not",#REF!="resign",#REF!="resign",#REF!="end",#REF!="terminated",#REF!="permanent"),"TRUE","FALSE")</formula>
    </cfRule>
  </conditionalFormatting>
  <conditionalFormatting sqref="BG195">
    <cfRule type="expression" dxfId="919" priority="81" stopIfTrue="1">
      <formula>IF(OR(#REF!="not",#REF!="resign",#REF!="resign",#REF!="end",#REF!="terminated",#REF!="permanent"),"TRUE","FALSE")</formula>
    </cfRule>
  </conditionalFormatting>
  <conditionalFormatting sqref="E195">
    <cfRule type="expression" dxfId="920" priority="82" stopIfTrue="1">
      <formula>IF(OR(#REF!="not",#REF!="resign",#REF!="resign",#REF!="end",#REF!="terminated",#REF!="permanent"),"TRUE","FALSE")</formula>
    </cfRule>
  </conditionalFormatting>
  <conditionalFormatting sqref="BG196">
    <cfRule type="expression" dxfId="921" priority="83" stopIfTrue="1">
      <formula>IF(OR(#REF!="not",#REF!="resign",#REF!="resign",#REF!="end",#REF!="terminated",#REF!="permanent"),"TRUE","FALSE")</formula>
    </cfRule>
  </conditionalFormatting>
  <conditionalFormatting sqref="BG198">
    <cfRule type="expression" dxfId="922" priority="84" stopIfTrue="1">
      <formula>IF(OR(#REF!="not",#REF!="resign",#REF!="resign",#REF!="end",#REF!="terminated",#REF!="permanent"),"TRUE","FALSE")</formula>
    </cfRule>
  </conditionalFormatting>
  <conditionalFormatting sqref="BG197">
    <cfRule type="expression" dxfId="923" priority="85" stopIfTrue="1">
      <formula>IF(OR(#REF!="not",#REF!="resign",#REF!="resign",#REF!="end",#REF!="terminated",#REF!="permanent"),"TRUE","FALSE")</formula>
    </cfRule>
  </conditionalFormatting>
  <conditionalFormatting sqref="BG199">
    <cfRule type="expression" dxfId="924" priority="86" stopIfTrue="1">
      <formula>IF(OR(#REF!="not",#REF!="resign",#REF!="resign",#REF!="end",#REF!="terminated",#REF!="permanent"),"TRUE","FALSE")</formula>
    </cfRule>
  </conditionalFormatting>
  <conditionalFormatting sqref="AX67">
    <cfRule type="expression" dxfId="925" priority="87" stopIfTrue="1">
      <formula>NOT(ISERROR(SEARCH("warning",AX67)))</formula>
    </cfRule>
  </conditionalFormatting>
  <conditionalFormatting sqref="AX69:AX76">
    <cfRule type="expression" dxfId="926" priority="88" stopIfTrue="1">
      <formula>NOT(ISERROR(SEARCH("warning",AX69)))</formula>
    </cfRule>
  </conditionalFormatting>
  <conditionalFormatting sqref="AX68">
    <cfRule type="expression" dxfId="927" priority="89" stopIfTrue="1">
      <formula>NOT(ISERROR(SEARCH("warning",AX68)))</formula>
    </cfRule>
  </conditionalFormatting>
  <hyperlinks>
    <hyperlink ref="BT45" location="" display="faisal.rivai@gmail.com, faisal.rivai@corphr-nokia.com"/>
    <hyperlink ref="BT46" location="" display="hanafi.siagian@gmail.com       "/>
    <hyperlink ref="BT47" location="" display="iskandarnoor05@gmail.com       "/>
    <hyperlink ref="BT48" location="" display="ervin.kang1@gmail.com       "/>
    <hyperlink ref="BT21" location="" display="dedi.kusuma@corphr-nokia.com, dedi.kusuma@gmail.com"/>
    <hyperlink ref="BT50" location="" display="fitri.hartanti.ext@nokia.com"/>
    <hyperlink ref="BT51" location="" display="sultanaaq1@gmail.com"/>
    <hyperlink ref="BT52" location="" display="karlina384@gmail.com"/>
    <hyperlink ref="BT53" location="" display="eandrian12@gmail.com"/>
    <hyperlink ref="BT54" location="" display="oktafiandydwisandy@gmail.com"/>
    <hyperlink ref="BT114" location="" display="masryompusunggu@yahoo.com, masry.ompusunggu@corphr-nokia.com"/>
    <hyperlink ref="BT115" location="" display="masrianasardi2@gmail.com, masriana@corphr-nokia.com"/>
    <hyperlink ref="BT117" location="" display="andunghermanto@gmail.com       "/>
    <hyperlink ref="BT102" location="" display="Ayuwidyawati215@gmail.com       "/>
    <hyperlink ref="BT103" location="" display="jokoherucahyanto@yahoo.co.id       "/>
    <hyperlink ref="BT121" location="" display="fauzithohiro@gmail.com       "/>
    <hyperlink ref="BT122" r:id="rId3" display="agratiomengku@gmail.com"/>
    <hyperlink ref="BT106" location="" display="agus.budianto.id@gmail.com"/>
    <hyperlink ref="BT124" r:id="rId4" display="sriwahyunengsih1@gmail.com"/>
    <hyperlink ref="BT123" location="" display="veniastuti5636@gmail.com"/>
    <hyperlink ref="BT125" location="" display="dina.sinauonline@gmail.com       "/>
    <hyperlink ref="BT126" location="" display="inggritdeviveronika@gmail.com"/>
    <hyperlink ref="BT127" location="" display="fatma.zochra.ext@nokia.com"/>
    <hyperlink ref="BT55" location="" display="benyaminpanjaitan@gmail.com"/>
    <hyperlink ref="BT57" location="" display="dwiki.marchiano86@gmail.com"/>
    <hyperlink ref="BT131" location="" display="mgstriputra24@gmail.com"/>
    <hyperlink ref="BT61" location="" display="inaratnawati15@yahoo.com, inaratnawati15@gmail.com"/>
    <hyperlink ref="BT134" location="" display="kartiwa.jumaludin@gmail.com       "/>
    <hyperlink ref="BT135" location="" display="prasetyo_sandy@yahoo.com"/>
    <hyperlink ref="BT136" location="" display="aulia.r@gmail.com"/>
    <hyperlink ref="BT62" r:id="rId5" display="tiaranovitasari11@gmail.com"/>
    <hyperlink ref="BT141" location="" display="noor.rachmaddan@corphr-nokia.com"/>
    <hyperlink ref="BT142" location="" display="arydesril@gmail.com, rosmarlina@corphr-nokia.com"/>
    <hyperlink ref="BT143" location="" display="novidaryanti13@yahoo.com"/>
    <hyperlink ref="BT144" location="" display="donny.harmawan@gmail.com"/>
    <hyperlink ref="BT145" location="" display="poetra.ckr@gmail.com"/>
    <hyperlink ref="BT146" location="" display="vchanifan@yahoo.com"/>
    <hyperlink ref="BT148" r:id="rId6" display="dedy.susanto8277@gmail.com"/>
    <hyperlink ref="BT147" location="" display="wiryawan.wasono@gmail.com"/>
    <hyperlink ref="BT149" location="" display="vit3yanto06@gmail.com"/>
    <hyperlink ref="BT151" location="" display="rizq.rahman67@gmail.com, rizky.rahman67@gmail.com"/>
    <hyperlink ref="BT152" location="" display="edwinanto.gdc@gmail.com"/>
    <hyperlink ref="BT153" r:id="rId7" display="prastiwi0212@gmail.com"/>
    <hyperlink ref="BT154" location="" display="purwo.suprihanto.acc01@gmail.com"/>
    <hyperlink ref="BT155" location="" display="ariibnu79@gmail.com"/>
    <hyperlink ref="BT63" r:id="rId8" display="al.ihsan.rno@gmail.com"/>
    <hyperlink ref="BT159" location="" display="riskitana1314@gmail.com"/>
    <hyperlink ref="BT161" location="" display="dedy.permana86@gmail.com"/>
    <hyperlink ref="BT162" location="" display="jobs_zie@yahoo.com"/>
    <hyperlink ref="BT163" location="" display="feliks_echo@yahoo.co.id"/>
    <hyperlink ref="BT164" location="" display="undang.gani@gmail.com"/>
    <hyperlink ref="BT165" location="" display="angger.bagus@gmail.com"/>
    <hyperlink ref="BT166" location="" display="suyantobdg@gmail.com"/>
    <hyperlink ref="BT167" location="" display="rina.rosmiati.ext@gmail.com"/>
    <hyperlink ref="BT64" r:id="rId9" display="hengkysaputra18@gmail.com"/>
    <hyperlink ref="BT170" location="" display="fadhlisaputra7z@gmail.com"/>
    <hyperlink ref="BT171" location="" display="deasynataliap4@gmail.com"/>
    <hyperlink ref="BT172" location="" display="yanthie13@yahoo.com"/>
    <hyperlink ref="BT174" location="" display="iiyoy.1408@gmail.com"/>
    <hyperlink ref="BT175" location="" display="aru.syahputra@gmail.com, aruputra@gmail.com"/>
    <hyperlink ref="BT176" location="" display="zulfadly.3003@yahoo.co.id"/>
    <hyperlink ref="BT66" r:id="rId10" display="agus.michael@gmail.com"/>
    <hyperlink ref="BT179" location="" display="freddy.susanto@gmail.com"/>
    <hyperlink ref="BT181" r:id="rId11" display="dhedik.into@gmail.com"/>
    <hyperlink ref="BT182" r:id="rId12" display="riskitana1314@gmail.com"/>
    <hyperlink ref="BT194" location="" display="joena.dedi@gmail.com       , dedi.junaedi@corphr-nokia.com"/>
    <hyperlink ref="BT195" location="" display="andripratama3@gmail.com       "/>
    <hyperlink ref="BT199" location="" display="supraptomoreno98@gmail.com"/>
    <hyperlink ref="BT70" r:id="rId13" display="adiwibowo.kwr@gmail.com"/>
    <hyperlink ref="BT75" r:id="rId14" display="hansindra@gmail.com"/>
    <hyperlink ref="BT71" r:id="rId15" display="feliks_echo@yahoo.co.id"/>
    <hyperlink ref="BT72" r:id="rId16" display="supraptomoreno98@gmail.com"/>
  </hyperlinks>
  <pageMargins left="0.699305555555556" right="0.699305555555556" top="0.75" bottom="0.75" header="0.3" footer="0.3"/>
  <pageSetup paperSize="1" orientation="landscape"/>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AO20"/>
  <sheetViews>
    <sheetView topLeftCell="B3" workbookViewId="0">
      <pane xSplit="3" ySplit="2" topLeftCell="L5" activePane="bottomRight" state="frozen"/>
      <selection/>
      <selection pane="topRight"/>
      <selection pane="bottomLeft"/>
      <selection pane="bottomRight" activeCell="D5" sqref="D5"/>
    </sheetView>
  </sheetViews>
  <sheetFormatPr defaultColWidth="9" defaultRowHeight="10.5"/>
  <cols>
    <col min="1" max="1" width="9.14166666666667" style="1154"/>
    <col min="2" max="2" width="5.425" style="1154" customWidth="1"/>
    <col min="3" max="3" width="11.7083333333333" style="1154" customWidth="1"/>
    <col min="4" max="4" width="29.1416666666667" style="1154" customWidth="1"/>
    <col min="5" max="5" width="32.425" style="1154" customWidth="1"/>
    <col min="6" max="6" width="3.56666666666667" style="1154" customWidth="1"/>
    <col min="7" max="7" width="6.14166666666667" style="1154" customWidth="1"/>
    <col min="8" max="8" width="7.70833333333333" style="1154" customWidth="1"/>
    <col min="9" max="9" width="16" style="1154" customWidth="1"/>
    <col min="10" max="10" width="12.7083333333333" style="1154" customWidth="1"/>
    <col min="11" max="11" width="21.2833333333333" style="1154" customWidth="1"/>
    <col min="12" max="12" width="10.2833333333333" style="1154" customWidth="1"/>
    <col min="13" max="13" width="10.1416666666667" style="1154" customWidth="1"/>
    <col min="14" max="15" width="9.14166666666667" style="1154" customWidth="1"/>
    <col min="16" max="16" width="7.85833333333333" style="1154" customWidth="1"/>
    <col min="17" max="17" width="10" style="1154" customWidth="1"/>
    <col min="18" max="18" width="12.7083333333333" style="1154" customWidth="1"/>
    <col min="19" max="19" width="13" style="1154" customWidth="1"/>
    <col min="20" max="20" width="12" style="1154" customWidth="1"/>
    <col min="21" max="21" width="10.7083333333333" style="1155" customWidth="1"/>
    <col min="22" max="22" width="11.7083333333333" style="1154" customWidth="1"/>
    <col min="23" max="23" width="8.70833333333333" style="1154" customWidth="1"/>
    <col min="24" max="24" width="10.2833333333333" style="1154" customWidth="1"/>
    <col min="25" max="25" width="13.425" style="1154" customWidth="1"/>
    <col min="26" max="26" width="11.2833333333333" style="1154" customWidth="1"/>
    <col min="27" max="27" width="12.7083333333333" style="1154" customWidth="1"/>
    <col min="28" max="28" width="8.56666666666667" style="1154" customWidth="1"/>
    <col min="29" max="29" width="5.28333333333333" style="1154" customWidth="1"/>
    <col min="30" max="30" width="10.5666666666667" style="1154" customWidth="1"/>
    <col min="31" max="31" width="41.2833333333333" style="1154" customWidth="1"/>
    <col min="32" max="32" width="45.5666666666667" style="1154" customWidth="1"/>
    <col min="33" max="33" width="20.7083333333333" style="1156" customWidth="1"/>
    <col min="34" max="34" width="28.5666666666667" style="1156" customWidth="1"/>
    <col min="35" max="35" width="16.2833333333333" style="1156" customWidth="1"/>
    <col min="36" max="36" width="19.2833333333333" style="1156" customWidth="1"/>
    <col min="37" max="37" width="14.1416666666667" style="1156" customWidth="1"/>
    <col min="38" max="38" width="18.7083333333333" style="1156" customWidth="1"/>
    <col min="39" max="39" width="36" style="1156" customWidth="1"/>
    <col min="40" max="40" width="24.8583333333333" style="1157" customWidth="1"/>
    <col min="41" max="41" width="9.14166666666667" style="1158"/>
    <col min="42" max="42" width="9.14166666666667" style="1154"/>
    <col min="43" max="43" width="18.1416666666667" style="1154" customWidth="1"/>
    <col min="44" max="44" width="36.2833333333333" style="1154" customWidth="1"/>
    <col min="45" max="16384" width="9.14166666666667" style="1154"/>
  </cols>
  <sheetData>
    <row r="2" ht="11.25"/>
    <row r="3" ht="15" customHeight="1" spans="2:40">
      <c r="B3" s="1159" t="s">
        <v>0</v>
      </c>
      <c r="C3" s="1159" t="s">
        <v>1</v>
      </c>
      <c r="D3" s="1159" t="s">
        <v>2</v>
      </c>
      <c r="E3" s="1159" t="s">
        <v>3</v>
      </c>
      <c r="F3" s="1159" t="s">
        <v>4</v>
      </c>
      <c r="G3" s="1159" t="s">
        <v>5</v>
      </c>
      <c r="H3" s="1159" t="s">
        <v>27</v>
      </c>
      <c r="I3" s="1165" t="s">
        <v>6</v>
      </c>
      <c r="J3" s="1165" t="s">
        <v>7</v>
      </c>
      <c r="K3" s="1159" t="s">
        <v>8</v>
      </c>
      <c r="L3" s="1166" t="s">
        <v>9</v>
      </c>
      <c r="M3" s="1170"/>
      <c r="N3" s="1166" t="s">
        <v>10</v>
      </c>
      <c r="O3" s="1171"/>
      <c r="P3" s="1159" t="s">
        <v>14</v>
      </c>
      <c r="Q3" s="1159" t="s">
        <v>15</v>
      </c>
      <c r="R3" s="1172" t="s">
        <v>16</v>
      </c>
      <c r="S3" s="1172" t="s">
        <v>17</v>
      </c>
      <c r="T3" s="1172" t="s">
        <v>4555</v>
      </c>
      <c r="U3" s="1174" t="s">
        <v>3505</v>
      </c>
      <c r="V3" s="1172" t="s">
        <v>4556</v>
      </c>
      <c r="W3" s="1172" t="s">
        <v>4557</v>
      </c>
      <c r="X3" s="1172" t="s">
        <v>4558</v>
      </c>
      <c r="Y3" s="1172" t="s">
        <v>4559</v>
      </c>
      <c r="Z3" s="1172" t="s">
        <v>3507</v>
      </c>
      <c r="AA3" s="1172" t="s">
        <v>22</v>
      </c>
      <c r="AB3" s="1177" t="s">
        <v>25</v>
      </c>
      <c r="AC3" s="1165" t="s">
        <v>26</v>
      </c>
      <c r="AD3" s="1159" t="s">
        <v>27</v>
      </c>
      <c r="AE3" s="1165" t="s">
        <v>15</v>
      </c>
      <c r="AF3" s="1159" t="s">
        <v>28</v>
      </c>
      <c r="AG3" s="1180" t="s">
        <v>29</v>
      </c>
      <c r="AH3" s="1181" t="s">
        <v>30</v>
      </c>
      <c r="AI3" s="1181" t="s">
        <v>31</v>
      </c>
      <c r="AJ3" s="1180" t="s">
        <v>32</v>
      </c>
      <c r="AK3" s="1181" t="s">
        <v>33</v>
      </c>
      <c r="AL3" s="1181" t="s">
        <v>34</v>
      </c>
      <c r="AM3" s="1180" t="s">
        <v>35</v>
      </c>
      <c r="AN3" s="1184" t="s">
        <v>36</v>
      </c>
    </row>
    <row r="4" ht="12" spans="2:40">
      <c r="B4" s="1160"/>
      <c r="C4" s="1161"/>
      <c r="D4" s="1161"/>
      <c r="E4" s="1161"/>
      <c r="F4" s="1161"/>
      <c r="G4" s="1161"/>
      <c r="H4" s="1161"/>
      <c r="I4" s="1167"/>
      <c r="J4" s="1167"/>
      <c r="K4" s="1167"/>
      <c r="L4" s="1168" t="s">
        <v>37</v>
      </c>
      <c r="M4" s="1168" t="s">
        <v>38</v>
      </c>
      <c r="N4" s="1168">
        <v>1</v>
      </c>
      <c r="O4" s="1168">
        <v>2</v>
      </c>
      <c r="P4" s="1161"/>
      <c r="Q4" s="1161"/>
      <c r="R4" s="1173"/>
      <c r="S4" s="1173"/>
      <c r="T4" s="1173"/>
      <c r="U4" s="1175"/>
      <c r="V4" s="1173"/>
      <c r="W4" s="1173"/>
      <c r="X4" s="1173"/>
      <c r="Y4" s="1173"/>
      <c r="Z4" s="1173"/>
      <c r="AA4" s="1173"/>
      <c r="AB4" s="1178"/>
      <c r="AC4" s="1167"/>
      <c r="AD4" s="1167"/>
      <c r="AE4" s="1167"/>
      <c r="AF4" s="1179"/>
      <c r="AG4" s="1182"/>
      <c r="AH4" s="1183"/>
      <c r="AI4" s="1183"/>
      <c r="AJ4" s="1182"/>
      <c r="AK4" s="1183"/>
      <c r="AL4" s="1183"/>
      <c r="AM4" s="1185"/>
      <c r="AN4" s="1186"/>
    </row>
    <row r="5" s="1153" customFormat="1" ht="36.75" spans="2:41">
      <c r="B5" s="1562" t="s">
        <v>39</v>
      </c>
      <c r="C5" s="837"/>
      <c r="D5" s="1162" t="s">
        <v>6538</v>
      </c>
      <c r="E5" s="1043" t="s">
        <v>6679</v>
      </c>
      <c r="F5" s="1043" t="s">
        <v>43</v>
      </c>
      <c r="G5" s="1043" t="s">
        <v>254</v>
      </c>
      <c r="H5" s="1043" t="s">
        <v>254</v>
      </c>
      <c r="I5" s="1049" t="s">
        <v>3089</v>
      </c>
      <c r="J5" s="837"/>
      <c r="K5" s="1049" t="s">
        <v>6680</v>
      </c>
      <c r="L5" s="1169">
        <v>43221</v>
      </c>
      <c r="M5" s="1169">
        <v>43585</v>
      </c>
      <c r="N5" s="1169"/>
      <c r="O5" s="1169"/>
      <c r="P5" s="640">
        <f ca="1">SUM(M5-NOW())</f>
        <v>312.61546296296</v>
      </c>
      <c r="Q5" s="121" t="str">
        <f ca="1" t="shared" ref="Q5" si="0">IF(P5&lt;=40,"WARNING","ACTIVE")</f>
        <v>ACTIVE</v>
      </c>
      <c r="R5" s="1077">
        <v>7000000</v>
      </c>
      <c r="S5" s="1077">
        <v>250000</v>
      </c>
      <c r="T5" s="1078"/>
      <c r="U5" s="1085" t="s">
        <v>583</v>
      </c>
      <c r="V5" s="1078"/>
      <c r="W5" s="1079" t="s">
        <v>583</v>
      </c>
      <c r="X5" s="1079"/>
      <c r="Y5" s="1078">
        <v>1000000</v>
      </c>
      <c r="Z5" s="1078">
        <v>500000</v>
      </c>
      <c r="AA5" s="1078">
        <v>250000</v>
      </c>
      <c r="AB5" s="1049"/>
      <c r="AC5" s="1049"/>
      <c r="AD5" s="1078"/>
      <c r="AE5" s="1049"/>
      <c r="AF5" s="1102" t="s">
        <v>6681</v>
      </c>
      <c r="AG5" s="1102" t="s">
        <v>6543</v>
      </c>
      <c r="AH5" s="1103" t="s">
        <v>6544</v>
      </c>
      <c r="AI5" s="1103"/>
      <c r="AJ5" s="1103" t="s">
        <v>6545</v>
      </c>
      <c r="AK5" s="1103">
        <v>11022513565</v>
      </c>
      <c r="AL5" s="1103" t="s">
        <v>6546</v>
      </c>
      <c r="AM5" s="127" t="s">
        <v>6547</v>
      </c>
      <c r="AN5" s="1187"/>
      <c r="AO5" s="1188"/>
    </row>
    <row r="6" s="1153" customFormat="1" ht="24" spans="2:41">
      <c r="B6" s="1562" t="s">
        <v>56</v>
      </c>
      <c r="C6" s="837"/>
      <c r="D6" s="1162" t="s">
        <v>426</v>
      </c>
      <c r="E6" s="1043" t="s">
        <v>6632</v>
      </c>
      <c r="F6" s="1043" t="s">
        <v>43</v>
      </c>
      <c r="G6" s="1043" t="s">
        <v>96</v>
      </c>
      <c r="H6" s="1043" t="s">
        <v>96</v>
      </c>
      <c r="I6" s="1049" t="s">
        <v>3528</v>
      </c>
      <c r="J6" s="837"/>
      <c r="K6" s="1049" t="s">
        <v>781</v>
      </c>
      <c r="L6" s="1169">
        <v>43221</v>
      </c>
      <c r="M6" s="1169">
        <v>43585</v>
      </c>
      <c r="N6" s="1169"/>
      <c r="O6" s="1169"/>
      <c r="P6" s="640">
        <f ca="1">SUM(M6-NOW())</f>
        <v>312.61546296296</v>
      </c>
      <c r="Q6" s="121" t="str">
        <f ca="1" t="shared" ref="Q6" si="1">IF(P6&lt;=40,"WARNING","ACTIVE")</f>
        <v>ACTIVE</v>
      </c>
      <c r="R6" s="1077">
        <v>5500000</v>
      </c>
      <c r="S6" s="1077">
        <v>250000</v>
      </c>
      <c r="T6" s="1078"/>
      <c r="U6" s="1085" t="s">
        <v>583</v>
      </c>
      <c r="V6" s="1078"/>
      <c r="W6" s="1079" t="s">
        <v>583</v>
      </c>
      <c r="X6" s="1079"/>
      <c r="Y6" s="1078" t="s">
        <v>583</v>
      </c>
      <c r="Z6" s="1078">
        <v>500000</v>
      </c>
      <c r="AA6" s="1078">
        <v>250000</v>
      </c>
      <c r="AB6" s="1049"/>
      <c r="AC6" s="1049"/>
      <c r="AD6" s="1078"/>
      <c r="AE6" s="1049"/>
      <c r="AF6" s="1102" t="s">
        <v>6634</v>
      </c>
      <c r="AG6" s="1102" t="s">
        <v>6635</v>
      </c>
      <c r="AH6" s="1103" t="s">
        <v>6636</v>
      </c>
      <c r="AI6" s="1536" t="s">
        <v>6637</v>
      </c>
      <c r="AJ6" s="1103" t="s">
        <v>6638</v>
      </c>
      <c r="AK6" s="1103"/>
      <c r="AL6" s="1103"/>
      <c r="AM6" s="127" t="s">
        <v>6639</v>
      </c>
      <c r="AN6" s="1187"/>
      <c r="AO6" s="1188"/>
    </row>
    <row r="7" s="1153" customFormat="1" spans="21:41">
      <c r="U7" s="1176"/>
      <c r="AG7" s="1157"/>
      <c r="AH7" s="1157"/>
      <c r="AI7" s="1157"/>
      <c r="AJ7" s="1157"/>
      <c r="AK7" s="1157"/>
      <c r="AL7" s="1157"/>
      <c r="AM7" s="1157"/>
      <c r="AN7" s="1157"/>
      <c r="AO7" s="1188"/>
    </row>
    <row r="8" s="1153" customFormat="1" spans="21:41">
      <c r="U8" s="1176"/>
      <c r="AG8" s="1157"/>
      <c r="AH8" s="1157"/>
      <c r="AI8" s="1157"/>
      <c r="AJ8" s="1157"/>
      <c r="AK8" s="1157"/>
      <c r="AL8" s="1157"/>
      <c r="AM8" s="1157"/>
      <c r="AN8" s="1157"/>
      <c r="AO8" s="1188"/>
    </row>
    <row r="9" s="1153" customFormat="1" spans="21:41">
      <c r="U9" s="1176"/>
      <c r="AG9" s="1157"/>
      <c r="AH9" s="1157"/>
      <c r="AI9" s="1157"/>
      <c r="AJ9" s="1157"/>
      <c r="AK9" s="1157"/>
      <c r="AL9" s="1157"/>
      <c r="AM9" s="1157"/>
      <c r="AN9" s="1157"/>
      <c r="AO9" s="1188"/>
    </row>
    <row r="10" s="1153" customFormat="1" spans="21:41">
      <c r="U10" s="1176"/>
      <c r="AG10" s="1157"/>
      <c r="AH10" s="1157"/>
      <c r="AI10" s="1157"/>
      <c r="AJ10" s="1157"/>
      <c r="AK10" s="1157"/>
      <c r="AL10" s="1157"/>
      <c r="AM10" s="1157"/>
      <c r="AN10" s="1157"/>
      <c r="AO10" s="1188"/>
    </row>
    <row r="11" s="1153" customFormat="1" ht="11.25" spans="21:41">
      <c r="U11" s="1176"/>
      <c r="AG11" s="1157"/>
      <c r="AH11" s="1157"/>
      <c r="AI11" s="1157"/>
      <c r="AJ11" s="1157"/>
      <c r="AK11" s="1157"/>
      <c r="AL11" s="1157"/>
      <c r="AM11" s="1157"/>
      <c r="AN11" s="1157"/>
      <c r="AO11" s="1188"/>
    </row>
    <row r="12" s="1153" customFormat="1" ht="11.25" spans="2:41">
      <c r="B12" s="1163" t="s">
        <v>2552</v>
      </c>
      <c r="C12" s="1164"/>
      <c r="U12" s="1176"/>
      <c r="AG12" s="1157"/>
      <c r="AH12" s="1157"/>
      <c r="AI12" s="1157"/>
      <c r="AJ12" s="1157"/>
      <c r="AK12" s="1157"/>
      <c r="AL12" s="1157"/>
      <c r="AM12" s="1157"/>
      <c r="AN12" s="1157"/>
      <c r="AO12" s="1188"/>
    </row>
    <row r="13" s="1153" customFormat="1" spans="21:41">
      <c r="U13" s="1176"/>
      <c r="AG13" s="1157"/>
      <c r="AH13" s="1157"/>
      <c r="AI13" s="1157"/>
      <c r="AJ13" s="1157"/>
      <c r="AK13" s="1157"/>
      <c r="AL13" s="1157"/>
      <c r="AM13" s="1157"/>
      <c r="AN13" s="1157"/>
      <c r="AO13" s="1188"/>
    </row>
    <row r="14" s="1153" customFormat="1" spans="21:41">
      <c r="U14" s="1176"/>
      <c r="AG14" s="1157"/>
      <c r="AH14" s="1157"/>
      <c r="AI14" s="1157"/>
      <c r="AJ14" s="1157"/>
      <c r="AK14" s="1157"/>
      <c r="AL14" s="1157"/>
      <c r="AM14" s="1157"/>
      <c r="AN14" s="1157"/>
      <c r="AO14" s="1188"/>
    </row>
    <row r="15" s="1153" customFormat="1" spans="21:41">
      <c r="U15" s="1176"/>
      <c r="AG15" s="1157"/>
      <c r="AH15" s="1157"/>
      <c r="AI15" s="1157"/>
      <c r="AJ15" s="1157"/>
      <c r="AK15" s="1157"/>
      <c r="AL15" s="1157"/>
      <c r="AM15" s="1157"/>
      <c r="AN15" s="1157"/>
      <c r="AO15" s="1188"/>
    </row>
    <row r="16" s="1153" customFormat="1" spans="21:41">
      <c r="U16" s="1176"/>
      <c r="AG16" s="1157"/>
      <c r="AH16" s="1157"/>
      <c r="AI16" s="1157"/>
      <c r="AJ16" s="1157"/>
      <c r="AK16" s="1157"/>
      <c r="AL16" s="1157"/>
      <c r="AM16" s="1157"/>
      <c r="AN16" s="1157"/>
      <c r="AO16" s="1188"/>
    </row>
    <row r="17" s="1153" customFormat="1" spans="21:41">
      <c r="U17" s="1176"/>
      <c r="AG17" s="1157"/>
      <c r="AH17" s="1157"/>
      <c r="AI17" s="1157"/>
      <c r="AJ17" s="1157"/>
      <c r="AK17" s="1157"/>
      <c r="AL17" s="1157"/>
      <c r="AM17" s="1157"/>
      <c r="AN17" s="1157"/>
      <c r="AO17" s="1188"/>
    </row>
    <row r="18" s="1153" customFormat="1" spans="21:41">
      <c r="U18" s="1176"/>
      <c r="AG18" s="1157"/>
      <c r="AH18" s="1157"/>
      <c r="AI18" s="1157"/>
      <c r="AJ18" s="1157"/>
      <c r="AK18" s="1157"/>
      <c r="AL18" s="1157"/>
      <c r="AM18" s="1157"/>
      <c r="AN18" s="1157"/>
      <c r="AO18" s="1188"/>
    </row>
    <row r="19" s="1153" customFormat="1" spans="21:41">
      <c r="U19" s="1176"/>
      <c r="AG19" s="1157"/>
      <c r="AH19" s="1157"/>
      <c r="AI19" s="1157"/>
      <c r="AJ19" s="1157"/>
      <c r="AK19" s="1157"/>
      <c r="AL19" s="1157"/>
      <c r="AM19" s="1157"/>
      <c r="AN19" s="1157"/>
      <c r="AO19" s="1188"/>
    </row>
    <row r="20" s="1153" customFormat="1" spans="21:41">
      <c r="U20" s="1176"/>
      <c r="AG20" s="1157"/>
      <c r="AH20" s="1157"/>
      <c r="AI20" s="1157"/>
      <c r="AJ20" s="1157"/>
      <c r="AK20" s="1157"/>
      <c r="AL20" s="1157"/>
      <c r="AM20" s="1157"/>
      <c r="AN20" s="1157"/>
      <c r="AO20" s="1188"/>
    </row>
  </sheetData>
  <mergeCells count="37">
    <mergeCell ref="L3:M3"/>
    <mergeCell ref="N3:O3"/>
    <mergeCell ref="B3:B4"/>
    <mergeCell ref="C3:C4"/>
    <mergeCell ref="D3:D4"/>
    <mergeCell ref="E3:E4"/>
    <mergeCell ref="F3:F4"/>
    <mergeCell ref="G3:G4"/>
    <mergeCell ref="H3:H4"/>
    <mergeCell ref="I3:I4"/>
    <mergeCell ref="J3:J4"/>
    <mergeCell ref="K3:K4"/>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s>
  <conditionalFormatting sqref="Q3:Q4">
    <cfRule type="expression" dxfId="928" priority="1" stopIfTrue="1">
      <formula>NOT(ISERROR(SEARCH("warning",Q3)))</formula>
    </cfRule>
  </conditionalFormatting>
  <conditionalFormatting sqref="Z5">
    <cfRule type="expression" dxfId="929" priority="2" stopIfTrue="1">
      <formula>IF(OR(#REF!="not",#REF!="resign",#REF!="resign",#REF!="end",#REF!="terminated",#REF!="permanent"),"TRUE","FALSE")</formula>
    </cfRule>
  </conditionalFormatting>
  <conditionalFormatting sqref="Z6">
    <cfRule type="expression" dxfId="930" priority="3" stopIfTrue="1">
      <formula>IF(OR(#REF!="not",#REF!="resign",#REF!="resign",#REF!="end",#REF!="terminated",#REF!="permanent"),"TRUE","FALSE")</formula>
    </cfRule>
  </conditionalFormatting>
  <conditionalFormatting sqref="Q5:Q6">
    <cfRule type="expression" dxfId="931" priority="4" stopIfTrue="1">
      <formula>NOT(ISERROR(SEARCH("warning",Q5)))</formula>
    </cfRule>
  </conditionalFormatting>
  <pageMargins left="0.699305555555556" right="0.699305555555556" top="0.75" bottom="0.75" header="0.3" footer="0.3"/>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BJ76"/>
  <sheetViews>
    <sheetView tabSelected="1" zoomScale="85" zoomScaleNormal="85" topLeftCell="B3" workbookViewId="0">
      <pane xSplit="3" ySplit="2" topLeftCell="L17" activePane="bottomRight" state="frozen"/>
      <selection/>
      <selection pane="topRight"/>
      <selection pane="bottomLeft"/>
      <selection pane="bottomRight" activeCell="B17" sqref="B17"/>
    </sheetView>
  </sheetViews>
  <sheetFormatPr defaultColWidth="9" defaultRowHeight="12.75"/>
  <cols>
    <col min="1" max="1" width="9.14166666666667" style="1028"/>
    <col min="2" max="2" width="5.85833333333333" style="1028" customWidth="1"/>
    <col min="3" max="3" width="9.14166666666667" style="1028"/>
    <col min="4" max="4" width="21.5666666666667" style="1028" customWidth="1"/>
    <col min="5" max="5" width="28" style="1028" customWidth="1"/>
    <col min="6" max="6" width="3.56666666666667" style="1028" customWidth="1"/>
    <col min="7" max="7" width="5.56666666666667" style="1028" customWidth="1"/>
    <col min="8" max="8" width="7.425" style="1028" customWidth="1"/>
    <col min="9" max="9" width="16.2833333333333" style="1028" customWidth="1"/>
    <col min="10" max="10" width="8.14166666666667" style="1028" customWidth="1"/>
    <col min="11" max="11" width="26.8583333333333" style="1028" customWidth="1"/>
    <col min="12" max="12" width="9.85833333333333" style="1028" customWidth="1"/>
    <col min="13" max="13" width="11.425" style="1028" customWidth="1"/>
    <col min="14" max="14" width="8.56666666666667" style="1028" customWidth="1"/>
    <col min="15" max="15" width="9.14166666666667" style="1028" customWidth="1"/>
    <col min="16" max="16" width="8.70833333333333" style="1028" customWidth="1"/>
    <col min="17" max="17" width="9.14166666666667" style="1028" customWidth="1"/>
    <col min="18" max="18" width="9.70833333333333" style="1028" customWidth="1"/>
    <col min="19" max="19" width="8.56666666666667" style="1028" customWidth="1"/>
    <col min="20" max="21" width="8.425" style="1028" customWidth="1"/>
    <col min="22" max="22" width="8.70833333333333" style="1028" customWidth="1"/>
    <col min="23" max="24" width="8.425" style="1028" customWidth="1"/>
    <col min="25" max="25" width="8.56666666666667" style="1028" customWidth="1"/>
    <col min="26" max="26" width="8.70833333333333" style="1028" customWidth="1"/>
    <col min="27" max="27" width="8.56666666666667" style="1028" customWidth="1"/>
    <col min="28" max="28" width="8.425" style="1028" customWidth="1"/>
    <col min="29" max="34" width="8.28333333333333" style="1028" customWidth="1"/>
    <col min="35" max="35" width="8.425" style="1028" customWidth="1"/>
    <col min="36" max="36" width="9.56666666666667" style="1028" customWidth="1"/>
    <col min="37" max="37" width="10" style="1028" customWidth="1"/>
    <col min="38" max="38" width="9.28333333333333" style="1028" customWidth="1"/>
    <col min="39" max="39" width="10.7083333333333" style="1028" customWidth="1"/>
    <col min="40" max="40" width="13.425" style="1028" customWidth="1"/>
    <col min="41" max="41" width="11.5666666666667" style="1028" customWidth="1"/>
    <col min="42" max="42" width="7.85833333333333" style="1028" customWidth="1"/>
    <col min="43" max="43" width="9.85833333333333" style="1028" customWidth="1"/>
    <col min="44" max="44" width="9.70833333333333" style="1028" customWidth="1"/>
    <col min="45" max="45" width="9.14166666666667" style="1028" customWidth="1"/>
    <col min="46" max="46" width="8.70833333333333" style="1028" customWidth="1"/>
    <col min="47" max="47" width="7.425" style="1028" customWidth="1"/>
    <col min="48" max="48" width="34.8583333333333" style="1028" customWidth="1"/>
    <col min="49" max="49" width="25" style="1028" customWidth="1"/>
    <col min="50" max="50" width="35.7083333333333" style="1028" customWidth="1"/>
    <col min="51" max="51" width="17.1416666666667" style="1029" customWidth="1"/>
    <col min="52" max="52" width="22.5666666666667" style="1029" customWidth="1"/>
    <col min="53" max="53" width="15.8583333333333" style="1029" customWidth="1"/>
    <col min="54" max="54" width="16.2833333333333" style="1029" customWidth="1"/>
    <col min="55" max="55" width="10.7083333333333" style="1029" customWidth="1"/>
    <col min="56" max="56" width="15.5666666666667" style="1029" customWidth="1"/>
    <col min="57" max="57" width="32" style="1029" customWidth="1"/>
    <col min="58" max="58" width="18.1416666666667" style="1030" customWidth="1"/>
    <col min="59" max="59" width="23.2833333333333" style="1028" customWidth="1"/>
    <col min="60" max="60" width="25" style="1028" customWidth="1"/>
    <col min="61" max="61" width="9.85833333333333" style="1028" customWidth="1"/>
    <col min="62" max="16384" width="9.14166666666667" style="1028"/>
  </cols>
  <sheetData>
    <row r="3" ht="13.5" spans="2:59">
      <c r="B3" s="908" t="s">
        <v>0</v>
      </c>
      <c r="C3" s="908" t="s">
        <v>1</v>
      </c>
      <c r="D3" s="908" t="s">
        <v>2</v>
      </c>
      <c r="E3" s="908" t="s">
        <v>3</v>
      </c>
      <c r="F3" s="908" t="s">
        <v>4</v>
      </c>
      <c r="G3" s="1040" t="s">
        <v>5</v>
      </c>
      <c r="H3" s="908" t="s">
        <v>27</v>
      </c>
      <c r="I3" s="908" t="s">
        <v>6</v>
      </c>
      <c r="J3" s="908" t="s">
        <v>7</v>
      </c>
      <c r="K3" s="908" t="s">
        <v>8</v>
      </c>
      <c r="L3" s="929" t="s">
        <v>9</v>
      </c>
      <c r="M3" s="930"/>
      <c r="N3" s="929" t="s">
        <v>10</v>
      </c>
      <c r="O3" s="982"/>
      <c r="P3" s="982"/>
      <c r="Q3" s="982"/>
      <c r="R3" s="982"/>
      <c r="S3" s="930"/>
      <c r="T3" s="929" t="s">
        <v>11</v>
      </c>
      <c r="U3" s="930"/>
      <c r="V3" s="929" t="s">
        <v>10</v>
      </c>
      <c r="W3" s="982"/>
      <c r="X3" s="930"/>
      <c r="Y3" s="939" t="s">
        <v>4811</v>
      </c>
      <c r="Z3" s="940"/>
      <c r="AA3" s="929" t="s">
        <v>13</v>
      </c>
      <c r="AB3" s="930"/>
      <c r="AC3" s="929" t="s">
        <v>10</v>
      </c>
      <c r="AD3" s="982"/>
      <c r="AE3" s="930"/>
      <c r="AF3" s="939" t="s">
        <v>4811</v>
      </c>
      <c r="AG3" s="940"/>
      <c r="AH3" s="937"/>
      <c r="AI3" s="908" t="s">
        <v>14</v>
      </c>
      <c r="AJ3" s="908" t="s">
        <v>15</v>
      </c>
      <c r="AK3" s="943" t="s">
        <v>16</v>
      </c>
      <c r="AL3" s="943" t="s">
        <v>17</v>
      </c>
      <c r="AM3" s="943" t="s">
        <v>4555</v>
      </c>
      <c r="AN3" s="943" t="s">
        <v>4812</v>
      </c>
      <c r="AO3" s="943" t="s">
        <v>3506</v>
      </c>
      <c r="AP3" s="943" t="s">
        <v>3507</v>
      </c>
      <c r="AQ3" s="943" t="s">
        <v>3503</v>
      </c>
      <c r="AR3" s="1089" t="s">
        <v>6682</v>
      </c>
      <c r="AS3" s="908" t="s">
        <v>25</v>
      </c>
      <c r="AT3" s="908" t="s">
        <v>26</v>
      </c>
      <c r="AU3" s="908" t="s">
        <v>27</v>
      </c>
      <c r="AV3" s="908" t="s">
        <v>15</v>
      </c>
      <c r="AW3" s="908" t="s">
        <v>3509</v>
      </c>
      <c r="AX3" s="908" t="s">
        <v>28</v>
      </c>
      <c r="AY3" s="1097" t="s">
        <v>29</v>
      </c>
      <c r="AZ3" s="1097" t="s">
        <v>30</v>
      </c>
      <c r="BA3" s="1097" t="s">
        <v>31</v>
      </c>
      <c r="BB3" s="1097" t="s">
        <v>32</v>
      </c>
      <c r="BC3" s="1097" t="s">
        <v>33</v>
      </c>
      <c r="BD3" s="1097" t="s">
        <v>34</v>
      </c>
      <c r="BE3" s="1097" t="s">
        <v>35</v>
      </c>
      <c r="BF3" s="1112" t="s">
        <v>36</v>
      </c>
      <c r="BG3" s="1018" t="s">
        <v>6683</v>
      </c>
    </row>
    <row r="4" ht="13.5" spans="2:59">
      <c r="B4" s="909"/>
      <c r="C4" s="910"/>
      <c r="D4" s="910"/>
      <c r="E4" s="910"/>
      <c r="F4" s="910"/>
      <c r="G4" s="1041"/>
      <c r="H4" s="910"/>
      <c r="I4" s="909"/>
      <c r="J4" s="909"/>
      <c r="K4" s="910"/>
      <c r="L4" s="931" t="s">
        <v>37</v>
      </c>
      <c r="M4" s="931" t="s">
        <v>38</v>
      </c>
      <c r="N4" s="931">
        <v>1</v>
      </c>
      <c r="O4" s="931">
        <v>2</v>
      </c>
      <c r="P4" s="931">
        <v>3</v>
      </c>
      <c r="Q4" s="931">
        <v>4</v>
      </c>
      <c r="R4" s="931">
        <v>5</v>
      </c>
      <c r="S4" s="931">
        <v>6</v>
      </c>
      <c r="T4" s="931" t="s">
        <v>37</v>
      </c>
      <c r="U4" s="931" t="s">
        <v>38</v>
      </c>
      <c r="V4" s="931">
        <v>1</v>
      </c>
      <c r="W4" s="931">
        <v>2</v>
      </c>
      <c r="X4" s="990">
        <v>3</v>
      </c>
      <c r="Y4" s="1064" t="s">
        <v>37</v>
      </c>
      <c r="Z4" s="1064" t="s">
        <v>4813</v>
      </c>
      <c r="AA4" s="931" t="s">
        <v>37</v>
      </c>
      <c r="AB4" s="931" t="s">
        <v>38</v>
      </c>
      <c r="AC4" s="990">
        <v>1</v>
      </c>
      <c r="AD4" s="990">
        <v>2</v>
      </c>
      <c r="AE4" s="990">
        <v>3</v>
      </c>
      <c r="AF4" s="1064" t="s">
        <v>37</v>
      </c>
      <c r="AG4" s="1064" t="s">
        <v>4813</v>
      </c>
      <c r="AH4" s="990"/>
      <c r="AI4" s="910"/>
      <c r="AJ4" s="910"/>
      <c r="AK4" s="944"/>
      <c r="AL4" s="944"/>
      <c r="AM4" s="944"/>
      <c r="AN4" s="1069"/>
      <c r="AO4" s="1090"/>
      <c r="AP4" s="944"/>
      <c r="AQ4" s="1091"/>
      <c r="AR4" s="1092"/>
      <c r="AS4" s="909"/>
      <c r="AT4" s="909"/>
      <c r="AU4" s="909"/>
      <c r="AV4" s="909"/>
      <c r="AW4" s="909"/>
      <c r="AX4" s="909"/>
      <c r="AY4" s="1098"/>
      <c r="AZ4" s="1098"/>
      <c r="BA4" s="1098"/>
      <c r="BB4" s="1098"/>
      <c r="BC4" s="1098"/>
      <c r="BD4" s="1098"/>
      <c r="BE4" s="1098"/>
      <c r="BF4" s="1113"/>
      <c r="BG4" s="1019"/>
    </row>
    <row r="5" s="871" customFormat="1" ht="26.25" spans="2:61">
      <c r="B5" s="1551" t="s">
        <v>39</v>
      </c>
      <c r="C5" s="914" t="s">
        <v>6684</v>
      </c>
      <c r="D5" s="912" t="s">
        <v>6685</v>
      </c>
      <c r="E5" s="920">
        <v>29554</v>
      </c>
      <c r="F5" s="920" t="s">
        <v>125</v>
      </c>
      <c r="G5" s="920" t="s">
        <v>60</v>
      </c>
      <c r="H5" s="920" t="s">
        <v>6686</v>
      </c>
      <c r="I5" s="925" t="s">
        <v>3528</v>
      </c>
      <c r="J5" s="925" t="s">
        <v>6687</v>
      </c>
      <c r="K5" s="912" t="s">
        <v>6688</v>
      </c>
      <c r="L5" s="926">
        <v>41640</v>
      </c>
      <c r="M5" s="926">
        <v>42004</v>
      </c>
      <c r="N5" s="926">
        <v>42369</v>
      </c>
      <c r="O5" s="926"/>
      <c r="P5" s="926"/>
      <c r="Q5" s="926"/>
      <c r="R5" s="926"/>
      <c r="S5" s="926"/>
      <c r="T5" s="926">
        <v>42370</v>
      </c>
      <c r="U5" s="926">
        <v>42735</v>
      </c>
      <c r="V5" s="926"/>
      <c r="W5" s="926"/>
      <c r="X5" s="936"/>
      <c r="Y5" s="936">
        <v>42736</v>
      </c>
      <c r="Z5" s="936">
        <v>42766</v>
      </c>
      <c r="AA5" s="936">
        <v>42767</v>
      </c>
      <c r="AB5" s="936">
        <v>43100</v>
      </c>
      <c r="AC5" s="936">
        <v>43190</v>
      </c>
      <c r="AD5" s="992">
        <v>43465</v>
      </c>
      <c r="AE5" s="936"/>
      <c r="AF5" s="936"/>
      <c r="AG5" s="936"/>
      <c r="AH5" s="936"/>
      <c r="AI5" s="640">
        <f ca="1" t="shared" ref="AI5:AI8" si="0">SUM(AD5-NOW())</f>
        <v>192.61546296296</v>
      </c>
      <c r="AJ5" s="121" t="str">
        <f ca="1" t="shared" ref="AJ5:AJ37" si="1">IF(AI5&lt;=40,"WARNING","ACTIVE")</f>
        <v>ACTIVE</v>
      </c>
      <c r="AK5" s="946">
        <v>5440010</v>
      </c>
      <c r="AL5" s="946">
        <v>250000</v>
      </c>
      <c r="AM5" s="946"/>
      <c r="AN5" s="946"/>
      <c r="AO5" s="946"/>
      <c r="AP5" s="946">
        <v>750000</v>
      </c>
      <c r="AQ5" s="946"/>
      <c r="AR5" s="946"/>
      <c r="AS5" s="946">
        <v>628903</v>
      </c>
      <c r="AT5" s="956" t="s">
        <v>48</v>
      </c>
      <c r="AU5" s="956" t="s">
        <v>48</v>
      </c>
      <c r="AV5" s="925"/>
      <c r="AW5" s="925"/>
      <c r="AX5" s="285" t="s">
        <v>6689</v>
      </c>
      <c r="AY5" s="961" t="s">
        <v>6690</v>
      </c>
      <c r="AZ5" s="961" t="s">
        <v>6691</v>
      </c>
      <c r="BA5" s="1537" t="s">
        <v>6692</v>
      </c>
      <c r="BB5" s="961" t="s">
        <v>6693</v>
      </c>
      <c r="BC5" s="961">
        <v>11022667684</v>
      </c>
      <c r="BD5" s="961" t="s">
        <v>4713</v>
      </c>
      <c r="BE5" s="961" t="s">
        <v>6694</v>
      </c>
      <c r="BF5" s="967"/>
      <c r="BG5" s="1020" t="s">
        <v>6695</v>
      </c>
      <c r="BH5" s="1114">
        <v>43190</v>
      </c>
      <c r="BI5" s="906"/>
    </row>
    <row r="6" s="871" customFormat="1" ht="25.5" spans="2:61">
      <c r="B6" s="1551" t="s">
        <v>56</v>
      </c>
      <c r="C6" s="914" t="s">
        <v>6696</v>
      </c>
      <c r="D6" s="912" t="s">
        <v>6697</v>
      </c>
      <c r="E6" s="920" t="s">
        <v>6698</v>
      </c>
      <c r="F6" s="920" t="s">
        <v>125</v>
      </c>
      <c r="G6" s="920" t="s">
        <v>254</v>
      </c>
      <c r="H6" s="920" t="s">
        <v>6686</v>
      </c>
      <c r="I6" s="925" t="s">
        <v>3528</v>
      </c>
      <c r="J6" s="925" t="s">
        <v>6687</v>
      </c>
      <c r="K6" s="912" t="s">
        <v>6688</v>
      </c>
      <c r="L6" s="926">
        <v>41640</v>
      </c>
      <c r="M6" s="926">
        <v>41820</v>
      </c>
      <c r="N6" s="926">
        <v>42004</v>
      </c>
      <c r="O6" s="926">
        <v>42369</v>
      </c>
      <c r="P6" s="926"/>
      <c r="Q6" s="926"/>
      <c r="R6" s="926"/>
      <c r="S6" s="926"/>
      <c r="T6" s="926">
        <v>42370</v>
      </c>
      <c r="U6" s="926">
        <v>42735</v>
      </c>
      <c r="V6" s="926"/>
      <c r="W6" s="926"/>
      <c r="X6" s="936"/>
      <c r="Y6" s="936">
        <v>42736</v>
      </c>
      <c r="Z6" s="936">
        <v>42766</v>
      </c>
      <c r="AA6" s="936">
        <v>42767</v>
      </c>
      <c r="AB6" s="936">
        <v>43100</v>
      </c>
      <c r="AC6" s="936">
        <v>43190</v>
      </c>
      <c r="AD6" s="992">
        <v>43465</v>
      </c>
      <c r="AE6" s="936"/>
      <c r="AF6" s="936"/>
      <c r="AG6" s="936"/>
      <c r="AH6" s="936"/>
      <c r="AI6" s="640">
        <f ca="1" t="shared" si="0"/>
        <v>192.61546296296</v>
      </c>
      <c r="AJ6" s="121" t="str">
        <f ca="1" t="shared" si="1"/>
        <v>ACTIVE</v>
      </c>
      <c r="AK6" s="946">
        <v>5700000</v>
      </c>
      <c r="AL6" s="946">
        <v>250000</v>
      </c>
      <c r="AM6" s="946"/>
      <c r="AN6" s="946"/>
      <c r="AO6" s="946"/>
      <c r="AP6" s="946">
        <v>750000</v>
      </c>
      <c r="AQ6" s="946"/>
      <c r="AR6" s="946"/>
      <c r="AS6" s="946">
        <v>658960</v>
      </c>
      <c r="AT6" s="956" t="s">
        <v>48</v>
      </c>
      <c r="AU6" s="956" t="s">
        <v>48</v>
      </c>
      <c r="AV6" s="925"/>
      <c r="AW6" s="925"/>
      <c r="AX6" s="285" t="s">
        <v>6699</v>
      </c>
      <c r="AY6" s="961" t="s">
        <v>6700</v>
      </c>
      <c r="AZ6" s="961" t="s">
        <v>6701</v>
      </c>
      <c r="BA6" s="1537" t="s">
        <v>6702</v>
      </c>
      <c r="BB6" s="961" t="s">
        <v>6703</v>
      </c>
      <c r="BC6" s="961">
        <v>11027795670</v>
      </c>
      <c r="BD6" s="961" t="s">
        <v>6704</v>
      </c>
      <c r="BE6" s="961" t="s">
        <v>6705</v>
      </c>
      <c r="BF6" s="967"/>
      <c r="BG6" s="1020" t="s">
        <v>6695</v>
      </c>
      <c r="BH6" s="1114">
        <v>43190</v>
      </c>
      <c r="BI6" s="906"/>
    </row>
    <row r="7" s="971" customFormat="1" ht="31.5" spans="2:61">
      <c r="B7" s="1551" t="s">
        <v>68</v>
      </c>
      <c r="C7" s="1031" t="s">
        <v>6706</v>
      </c>
      <c r="D7" s="919" t="s">
        <v>6707</v>
      </c>
      <c r="E7" s="923" t="s">
        <v>6708</v>
      </c>
      <c r="F7" s="923" t="s">
        <v>43</v>
      </c>
      <c r="G7" s="923" t="s">
        <v>1110</v>
      </c>
      <c r="H7" s="923" t="s">
        <v>1110</v>
      </c>
      <c r="I7" s="927" t="s">
        <v>3528</v>
      </c>
      <c r="J7" s="927" t="s">
        <v>6687</v>
      </c>
      <c r="K7" s="919" t="s">
        <v>6709</v>
      </c>
      <c r="L7" s="928">
        <v>42026</v>
      </c>
      <c r="M7" s="928">
        <v>42216</v>
      </c>
      <c r="N7" s="928">
        <v>42369</v>
      </c>
      <c r="O7" s="928">
        <v>42735</v>
      </c>
      <c r="P7" s="928">
        <v>42756</v>
      </c>
      <c r="Q7" s="928"/>
      <c r="R7" s="928"/>
      <c r="S7" s="928"/>
      <c r="T7" s="928">
        <v>42757</v>
      </c>
      <c r="U7" s="928">
        <v>43100</v>
      </c>
      <c r="V7" s="928">
        <v>43121</v>
      </c>
      <c r="W7" s="928"/>
      <c r="X7" s="942"/>
      <c r="Y7" s="942">
        <v>43122</v>
      </c>
      <c r="Z7" s="942">
        <v>43152</v>
      </c>
      <c r="AA7" s="942">
        <v>43153</v>
      </c>
      <c r="AB7" s="942">
        <v>43190</v>
      </c>
      <c r="AC7" s="1066">
        <v>43281</v>
      </c>
      <c r="AD7" s="942"/>
      <c r="AE7" s="942"/>
      <c r="AF7" s="942"/>
      <c r="AG7" s="942"/>
      <c r="AH7" s="936"/>
      <c r="AI7" s="641">
        <f ca="1">SUM(AC7-NOW())</f>
        <v>8.61546296296001</v>
      </c>
      <c r="AJ7" s="187" t="str">
        <f ca="1" t="shared" si="1"/>
        <v>WARNING</v>
      </c>
      <c r="AK7" s="1070">
        <v>7150000</v>
      </c>
      <c r="AL7" s="1070"/>
      <c r="AM7" s="1070"/>
      <c r="AN7" s="1070"/>
      <c r="AO7" s="1070"/>
      <c r="AP7" s="1070"/>
      <c r="AQ7" s="1070"/>
      <c r="AR7" s="1070"/>
      <c r="AS7" s="1070" t="s">
        <v>0</v>
      </c>
      <c r="AT7" s="960" t="s">
        <v>48</v>
      </c>
      <c r="AU7" s="960" t="s">
        <v>48</v>
      </c>
      <c r="AV7" s="927" t="s">
        <v>6710</v>
      </c>
      <c r="AW7" s="927"/>
      <c r="AX7" s="290" t="s">
        <v>6711</v>
      </c>
      <c r="AY7" s="962" t="s">
        <v>6712</v>
      </c>
      <c r="AZ7" s="962" t="s">
        <v>6713</v>
      </c>
      <c r="BA7" s="962"/>
      <c r="BB7" s="962" t="s">
        <v>6714</v>
      </c>
      <c r="BC7" s="962" t="s">
        <v>6715</v>
      </c>
      <c r="BD7" s="962" t="s">
        <v>6716</v>
      </c>
      <c r="BE7" s="962" t="s">
        <v>6717</v>
      </c>
      <c r="BF7" s="1115" t="s">
        <v>6718</v>
      </c>
      <c r="BG7" s="1116" t="s">
        <v>6695</v>
      </c>
      <c r="BH7" s="1117">
        <v>43190</v>
      </c>
      <c r="BI7" s="970"/>
    </row>
    <row r="8" s="871" customFormat="1" ht="25.5" spans="2:61">
      <c r="B8" s="1551" t="s">
        <v>78</v>
      </c>
      <c r="C8" s="914" t="s">
        <v>6719</v>
      </c>
      <c r="D8" s="912" t="s">
        <v>6720</v>
      </c>
      <c r="E8" s="920">
        <v>28333</v>
      </c>
      <c r="F8" s="920" t="s">
        <v>125</v>
      </c>
      <c r="G8" s="920" t="s">
        <v>96</v>
      </c>
      <c r="H8" s="920" t="s">
        <v>6686</v>
      </c>
      <c r="I8" s="925" t="s">
        <v>3528</v>
      </c>
      <c r="J8" s="925" t="s">
        <v>6687</v>
      </c>
      <c r="K8" s="912" t="s">
        <v>6688</v>
      </c>
      <c r="L8" s="926">
        <v>41640</v>
      </c>
      <c r="M8" s="926">
        <v>41820</v>
      </c>
      <c r="N8" s="926">
        <v>42004</v>
      </c>
      <c r="O8" s="926">
        <v>42369</v>
      </c>
      <c r="P8" s="926"/>
      <c r="Q8" s="926"/>
      <c r="R8" s="926"/>
      <c r="S8" s="926"/>
      <c r="T8" s="926">
        <v>42370</v>
      </c>
      <c r="U8" s="926">
        <v>42735</v>
      </c>
      <c r="V8" s="926"/>
      <c r="W8" s="926"/>
      <c r="X8" s="936"/>
      <c r="Y8" s="936">
        <v>42736</v>
      </c>
      <c r="Z8" s="936">
        <v>42766</v>
      </c>
      <c r="AA8" s="936">
        <v>42767</v>
      </c>
      <c r="AB8" s="936">
        <v>43100</v>
      </c>
      <c r="AC8" s="936">
        <v>43190</v>
      </c>
      <c r="AD8" s="992">
        <v>43465</v>
      </c>
      <c r="AE8" s="936"/>
      <c r="AF8" s="936"/>
      <c r="AG8" s="936"/>
      <c r="AH8" s="936"/>
      <c r="AI8" s="640">
        <f ca="1" t="shared" si="0"/>
        <v>192.61546296296</v>
      </c>
      <c r="AJ8" s="121" t="str">
        <f ca="1" t="shared" si="1"/>
        <v>ACTIVE</v>
      </c>
      <c r="AK8" s="946">
        <v>3355750</v>
      </c>
      <c r="AL8" s="946">
        <v>0</v>
      </c>
      <c r="AM8" s="946">
        <v>0</v>
      </c>
      <c r="AN8" s="946"/>
      <c r="AO8" s="946"/>
      <c r="AP8" s="946">
        <v>0</v>
      </c>
      <c r="AQ8" s="946"/>
      <c r="AR8" s="946"/>
      <c r="AS8" s="946" t="s">
        <v>0</v>
      </c>
      <c r="AT8" s="956" t="s">
        <v>48</v>
      </c>
      <c r="AU8" s="956" t="s">
        <v>48</v>
      </c>
      <c r="AV8" s="925" t="s">
        <v>6721</v>
      </c>
      <c r="AW8" s="925"/>
      <c r="AX8" s="285" t="s">
        <v>6722</v>
      </c>
      <c r="AY8" s="961" t="s">
        <v>6723</v>
      </c>
      <c r="AZ8" s="961" t="s">
        <v>6724</v>
      </c>
      <c r="BA8" s="961"/>
      <c r="BB8" s="961" t="s">
        <v>6725</v>
      </c>
      <c r="BC8" s="961"/>
      <c r="BD8" s="961" t="s">
        <v>6726</v>
      </c>
      <c r="BE8" s="961" t="s">
        <v>6727</v>
      </c>
      <c r="BF8" s="967"/>
      <c r="BG8" s="1020" t="s">
        <v>6695</v>
      </c>
      <c r="BH8" s="1114">
        <v>43190</v>
      </c>
      <c r="BI8" s="906"/>
    </row>
    <row r="9" s="871" customFormat="1" ht="31.5" spans="2:61">
      <c r="B9" s="1551" t="s">
        <v>92</v>
      </c>
      <c r="C9" s="914" t="s">
        <v>6728</v>
      </c>
      <c r="D9" s="912" t="s">
        <v>6729</v>
      </c>
      <c r="E9" s="920" t="s">
        <v>6730</v>
      </c>
      <c r="F9" s="920" t="s">
        <v>125</v>
      </c>
      <c r="G9" s="920" t="s">
        <v>254</v>
      </c>
      <c r="H9" s="920" t="s">
        <v>254</v>
      </c>
      <c r="I9" s="925" t="s">
        <v>3528</v>
      </c>
      <c r="J9" s="925" t="s">
        <v>6687</v>
      </c>
      <c r="K9" s="912" t="s">
        <v>4766</v>
      </c>
      <c r="L9" s="926">
        <v>42268</v>
      </c>
      <c r="M9" s="926">
        <v>42369</v>
      </c>
      <c r="N9" s="926">
        <v>42735</v>
      </c>
      <c r="O9" s="926">
        <v>42998</v>
      </c>
      <c r="P9" s="926"/>
      <c r="Q9" s="926"/>
      <c r="R9" s="926"/>
      <c r="S9" s="926"/>
      <c r="T9" s="926">
        <v>42999</v>
      </c>
      <c r="U9" s="926">
        <v>43100</v>
      </c>
      <c r="V9" s="936">
        <v>43190</v>
      </c>
      <c r="W9" s="1053">
        <v>43281</v>
      </c>
      <c r="X9" s="1063">
        <v>43363</v>
      </c>
      <c r="Y9" s="936">
        <v>43364</v>
      </c>
      <c r="Z9" s="991">
        <v>43393</v>
      </c>
      <c r="AA9" s="936">
        <v>43394</v>
      </c>
      <c r="AB9" s="991">
        <v>43465</v>
      </c>
      <c r="AC9" s="936"/>
      <c r="AD9" s="936"/>
      <c r="AE9" s="936"/>
      <c r="AF9" s="936"/>
      <c r="AG9" s="936"/>
      <c r="AH9" s="936"/>
      <c r="AI9" s="640">
        <f ca="1">SUM(AB9-NOW())</f>
        <v>192.61546296296</v>
      </c>
      <c r="AJ9" s="121" t="str">
        <f ca="1" t="shared" si="1"/>
        <v>ACTIVE</v>
      </c>
      <c r="AK9" s="946">
        <v>4500000</v>
      </c>
      <c r="AL9" s="946">
        <v>250000</v>
      </c>
      <c r="AM9" s="946"/>
      <c r="AN9" s="946"/>
      <c r="AO9" s="946">
        <v>100000</v>
      </c>
      <c r="AP9" s="946">
        <v>500000</v>
      </c>
      <c r="AQ9" s="946"/>
      <c r="AR9" s="946"/>
      <c r="AS9" s="946">
        <v>390173</v>
      </c>
      <c r="AT9" s="956" t="s">
        <v>48</v>
      </c>
      <c r="AU9" s="956" t="s">
        <v>48</v>
      </c>
      <c r="AV9" s="925" t="s">
        <v>6731</v>
      </c>
      <c r="AW9" s="925"/>
      <c r="AX9" s="285" t="s">
        <v>6732</v>
      </c>
      <c r="AY9" s="961">
        <v>81555999577</v>
      </c>
      <c r="AZ9" s="961" t="s">
        <v>6733</v>
      </c>
      <c r="BA9" s="1537" t="s">
        <v>6734</v>
      </c>
      <c r="BB9" s="961" t="s">
        <v>6735</v>
      </c>
      <c r="BC9" s="961" t="s">
        <v>2574</v>
      </c>
      <c r="BD9" s="961" t="s">
        <v>6736</v>
      </c>
      <c r="BE9" s="961" t="s">
        <v>6737</v>
      </c>
      <c r="BF9" s="967"/>
      <c r="BG9" s="1020" t="s">
        <v>6695</v>
      </c>
      <c r="BH9" s="1114">
        <v>43281</v>
      </c>
      <c r="BI9" s="906"/>
    </row>
    <row r="10" s="871" customFormat="1" ht="25.5" spans="2:61">
      <c r="B10" s="1551" t="s">
        <v>107</v>
      </c>
      <c r="C10" s="914" t="s">
        <v>6738</v>
      </c>
      <c r="D10" s="912" t="s">
        <v>6739</v>
      </c>
      <c r="E10" s="920">
        <v>29819</v>
      </c>
      <c r="F10" s="920" t="s">
        <v>125</v>
      </c>
      <c r="G10" s="920" t="s">
        <v>44</v>
      </c>
      <c r="H10" s="920" t="s">
        <v>44</v>
      </c>
      <c r="I10" s="925" t="s">
        <v>6740</v>
      </c>
      <c r="J10" s="925" t="s">
        <v>6741</v>
      </c>
      <c r="K10" s="912" t="s">
        <v>4922</v>
      </c>
      <c r="L10" s="926">
        <v>41593</v>
      </c>
      <c r="M10" s="926">
        <v>42004</v>
      </c>
      <c r="N10" s="926">
        <v>42185</v>
      </c>
      <c r="O10" s="926">
        <v>42369</v>
      </c>
      <c r="P10" s="926"/>
      <c r="Q10" s="926"/>
      <c r="R10" s="926"/>
      <c r="S10" s="926"/>
      <c r="T10" s="926">
        <v>42370</v>
      </c>
      <c r="U10" s="926">
        <v>42735</v>
      </c>
      <c r="V10" s="926">
        <v>42688</v>
      </c>
      <c r="W10" s="926"/>
      <c r="X10" s="936"/>
      <c r="Y10" s="936">
        <v>42689</v>
      </c>
      <c r="Z10" s="936">
        <v>42718</v>
      </c>
      <c r="AA10" s="936">
        <v>42719</v>
      </c>
      <c r="AB10" s="936">
        <v>43100</v>
      </c>
      <c r="AC10" s="936">
        <v>43190</v>
      </c>
      <c r="AD10" s="936">
        <v>43404</v>
      </c>
      <c r="AE10" s="936"/>
      <c r="AF10" s="936">
        <v>43405</v>
      </c>
      <c r="AG10" s="936">
        <v>43465</v>
      </c>
      <c r="AH10" s="936"/>
      <c r="AI10" s="640">
        <f ca="1" t="shared" ref="AI10:AI13" si="2">SUM(AG10-NOW())</f>
        <v>192.61546296296</v>
      </c>
      <c r="AJ10" s="121" t="str">
        <f ca="1" t="shared" si="1"/>
        <v>ACTIVE</v>
      </c>
      <c r="AK10" s="946">
        <v>5698645</v>
      </c>
      <c r="AL10" s="946">
        <v>250000</v>
      </c>
      <c r="AM10" s="946">
        <v>0</v>
      </c>
      <c r="AN10" s="946"/>
      <c r="AO10" s="946"/>
      <c r="AP10" s="946">
        <v>500000</v>
      </c>
      <c r="AQ10" s="946"/>
      <c r="AR10" s="946"/>
      <c r="AS10" s="946" t="s">
        <v>4850</v>
      </c>
      <c r="AT10" s="956" t="s">
        <v>48</v>
      </c>
      <c r="AU10" s="956" t="s">
        <v>48</v>
      </c>
      <c r="AV10" s="925" t="s">
        <v>6742</v>
      </c>
      <c r="AW10" s="925"/>
      <c r="AX10" s="285" t="s">
        <v>6743</v>
      </c>
      <c r="AY10" s="961">
        <v>81345904321</v>
      </c>
      <c r="AZ10" s="961" t="s">
        <v>6744</v>
      </c>
      <c r="BA10" s="961"/>
      <c r="BB10" s="961" t="s">
        <v>6745</v>
      </c>
      <c r="BC10" s="961">
        <v>8026814775</v>
      </c>
      <c r="BD10" s="961" t="s">
        <v>4713</v>
      </c>
      <c r="BE10" s="961" t="s">
        <v>6746</v>
      </c>
      <c r="BF10" s="967"/>
      <c r="BG10" s="1020" t="s">
        <v>6695</v>
      </c>
      <c r="BH10" s="1114">
        <v>43190</v>
      </c>
      <c r="BI10" s="906"/>
    </row>
    <row r="11" s="871" customFormat="1" ht="31.5" spans="2:61">
      <c r="B11" s="1551" t="s">
        <v>121</v>
      </c>
      <c r="C11" s="914" t="s">
        <v>6747</v>
      </c>
      <c r="D11" s="912" t="s">
        <v>6748</v>
      </c>
      <c r="E11" s="920">
        <v>30191</v>
      </c>
      <c r="F11" s="920" t="s">
        <v>125</v>
      </c>
      <c r="G11" s="920" t="s">
        <v>404</v>
      </c>
      <c r="H11" s="920" t="s">
        <v>6749</v>
      </c>
      <c r="I11" s="925" t="s">
        <v>5990</v>
      </c>
      <c r="J11" s="925" t="s">
        <v>6741</v>
      </c>
      <c r="K11" s="912" t="s">
        <v>4922</v>
      </c>
      <c r="L11" s="926">
        <v>41593</v>
      </c>
      <c r="M11" s="926">
        <v>42004</v>
      </c>
      <c r="N11" s="926">
        <v>42369</v>
      </c>
      <c r="O11" s="926"/>
      <c r="P11" s="926"/>
      <c r="Q11" s="926"/>
      <c r="R11" s="926"/>
      <c r="S11" s="926"/>
      <c r="T11" s="926">
        <v>42370</v>
      </c>
      <c r="U11" s="926">
        <v>42735</v>
      </c>
      <c r="V11" s="926">
        <v>42688</v>
      </c>
      <c r="W11" s="926"/>
      <c r="X11" s="936"/>
      <c r="Y11" s="936">
        <v>42689</v>
      </c>
      <c r="Z11" s="936">
        <v>42718</v>
      </c>
      <c r="AA11" s="936">
        <v>42719</v>
      </c>
      <c r="AB11" s="936">
        <v>43100</v>
      </c>
      <c r="AC11" s="936">
        <v>43190</v>
      </c>
      <c r="AD11" s="936">
        <v>43404</v>
      </c>
      <c r="AE11" s="936"/>
      <c r="AF11" s="936">
        <v>43405</v>
      </c>
      <c r="AG11" s="936">
        <v>43465</v>
      </c>
      <c r="AH11" s="936"/>
      <c r="AI11" s="640">
        <f ca="1" t="shared" si="2"/>
        <v>192.61546296296</v>
      </c>
      <c r="AJ11" s="121" t="str">
        <f ca="1" t="shared" si="1"/>
        <v>ACTIVE</v>
      </c>
      <c r="AK11" s="946">
        <v>5167277.5</v>
      </c>
      <c r="AL11" s="946">
        <v>250000</v>
      </c>
      <c r="AM11" s="946">
        <v>0</v>
      </c>
      <c r="AN11" s="946"/>
      <c r="AO11" s="946"/>
      <c r="AP11" s="946">
        <v>500000</v>
      </c>
      <c r="AQ11" s="946"/>
      <c r="AR11" s="946"/>
      <c r="AS11" s="946" t="s">
        <v>48</v>
      </c>
      <c r="AT11" s="956" t="s">
        <v>48</v>
      </c>
      <c r="AU11" s="956" t="s">
        <v>48</v>
      </c>
      <c r="AV11" s="925" t="s">
        <v>6750</v>
      </c>
      <c r="AW11" s="925"/>
      <c r="AX11" s="285" t="s">
        <v>6751</v>
      </c>
      <c r="AY11" s="961" t="s">
        <v>6752</v>
      </c>
      <c r="AZ11" s="961" t="s">
        <v>6753</v>
      </c>
      <c r="BA11" s="961"/>
      <c r="BB11" s="961" t="s">
        <v>6754</v>
      </c>
      <c r="BC11" s="961">
        <v>13001795502</v>
      </c>
      <c r="BD11" s="961" t="s">
        <v>4713</v>
      </c>
      <c r="BE11" s="961" t="s">
        <v>6755</v>
      </c>
      <c r="BF11" s="967"/>
      <c r="BG11" s="1020" t="s">
        <v>6695</v>
      </c>
      <c r="BH11" s="1114">
        <v>43190</v>
      </c>
      <c r="BI11" s="906"/>
    </row>
    <row r="12" s="907" customFormat="1" ht="31.5" spans="2:61">
      <c r="B12" s="1551" t="s">
        <v>135</v>
      </c>
      <c r="C12" s="914" t="s">
        <v>6756</v>
      </c>
      <c r="D12" s="912" t="s">
        <v>6757</v>
      </c>
      <c r="E12" s="920">
        <v>30464</v>
      </c>
      <c r="F12" s="920" t="s">
        <v>125</v>
      </c>
      <c r="G12" s="920" t="s">
        <v>404</v>
      </c>
      <c r="H12" s="920" t="s">
        <v>6749</v>
      </c>
      <c r="I12" s="925" t="s">
        <v>3528</v>
      </c>
      <c r="J12" s="925" t="s">
        <v>6741</v>
      </c>
      <c r="K12" s="912" t="s">
        <v>4922</v>
      </c>
      <c r="L12" s="926">
        <v>41593</v>
      </c>
      <c r="M12" s="926">
        <v>42004</v>
      </c>
      <c r="N12" s="926">
        <v>42369</v>
      </c>
      <c r="O12" s="926"/>
      <c r="P12" s="926"/>
      <c r="Q12" s="926"/>
      <c r="R12" s="926"/>
      <c r="S12" s="926"/>
      <c r="T12" s="926">
        <v>42370</v>
      </c>
      <c r="U12" s="926">
        <v>42735</v>
      </c>
      <c r="V12" s="926">
        <v>42688</v>
      </c>
      <c r="W12" s="926"/>
      <c r="X12" s="936"/>
      <c r="Y12" s="936">
        <v>42689</v>
      </c>
      <c r="Z12" s="936">
        <v>42718</v>
      </c>
      <c r="AA12" s="936">
        <v>42719</v>
      </c>
      <c r="AB12" s="936">
        <v>43100</v>
      </c>
      <c r="AC12" s="936">
        <v>43190</v>
      </c>
      <c r="AD12" s="1053">
        <v>43281</v>
      </c>
      <c r="AE12" s="1063">
        <v>43448</v>
      </c>
      <c r="AF12" s="936">
        <v>43449</v>
      </c>
      <c r="AG12" s="991">
        <v>43465</v>
      </c>
      <c r="AH12" s="936"/>
      <c r="AI12" s="640">
        <f ca="1" t="shared" si="2"/>
        <v>192.61546296296</v>
      </c>
      <c r="AJ12" s="121" t="str">
        <f ca="1" t="shared" si="1"/>
        <v>ACTIVE</v>
      </c>
      <c r="AK12" s="946">
        <v>6500000</v>
      </c>
      <c r="AL12" s="946">
        <v>250000</v>
      </c>
      <c r="AM12" s="946">
        <v>0</v>
      </c>
      <c r="AN12" s="946"/>
      <c r="AO12" s="946"/>
      <c r="AP12" s="946">
        <v>500000</v>
      </c>
      <c r="AQ12" s="946"/>
      <c r="AR12" s="946"/>
      <c r="AS12" s="946" t="s">
        <v>48</v>
      </c>
      <c r="AT12" s="956" t="s">
        <v>48</v>
      </c>
      <c r="AU12" s="956" t="s">
        <v>48</v>
      </c>
      <c r="AV12" s="925" t="s">
        <v>6758</v>
      </c>
      <c r="AW12" s="925"/>
      <c r="AX12" s="285" t="s">
        <v>6759</v>
      </c>
      <c r="AY12" s="961" t="s">
        <v>6760</v>
      </c>
      <c r="AZ12" s="961" t="s">
        <v>6761</v>
      </c>
      <c r="BA12" s="961"/>
      <c r="BB12" s="961" t="s">
        <v>6762</v>
      </c>
      <c r="BC12" s="961">
        <v>13001795718</v>
      </c>
      <c r="BD12" s="961" t="s">
        <v>6763</v>
      </c>
      <c r="BE12" s="961" t="s">
        <v>6764</v>
      </c>
      <c r="BF12" s="967" t="s">
        <v>5146</v>
      </c>
      <c r="BG12" s="1118" t="s">
        <v>6695</v>
      </c>
      <c r="BH12" s="1119">
        <v>43281</v>
      </c>
      <c r="BI12" s="1130"/>
    </row>
    <row r="13" s="871" customFormat="1" ht="25.5" spans="2:61">
      <c r="B13" s="1551" t="s">
        <v>146</v>
      </c>
      <c r="C13" s="914" t="s">
        <v>6765</v>
      </c>
      <c r="D13" s="912" t="s">
        <v>6766</v>
      </c>
      <c r="E13" s="920">
        <v>26943</v>
      </c>
      <c r="F13" s="920" t="s">
        <v>125</v>
      </c>
      <c r="G13" s="920" t="s">
        <v>1110</v>
      </c>
      <c r="H13" s="920" t="s">
        <v>6686</v>
      </c>
      <c r="I13" s="925" t="s">
        <v>3528</v>
      </c>
      <c r="J13" s="925" t="s">
        <v>6741</v>
      </c>
      <c r="K13" s="912" t="s">
        <v>4922</v>
      </c>
      <c r="L13" s="926">
        <v>41593</v>
      </c>
      <c r="M13" s="926">
        <v>42004</v>
      </c>
      <c r="N13" s="926">
        <v>42369</v>
      </c>
      <c r="O13" s="926"/>
      <c r="P13" s="926"/>
      <c r="Q13" s="926"/>
      <c r="R13" s="926"/>
      <c r="S13" s="926"/>
      <c r="T13" s="926">
        <v>42370</v>
      </c>
      <c r="U13" s="926">
        <v>42735</v>
      </c>
      <c r="V13" s="926">
        <v>42688</v>
      </c>
      <c r="W13" s="926"/>
      <c r="X13" s="936"/>
      <c r="Y13" s="936">
        <v>42689</v>
      </c>
      <c r="Z13" s="936">
        <v>42718</v>
      </c>
      <c r="AA13" s="936">
        <v>42719</v>
      </c>
      <c r="AB13" s="936">
        <v>43100</v>
      </c>
      <c r="AC13" s="936">
        <v>43190</v>
      </c>
      <c r="AD13" s="1053">
        <v>43281</v>
      </c>
      <c r="AE13" s="1063">
        <v>43448</v>
      </c>
      <c r="AF13" s="936">
        <v>43449</v>
      </c>
      <c r="AG13" s="991">
        <v>43465</v>
      </c>
      <c r="AH13" s="936"/>
      <c r="AI13" s="640">
        <f ca="1" t="shared" si="2"/>
        <v>192.61546296296</v>
      </c>
      <c r="AJ13" s="121" t="str">
        <f ca="1" t="shared" si="1"/>
        <v>ACTIVE</v>
      </c>
      <c r="AK13" s="946">
        <v>9904009</v>
      </c>
      <c r="AL13" s="946">
        <v>250000</v>
      </c>
      <c r="AM13" s="946">
        <v>0</v>
      </c>
      <c r="AN13" s="946"/>
      <c r="AO13" s="946"/>
      <c r="AP13" s="946"/>
      <c r="AQ13" s="946"/>
      <c r="AR13" s="946"/>
      <c r="AS13" s="946" t="s">
        <v>48</v>
      </c>
      <c r="AT13" s="956" t="s">
        <v>48</v>
      </c>
      <c r="AU13" s="956" t="s">
        <v>48</v>
      </c>
      <c r="AV13" s="925" t="s">
        <v>6767</v>
      </c>
      <c r="AW13" s="925"/>
      <c r="AX13" s="285" t="s">
        <v>6768</v>
      </c>
      <c r="AY13" s="961" t="s">
        <v>6769</v>
      </c>
      <c r="AZ13" s="961" t="s">
        <v>6770</v>
      </c>
      <c r="BA13" s="961"/>
      <c r="BB13" s="961" t="s">
        <v>6771</v>
      </c>
      <c r="BC13" s="961" t="s">
        <v>6772</v>
      </c>
      <c r="BD13" s="961" t="s">
        <v>6773</v>
      </c>
      <c r="BE13" s="961" t="s">
        <v>6774</v>
      </c>
      <c r="BF13" s="967"/>
      <c r="BG13" s="1020" t="s">
        <v>6695</v>
      </c>
      <c r="BH13" s="1114">
        <v>43281</v>
      </c>
      <c r="BI13" s="906"/>
    </row>
    <row r="14" s="907" customFormat="1" ht="31.5" spans="2:61">
      <c r="B14" s="1551" t="s">
        <v>157</v>
      </c>
      <c r="C14" s="914" t="s">
        <v>6775</v>
      </c>
      <c r="D14" s="912" t="s">
        <v>6776</v>
      </c>
      <c r="E14" s="920" t="s">
        <v>6777</v>
      </c>
      <c r="F14" s="920" t="s">
        <v>125</v>
      </c>
      <c r="G14" s="920" t="s">
        <v>404</v>
      </c>
      <c r="H14" s="920" t="s">
        <v>404</v>
      </c>
      <c r="I14" s="925" t="s">
        <v>3528</v>
      </c>
      <c r="J14" s="925" t="s">
        <v>6741</v>
      </c>
      <c r="K14" s="912" t="s">
        <v>4922</v>
      </c>
      <c r="L14" s="926">
        <v>41791</v>
      </c>
      <c r="M14" s="926">
        <v>41973</v>
      </c>
      <c r="N14" s="926">
        <v>42004</v>
      </c>
      <c r="O14" s="926">
        <v>42369</v>
      </c>
      <c r="P14" s="926">
        <v>42521</v>
      </c>
      <c r="Q14" s="926"/>
      <c r="R14" s="926"/>
      <c r="S14" s="926"/>
      <c r="T14" s="926">
        <v>42522</v>
      </c>
      <c r="U14" s="926">
        <v>42735</v>
      </c>
      <c r="V14" s="926">
        <v>42886</v>
      </c>
      <c r="W14" s="926"/>
      <c r="X14" s="936"/>
      <c r="Y14" s="936">
        <v>42887</v>
      </c>
      <c r="Z14" s="936">
        <v>42916</v>
      </c>
      <c r="AA14" s="936">
        <v>42917</v>
      </c>
      <c r="AB14" s="936">
        <v>43100</v>
      </c>
      <c r="AC14" s="936">
        <v>43190</v>
      </c>
      <c r="AD14" s="1053">
        <v>43281</v>
      </c>
      <c r="AE14" s="1063">
        <v>43465</v>
      </c>
      <c r="AF14" s="936"/>
      <c r="AG14" s="936"/>
      <c r="AH14" s="936"/>
      <c r="AI14" s="640">
        <f ca="1">SUM(AE14-NOW())</f>
        <v>192.61546296296</v>
      </c>
      <c r="AJ14" s="121" t="str">
        <f ca="1" t="shared" si="1"/>
        <v>ACTIVE</v>
      </c>
      <c r="AK14" s="946">
        <v>9571037</v>
      </c>
      <c r="AL14" s="946">
        <v>250000</v>
      </c>
      <c r="AM14" s="946" t="s">
        <v>583</v>
      </c>
      <c r="AN14" s="946"/>
      <c r="AO14" s="946"/>
      <c r="AP14" s="946">
        <v>500000</v>
      </c>
      <c r="AQ14" s="946"/>
      <c r="AR14" s="946"/>
      <c r="AS14" s="946" t="s">
        <v>6778</v>
      </c>
      <c r="AT14" s="956" t="s">
        <v>48</v>
      </c>
      <c r="AU14" s="956" t="s">
        <v>48</v>
      </c>
      <c r="AV14" s="925" t="s">
        <v>6779</v>
      </c>
      <c r="AW14" s="925"/>
      <c r="AX14" s="285" t="s">
        <v>6780</v>
      </c>
      <c r="AY14" s="961" t="s">
        <v>6781</v>
      </c>
      <c r="AZ14" s="961" t="s">
        <v>6782</v>
      </c>
      <c r="BA14" s="1537" t="s">
        <v>6783</v>
      </c>
      <c r="BB14" s="961" t="s">
        <v>6784</v>
      </c>
      <c r="BC14" s="961">
        <v>12005445460</v>
      </c>
      <c r="BD14" s="961" t="s">
        <v>4713</v>
      </c>
      <c r="BE14" s="961" t="s">
        <v>6785</v>
      </c>
      <c r="BF14" s="967" t="s">
        <v>5146</v>
      </c>
      <c r="BG14" s="1118" t="s">
        <v>6695</v>
      </c>
      <c r="BH14" s="1119">
        <v>43281</v>
      </c>
      <c r="BI14" s="1130"/>
    </row>
    <row r="15" s="871" customFormat="1" ht="25.5" spans="2:61">
      <c r="B15" s="1551" t="s">
        <v>168</v>
      </c>
      <c r="C15" s="914" t="s">
        <v>6786</v>
      </c>
      <c r="D15" s="912" t="s">
        <v>6787</v>
      </c>
      <c r="E15" s="920" t="s">
        <v>6788</v>
      </c>
      <c r="F15" s="920" t="s">
        <v>125</v>
      </c>
      <c r="G15" s="920" t="s">
        <v>44</v>
      </c>
      <c r="H15" s="920" t="s">
        <v>44</v>
      </c>
      <c r="I15" s="925" t="s">
        <v>5773</v>
      </c>
      <c r="J15" s="925" t="s">
        <v>6741</v>
      </c>
      <c r="K15" s="912" t="s">
        <v>4922</v>
      </c>
      <c r="L15" s="926">
        <v>41791</v>
      </c>
      <c r="M15" s="926">
        <v>41973</v>
      </c>
      <c r="N15" s="926">
        <v>42004</v>
      </c>
      <c r="O15" s="926">
        <v>42369</v>
      </c>
      <c r="P15" s="926">
        <v>42521</v>
      </c>
      <c r="Q15" s="926"/>
      <c r="R15" s="926"/>
      <c r="S15" s="926"/>
      <c r="T15" s="926">
        <v>42522</v>
      </c>
      <c r="U15" s="926">
        <v>42735</v>
      </c>
      <c r="V15" s="926">
        <v>42886</v>
      </c>
      <c r="W15" s="926"/>
      <c r="X15" s="936"/>
      <c r="Y15" s="936">
        <v>42887</v>
      </c>
      <c r="Z15" s="936">
        <v>42916</v>
      </c>
      <c r="AA15" s="936">
        <v>42917</v>
      </c>
      <c r="AB15" s="936">
        <v>43100</v>
      </c>
      <c r="AC15" s="936">
        <v>43190</v>
      </c>
      <c r="AD15" s="992">
        <v>43465</v>
      </c>
      <c r="AE15" s="936"/>
      <c r="AF15" s="936"/>
      <c r="AG15" s="936"/>
      <c r="AH15" s="936"/>
      <c r="AI15" s="640">
        <f ca="1">SUM(AD15-NOW())</f>
        <v>192.61546296296</v>
      </c>
      <c r="AJ15" s="121" t="str">
        <f ca="1" t="shared" si="1"/>
        <v>ACTIVE</v>
      </c>
      <c r="AK15" s="946">
        <v>6500000</v>
      </c>
      <c r="AL15" s="946">
        <v>600000</v>
      </c>
      <c r="AM15" s="946"/>
      <c r="AN15" s="946"/>
      <c r="AO15" s="946"/>
      <c r="AP15" s="946">
        <v>500000</v>
      </c>
      <c r="AQ15" s="946"/>
      <c r="AR15" s="946"/>
      <c r="AS15" s="946" t="s">
        <v>48</v>
      </c>
      <c r="AT15" s="956" t="s">
        <v>48</v>
      </c>
      <c r="AU15" s="956" t="s">
        <v>48</v>
      </c>
      <c r="AV15" s="925" t="s">
        <v>6789</v>
      </c>
      <c r="AW15" s="925"/>
      <c r="AX15" s="285" t="s">
        <v>6790</v>
      </c>
      <c r="AY15" s="961" t="s">
        <v>6791</v>
      </c>
      <c r="AZ15" s="961" t="s">
        <v>6792</v>
      </c>
      <c r="BA15" s="1537" t="s">
        <v>6793</v>
      </c>
      <c r="BB15" s="961" t="s">
        <v>6794</v>
      </c>
      <c r="BC15" s="961">
        <v>12040507837</v>
      </c>
      <c r="BD15" s="961" t="s">
        <v>6795</v>
      </c>
      <c r="BE15" s="961" t="s">
        <v>6796</v>
      </c>
      <c r="BF15" s="967"/>
      <c r="BG15" s="1020" t="s">
        <v>6695</v>
      </c>
      <c r="BH15" s="1114">
        <v>43190</v>
      </c>
      <c r="BI15" s="906"/>
    </row>
    <row r="16" s="907" customFormat="1" ht="25.5" spans="2:61">
      <c r="B16" s="1551" t="s">
        <v>181</v>
      </c>
      <c r="C16" s="914" t="s">
        <v>6797</v>
      </c>
      <c r="D16" s="912" t="s">
        <v>6798</v>
      </c>
      <c r="E16" s="920" t="s">
        <v>6799</v>
      </c>
      <c r="F16" s="920" t="s">
        <v>125</v>
      </c>
      <c r="G16" s="920" t="s">
        <v>44</v>
      </c>
      <c r="H16" s="920" t="s">
        <v>44</v>
      </c>
      <c r="I16" s="925" t="s">
        <v>3528</v>
      </c>
      <c r="J16" s="925" t="s">
        <v>6741</v>
      </c>
      <c r="K16" s="912" t="s">
        <v>6800</v>
      </c>
      <c r="L16" s="926">
        <v>41821</v>
      </c>
      <c r="M16" s="926">
        <v>42004</v>
      </c>
      <c r="N16" s="926">
        <v>42369</v>
      </c>
      <c r="O16" s="926">
        <v>42551</v>
      </c>
      <c r="P16" s="926"/>
      <c r="Q16" s="926"/>
      <c r="R16" s="926"/>
      <c r="S16" s="926"/>
      <c r="T16" s="926">
        <v>42552</v>
      </c>
      <c r="U16" s="926">
        <v>42735</v>
      </c>
      <c r="V16" s="926">
        <v>42916</v>
      </c>
      <c r="W16" s="926"/>
      <c r="X16" s="936"/>
      <c r="Y16" s="936">
        <v>42917</v>
      </c>
      <c r="Z16" s="936">
        <v>42947</v>
      </c>
      <c r="AA16" s="936">
        <v>42948</v>
      </c>
      <c r="AB16" s="936">
        <v>43100</v>
      </c>
      <c r="AC16" s="936">
        <v>43190</v>
      </c>
      <c r="AD16" s="936">
        <v>43281</v>
      </c>
      <c r="AE16" s="991">
        <v>43465</v>
      </c>
      <c r="AF16" s="936"/>
      <c r="AG16" s="936"/>
      <c r="AH16" s="936"/>
      <c r="AI16" s="640">
        <f ca="1">SUM(AE16-NOW())</f>
        <v>192.61546296296</v>
      </c>
      <c r="AJ16" s="121" t="str">
        <f ca="1" t="shared" si="1"/>
        <v>ACTIVE</v>
      </c>
      <c r="AK16" s="946">
        <v>6245859</v>
      </c>
      <c r="AL16" s="946" t="s">
        <v>112</v>
      </c>
      <c r="AM16" s="946" t="s">
        <v>583</v>
      </c>
      <c r="AN16" s="946"/>
      <c r="AO16" s="946"/>
      <c r="AP16" s="1093">
        <v>500000</v>
      </c>
      <c r="AQ16" s="946"/>
      <c r="AR16" s="946"/>
      <c r="AS16" s="946">
        <v>936416</v>
      </c>
      <c r="AT16" s="956" t="s">
        <v>48</v>
      </c>
      <c r="AU16" s="956" t="s">
        <v>48</v>
      </c>
      <c r="AV16" s="925" t="s">
        <v>6801</v>
      </c>
      <c r="AW16" s="925"/>
      <c r="AX16" s="285" t="s">
        <v>6802</v>
      </c>
      <c r="AY16" s="961" t="s">
        <v>6803</v>
      </c>
      <c r="AZ16" s="961" t="s">
        <v>6804</v>
      </c>
      <c r="BA16" s="961"/>
      <c r="BB16" s="961" t="s">
        <v>6805</v>
      </c>
      <c r="BC16" s="961">
        <v>11011478499</v>
      </c>
      <c r="BD16" s="961" t="s">
        <v>4713</v>
      </c>
      <c r="BE16" s="961" t="s">
        <v>6806</v>
      </c>
      <c r="BF16" s="967" t="s">
        <v>5146</v>
      </c>
      <c r="BG16" s="1118" t="s">
        <v>6695</v>
      </c>
      <c r="BH16" s="1119">
        <v>43190</v>
      </c>
      <c r="BI16" s="1130"/>
    </row>
    <row r="17" s="1023" customFormat="1" ht="42" spans="2:61">
      <c r="B17" s="1567" t="s">
        <v>194</v>
      </c>
      <c r="C17" s="1033" t="s">
        <v>6807</v>
      </c>
      <c r="D17" s="1034" t="s">
        <v>6808</v>
      </c>
      <c r="E17" s="1042">
        <v>32753</v>
      </c>
      <c r="F17" s="1042" t="s">
        <v>43</v>
      </c>
      <c r="G17" s="1042" t="s">
        <v>404</v>
      </c>
      <c r="H17" s="1042" t="s">
        <v>404</v>
      </c>
      <c r="I17" s="1047" t="s">
        <v>6809</v>
      </c>
      <c r="J17" s="1047" t="s">
        <v>6810</v>
      </c>
      <c r="K17" s="1034" t="s">
        <v>4639</v>
      </c>
      <c r="L17" s="1048">
        <v>42887</v>
      </c>
      <c r="M17" s="1048">
        <v>43100</v>
      </c>
      <c r="N17" s="1048">
        <v>43190</v>
      </c>
      <c r="O17" s="1048">
        <v>43465</v>
      </c>
      <c r="P17" s="1055"/>
      <c r="Q17" s="1055"/>
      <c r="R17" s="1055"/>
      <c r="S17" s="1055"/>
      <c r="T17" s="1055"/>
      <c r="U17" s="1055"/>
      <c r="V17" s="1055"/>
      <c r="W17" s="1055"/>
      <c r="X17" s="1055"/>
      <c r="Y17" s="1065"/>
      <c r="Z17" s="1065"/>
      <c r="AA17" s="1048"/>
      <c r="AB17" s="1048"/>
      <c r="AC17" s="1048"/>
      <c r="AD17" s="1048"/>
      <c r="AE17" s="1048"/>
      <c r="AF17" s="1048"/>
      <c r="AG17" s="1048"/>
      <c r="AH17" s="1048"/>
      <c r="AI17" s="1067">
        <f ca="1">SUM(O17-NOW())</f>
        <v>192.61546296296</v>
      </c>
      <c r="AJ17" s="1068" t="str">
        <f ca="1" t="shared" si="1"/>
        <v>ACTIVE</v>
      </c>
      <c r="AK17" s="1071">
        <v>3355750</v>
      </c>
      <c r="AL17" s="1071">
        <v>0</v>
      </c>
      <c r="AM17" s="1071"/>
      <c r="AN17" s="1071"/>
      <c r="AO17" s="1071"/>
      <c r="AP17" s="1071"/>
      <c r="AQ17" s="1071"/>
      <c r="AR17" s="1071"/>
      <c r="AS17" s="1071">
        <v>780347</v>
      </c>
      <c r="AT17" s="1094" t="s">
        <v>113</v>
      </c>
      <c r="AU17" s="1094" t="s">
        <v>113</v>
      </c>
      <c r="AV17" s="1047" t="s">
        <v>6811</v>
      </c>
      <c r="AW17" s="1047" t="s">
        <v>6812</v>
      </c>
      <c r="AX17" s="1099" t="s">
        <v>6813</v>
      </c>
      <c r="AY17" s="1100" t="s">
        <v>6814</v>
      </c>
      <c r="AZ17" s="1100" t="s">
        <v>6815</v>
      </c>
      <c r="BA17" s="1100"/>
      <c r="BB17" s="1100" t="s">
        <v>6816</v>
      </c>
      <c r="BC17" s="1100">
        <v>0</v>
      </c>
      <c r="BD17" s="1100" t="s">
        <v>6817</v>
      </c>
      <c r="BE17" s="1100" t="s">
        <v>6818</v>
      </c>
      <c r="BF17" s="1120"/>
      <c r="BG17" s="1121" t="s">
        <v>6695</v>
      </c>
      <c r="BH17" s="1122">
        <v>43190</v>
      </c>
      <c r="BI17" s="1131"/>
    </row>
    <row r="18" s="871" customFormat="1" ht="25.5" hidden="1" spans="2:61">
      <c r="B18" s="1551" t="s">
        <v>204</v>
      </c>
      <c r="C18" s="914" t="s">
        <v>6819</v>
      </c>
      <c r="D18" s="912" t="s">
        <v>6820</v>
      </c>
      <c r="E18" s="920" t="s">
        <v>6821</v>
      </c>
      <c r="F18" s="920" t="s">
        <v>125</v>
      </c>
      <c r="G18" s="920" t="s">
        <v>404</v>
      </c>
      <c r="H18" s="920" t="s">
        <v>404</v>
      </c>
      <c r="I18" s="925" t="s">
        <v>6822</v>
      </c>
      <c r="J18" s="925" t="s">
        <v>6741</v>
      </c>
      <c r="K18" s="912" t="s">
        <v>508</v>
      </c>
      <c r="L18" s="926">
        <v>42541</v>
      </c>
      <c r="M18" s="926">
        <v>42632</v>
      </c>
      <c r="N18" s="926">
        <v>42735</v>
      </c>
      <c r="O18" s="926">
        <v>43100</v>
      </c>
      <c r="P18" s="936">
        <v>43190</v>
      </c>
      <c r="Q18" s="992">
        <v>43270</v>
      </c>
      <c r="R18" s="926"/>
      <c r="S18" s="926"/>
      <c r="T18" s="926">
        <v>43271</v>
      </c>
      <c r="U18" s="992">
        <v>43465</v>
      </c>
      <c r="V18" s="926"/>
      <c r="W18" s="926"/>
      <c r="X18" s="936"/>
      <c r="Y18" s="936"/>
      <c r="Z18" s="936"/>
      <c r="AA18" s="936"/>
      <c r="AB18" s="936"/>
      <c r="AC18" s="936"/>
      <c r="AD18" s="936"/>
      <c r="AE18" s="936"/>
      <c r="AF18" s="936"/>
      <c r="AG18" s="936"/>
      <c r="AH18" s="936"/>
      <c r="AI18" s="640">
        <f ca="1">SUM(U18-NOW())</f>
        <v>192.61546296296</v>
      </c>
      <c r="AJ18" s="121" t="str">
        <f ca="1" t="shared" si="1"/>
        <v>ACTIVE</v>
      </c>
      <c r="AK18" s="946">
        <v>4000000</v>
      </c>
      <c r="AL18" s="946">
        <v>500000</v>
      </c>
      <c r="AM18" s="946" t="s">
        <v>583</v>
      </c>
      <c r="AN18" s="946"/>
      <c r="AO18" s="946"/>
      <c r="AP18" s="946">
        <v>500000</v>
      </c>
      <c r="AQ18" s="946"/>
      <c r="AR18" s="946"/>
      <c r="AS18" s="946" t="s">
        <v>6823</v>
      </c>
      <c r="AT18" s="956" t="s">
        <v>113</v>
      </c>
      <c r="AU18" s="956" t="s">
        <v>113</v>
      </c>
      <c r="AV18" s="925"/>
      <c r="AW18" s="925"/>
      <c r="AX18" s="285" t="s">
        <v>6824</v>
      </c>
      <c r="AY18" s="961" t="s">
        <v>6825</v>
      </c>
      <c r="AZ18" s="961" t="s">
        <v>6826</v>
      </c>
      <c r="BA18" s="1537" t="s">
        <v>6827</v>
      </c>
      <c r="BB18" s="961">
        <v>0</v>
      </c>
      <c r="BC18" s="961">
        <v>0</v>
      </c>
      <c r="BD18" s="961" t="s">
        <v>6828</v>
      </c>
      <c r="BE18" s="961" t="s">
        <v>6829</v>
      </c>
      <c r="BF18" s="967"/>
      <c r="BG18" s="1020" t="s">
        <v>6695</v>
      </c>
      <c r="BH18" s="1114">
        <v>43190</v>
      </c>
      <c r="BI18" s="906"/>
    </row>
    <row r="19" s="871" customFormat="1" ht="25.5" hidden="1" spans="2:61">
      <c r="B19" s="1551" t="s">
        <v>215</v>
      </c>
      <c r="C19" s="914" t="s">
        <v>6830</v>
      </c>
      <c r="D19" s="912" t="s">
        <v>6831</v>
      </c>
      <c r="E19" s="920" t="s">
        <v>6832</v>
      </c>
      <c r="F19" s="920" t="s">
        <v>125</v>
      </c>
      <c r="G19" s="920" t="s">
        <v>254</v>
      </c>
      <c r="H19" s="920" t="s">
        <v>254</v>
      </c>
      <c r="I19" s="925" t="s">
        <v>1068</v>
      </c>
      <c r="J19" s="925" t="s">
        <v>6741</v>
      </c>
      <c r="K19" s="912" t="s">
        <v>6833</v>
      </c>
      <c r="L19" s="926">
        <v>42660</v>
      </c>
      <c r="M19" s="926">
        <v>42735</v>
      </c>
      <c r="N19" s="926">
        <v>43100</v>
      </c>
      <c r="O19" s="936">
        <v>43190</v>
      </c>
      <c r="P19" s="992">
        <v>43389</v>
      </c>
      <c r="Q19" s="926"/>
      <c r="R19" s="926"/>
      <c r="S19" s="926"/>
      <c r="T19" s="926">
        <v>43390</v>
      </c>
      <c r="U19" s="992">
        <v>43465</v>
      </c>
      <c r="V19" s="926"/>
      <c r="W19" s="926"/>
      <c r="X19" s="936"/>
      <c r="Y19" s="936"/>
      <c r="Z19" s="936"/>
      <c r="AA19" s="936"/>
      <c r="AB19" s="936"/>
      <c r="AC19" s="936"/>
      <c r="AD19" s="936"/>
      <c r="AE19" s="936"/>
      <c r="AF19" s="936"/>
      <c r="AG19" s="936"/>
      <c r="AH19" s="936"/>
      <c r="AI19" s="640">
        <f ca="1">SUM(U19-NOW())</f>
        <v>192.61546296296</v>
      </c>
      <c r="AJ19" s="121" t="str">
        <f ca="1" t="shared" si="1"/>
        <v>ACTIVE</v>
      </c>
      <c r="AK19" s="946">
        <v>4026000</v>
      </c>
      <c r="AL19" s="946">
        <v>250000</v>
      </c>
      <c r="AM19" s="946"/>
      <c r="AN19" s="946"/>
      <c r="AO19" s="946"/>
      <c r="AP19" s="946">
        <v>750000</v>
      </c>
      <c r="AQ19" s="946"/>
      <c r="AR19" s="946"/>
      <c r="AS19" s="946" t="s">
        <v>0</v>
      </c>
      <c r="AT19" s="956" t="s">
        <v>48</v>
      </c>
      <c r="AU19" s="956" t="s">
        <v>48</v>
      </c>
      <c r="AV19" s="925"/>
      <c r="AW19" s="925"/>
      <c r="AX19" s="285" t="s">
        <v>6834</v>
      </c>
      <c r="AY19" s="961" t="s">
        <v>6835</v>
      </c>
      <c r="AZ19" s="961" t="s">
        <v>6836</v>
      </c>
      <c r="BA19" s="1537" t="s">
        <v>6837</v>
      </c>
      <c r="BB19" s="961" t="s">
        <v>6838</v>
      </c>
      <c r="BC19" s="961"/>
      <c r="BD19" s="961"/>
      <c r="BE19" s="961" t="s">
        <v>6839</v>
      </c>
      <c r="BF19" s="967"/>
      <c r="BG19" s="1020" t="s">
        <v>6695</v>
      </c>
      <c r="BH19" s="1114">
        <v>43190</v>
      </c>
      <c r="BI19" s="906"/>
    </row>
    <row r="20" s="907" customFormat="1" ht="25.5" hidden="1" spans="2:62">
      <c r="B20" s="1551" t="s">
        <v>229</v>
      </c>
      <c r="C20" s="914" t="s">
        <v>6840</v>
      </c>
      <c r="D20" s="912" t="s">
        <v>6841</v>
      </c>
      <c r="E20" s="920" t="s">
        <v>6842</v>
      </c>
      <c r="F20" s="920" t="s">
        <v>43</v>
      </c>
      <c r="G20" s="920" t="s">
        <v>96</v>
      </c>
      <c r="H20" s="920" t="s">
        <v>96</v>
      </c>
      <c r="I20" s="925" t="s">
        <v>6843</v>
      </c>
      <c r="J20" s="925" t="s">
        <v>6741</v>
      </c>
      <c r="K20" s="912" t="s">
        <v>6844</v>
      </c>
      <c r="L20" s="926">
        <v>42727</v>
      </c>
      <c r="M20" s="926">
        <v>42814</v>
      </c>
      <c r="N20" s="926">
        <v>42906</v>
      </c>
      <c r="O20" s="926">
        <v>42998</v>
      </c>
      <c r="P20" s="926">
        <v>43059</v>
      </c>
      <c r="Q20" s="926">
        <v>43179</v>
      </c>
      <c r="R20" s="993">
        <v>43271</v>
      </c>
      <c r="S20" s="926"/>
      <c r="T20" s="926"/>
      <c r="U20" s="926"/>
      <c r="V20" s="926"/>
      <c r="W20" s="926"/>
      <c r="X20" s="936"/>
      <c r="Y20" s="936"/>
      <c r="Z20" s="936"/>
      <c r="AA20" s="936"/>
      <c r="AB20" s="936"/>
      <c r="AC20" s="936"/>
      <c r="AD20" s="936"/>
      <c r="AE20" s="936"/>
      <c r="AF20" s="936"/>
      <c r="AG20" s="936"/>
      <c r="AH20" s="936"/>
      <c r="AI20" s="640">
        <f ca="1">SUM(R20-NOW())</f>
        <v>-1.38453703703999</v>
      </c>
      <c r="AJ20" s="121" t="str">
        <f ca="1" t="shared" si="1"/>
        <v>WARNING</v>
      </c>
      <c r="AK20" s="946">
        <v>7000000</v>
      </c>
      <c r="AL20" s="946">
        <v>500000</v>
      </c>
      <c r="AM20" s="946">
        <v>2500000</v>
      </c>
      <c r="AN20" s="946"/>
      <c r="AO20" s="946">
        <v>250000</v>
      </c>
      <c r="AP20" s="946">
        <v>500000</v>
      </c>
      <c r="AQ20" s="946"/>
      <c r="AR20" s="946"/>
      <c r="AS20" s="946" t="s">
        <v>0</v>
      </c>
      <c r="AT20" s="956" t="s">
        <v>48</v>
      </c>
      <c r="AU20" s="956" t="s">
        <v>48</v>
      </c>
      <c r="AV20" s="925"/>
      <c r="AW20" s="925"/>
      <c r="AX20" s="285" t="s">
        <v>6845</v>
      </c>
      <c r="AY20" s="961" t="s">
        <v>6846</v>
      </c>
      <c r="AZ20" s="961" t="s">
        <v>6847</v>
      </c>
      <c r="BA20" s="1537" t="s">
        <v>6848</v>
      </c>
      <c r="BB20" s="961" t="s">
        <v>6849</v>
      </c>
      <c r="BC20" s="961"/>
      <c r="BD20" s="961"/>
      <c r="BE20" s="961" t="s">
        <v>6850</v>
      </c>
      <c r="BF20" s="967"/>
      <c r="BG20" s="1020" t="s">
        <v>6851</v>
      </c>
      <c r="BH20" s="1114">
        <v>43179</v>
      </c>
      <c r="BI20" s="906"/>
      <c r="BJ20" s="871"/>
    </row>
    <row r="21" s="871" customFormat="1" ht="25.5" hidden="1" spans="2:61">
      <c r="B21" s="1551" t="s">
        <v>239</v>
      </c>
      <c r="C21" s="914" t="s">
        <v>6852</v>
      </c>
      <c r="D21" s="912" t="s">
        <v>6853</v>
      </c>
      <c r="E21" s="920" t="s">
        <v>6854</v>
      </c>
      <c r="F21" s="920" t="s">
        <v>43</v>
      </c>
      <c r="G21" s="920" t="s">
        <v>44</v>
      </c>
      <c r="H21" s="920" t="s">
        <v>44</v>
      </c>
      <c r="I21" s="925" t="s">
        <v>6855</v>
      </c>
      <c r="J21" s="925" t="s">
        <v>6741</v>
      </c>
      <c r="K21" s="912" t="s">
        <v>6856</v>
      </c>
      <c r="L21" s="926">
        <v>42826</v>
      </c>
      <c r="M21" s="926">
        <v>43100</v>
      </c>
      <c r="N21" s="936">
        <v>43190</v>
      </c>
      <c r="O21" s="992">
        <v>43465</v>
      </c>
      <c r="P21" s="926"/>
      <c r="Q21" s="926"/>
      <c r="R21" s="926"/>
      <c r="S21" s="926"/>
      <c r="T21" s="926"/>
      <c r="U21" s="926"/>
      <c r="V21" s="926"/>
      <c r="W21" s="926"/>
      <c r="X21" s="936"/>
      <c r="Y21" s="936"/>
      <c r="Z21" s="936"/>
      <c r="AA21" s="936"/>
      <c r="AB21" s="936"/>
      <c r="AC21" s="936"/>
      <c r="AD21" s="936"/>
      <c r="AE21" s="936"/>
      <c r="AF21" s="936"/>
      <c r="AG21" s="936"/>
      <c r="AH21" s="936"/>
      <c r="AI21" s="640">
        <f ca="1" t="shared" ref="AI21:AI26" si="3">SUM(O21-NOW())</f>
        <v>192.61546296296</v>
      </c>
      <c r="AJ21" s="121" t="str">
        <f ca="1" t="shared" si="1"/>
        <v>ACTIVE</v>
      </c>
      <c r="AK21" s="946">
        <v>5665000</v>
      </c>
      <c r="AL21" s="946">
        <v>300000</v>
      </c>
      <c r="AM21" s="946">
        <v>6000000</v>
      </c>
      <c r="AN21" s="946" t="s">
        <v>583</v>
      </c>
      <c r="AO21" s="946">
        <v>300000</v>
      </c>
      <c r="AP21" s="946">
        <v>465000</v>
      </c>
      <c r="AQ21" s="946" t="s">
        <v>583</v>
      </c>
      <c r="AR21" s="946"/>
      <c r="AS21" s="946" t="s">
        <v>0</v>
      </c>
      <c r="AT21" s="956" t="s">
        <v>48</v>
      </c>
      <c r="AU21" s="956" t="s">
        <v>48</v>
      </c>
      <c r="AV21" s="925"/>
      <c r="AW21" s="925"/>
      <c r="AX21" s="285" t="s">
        <v>6857</v>
      </c>
      <c r="AY21" s="961">
        <v>85354404477</v>
      </c>
      <c r="AZ21" s="961" t="s">
        <v>6858</v>
      </c>
      <c r="BA21" s="961" t="s">
        <v>6859</v>
      </c>
      <c r="BB21" s="961" t="s">
        <v>2574</v>
      </c>
      <c r="BC21" s="961" t="s">
        <v>6860</v>
      </c>
      <c r="BD21" s="961"/>
      <c r="BE21" s="128" t="s">
        <v>6861</v>
      </c>
      <c r="BF21" s="967"/>
      <c r="BG21" s="1020" t="s">
        <v>6695</v>
      </c>
      <c r="BH21" s="1114">
        <v>43190</v>
      </c>
      <c r="BI21" s="906"/>
    </row>
    <row r="22" s="871" customFormat="1" ht="25.5" hidden="1" spans="2:61">
      <c r="B22" s="1551" t="s">
        <v>250</v>
      </c>
      <c r="C22" s="914" t="s">
        <v>6862</v>
      </c>
      <c r="D22" s="912" t="s">
        <v>6863</v>
      </c>
      <c r="E22" s="920" t="s">
        <v>6864</v>
      </c>
      <c r="F22" s="920" t="s">
        <v>43</v>
      </c>
      <c r="G22" s="920" t="s">
        <v>254</v>
      </c>
      <c r="H22" s="920" t="s">
        <v>254</v>
      </c>
      <c r="I22" s="925" t="s">
        <v>3528</v>
      </c>
      <c r="J22" s="925" t="s">
        <v>6741</v>
      </c>
      <c r="K22" s="912" t="s">
        <v>6865</v>
      </c>
      <c r="L22" s="926">
        <v>42826</v>
      </c>
      <c r="M22" s="926">
        <v>43100</v>
      </c>
      <c r="N22" s="936">
        <v>43190</v>
      </c>
      <c r="O22" s="992">
        <v>43465</v>
      </c>
      <c r="P22" s="926"/>
      <c r="Q22" s="926"/>
      <c r="R22" s="926"/>
      <c r="S22" s="926"/>
      <c r="T22" s="926"/>
      <c r="U22" s="926"/>
      <c r="V22" s="926"/>
      <c r="W22" s="926"/>
      <c r="X22" s="936"/>
      <c r="Y22" s="936"/>
      <c r="Z22" s="936"/>
      <c r="AA22" s="936"/>
      <c r="AB22" s="936"/>
      <c r="AC22" s="936"/>
      <c r="AD22" s="936"/>
      <c r="AE22" s="936"/>
      <c r="AF22" s="936"/>
      <c r="AG22" s="936"/>
      <c r="AH22" s="936"/>
      <c r="AI22" s="640">
        <f ca="1" t="shared" si="3"/>
        <v>192.61546296296</v>
      </c>
      <c r="AJ22" s="121" t="str">
        <f ca="1" t="shared" si="1"/>
        <v>ACTIVE</v>
      </c>
      <c r="AK22" s="1072">
        <v>3575000</v>
      </c>
      <c r="AL22" s="946">
        <v>550000</v>
      </c>
      <c r="AM22" s="946" t="s">
        <v>583</v>
      </c>
      <c r="AN22" s="946" t="s">
        <v>583</v>
      </c>
      <c r="AO22" s="946">
        <v>300000</v>
      </c>
      <c r="AP22" s="946" t="s">
        <v>583</v>
      </c>
      <c r="AQ22" s="946" t="s">
        <v>583</v>
      </c>
      <c r="AR22" s="946"/>
      <c r="AS22" s="1010" t="s">
        <v>6866</v>
      </c>
      <c r="AT22" s="956" t="s">
        <v>48</v>
      </c>
      <c r="AU22" s="956" t="s">
        <v>48</v>
      </c>
      <c r="AV22" s="925"/>
      <c r="AW22" s="925"/>
      <c r="AX22" s="285" t="s">
        <v>6867</v>
      </c>
      <c r="AY22" s="961" t="s">
        <v>6868</v>
      </c>
      <c r="AZ22" s="961" t="s">
        <v>6869</v>
      </c>
      <c r="BA22" s="961" t="s">
        <v>6870</v>
      </c>
      <c r="BB22" s="961" t="s">
        <v>6871</v>
      </c>
      <c r="BC22" s="961"/>
      <c r="BD22" s="961" t="s">
        <v>6872</v>
      </c>
      <c r="BE22" s="961" t="s">
        <v>6873</v>
      </c>
      <c r="BF22" s="967"/>
      <c r="BG22" s="1020" t="s">
        <v>6695</v>
      </c>
      <c r="BH22" s="1114">
        <v>43190</v>
      </c>
      <c r="BI22" s="906"/>
    </row>
    <row r="23" s="871" customFormat="1" ht="31.5" hidden="1" spans="2:61">
      <c r="B23" s="1551" t="s">
        <v>261</v>
      </c>
      <c r="C23" s="914" t="s">
        <v>6874</v>
      </c>
      <c r="D23" s="912" t="s">
        <v>6875</v>
      </c>
      <c r="E23" s="920" t="s">
        <v>6876</v>
      </c>
      <c r="F23" s="920" t="s">
        <v>43</v>
      </c>
      <c r="G23" s="920" t="s">
        <v>96</v>
      </c>
      <c r="H23" s="920" t="s">
        <v>96</v>
      </c>
      <c r="I23" s="925" t="s">
        <v>3528</v>
      </c>
      <c r="J23" s="925" t="s">
        <v>6741</v>
      </c>
      <c r="K23" s="912" t="s">
        <v>6877</v>
      </c>
      <c r="L23" s="926">
        <v>42826</v>
      </c>
      <c r="M23" s="926">
        <v>43100</v>
      </c>
      <c r="N23" s="936">
        <v>43190</v>
      </c>
      <c r="O23" s="1053">
        <v>43465</v>
      </c>
      <c r="P23" s="926"/>
      <c r="Q23" s="926"/>
      <c r="R23" s="926"/>
      <c r="S23" s="926"/>
      <c r="T23" s="926"/>
      <c r="U23" s="926"/>
      <c r="V23" s="926"/>
      <c r="W23" s="926"/>
      <c r="X23" s="936"/>
      <c r="Y23" s="936"/>
      <c r="Z23" s="936"/>
      <c r="AA23" s="936"/>
      <c r="AB23" s="936"/>
      <c r="AC23" s="936"/>
      <c r="AD23" s="936"/>
      <c r="AE23" s="936"/>
      <c r="AF23" s="936"/>
      <c r="AG23" s="936"/>
      <c r="AH23" s="936"/>
      <c r="AI23" s="640">
        <f ca="1" t="shared" si="3"/>
        <v>192.61546296296</v>
      </c>
      <c r="AJ23" s="121" t="str">
        <f ca="1" t="shared" si="1"/>
        <v>ACTIVE</v>
      </c>
      <c r="AK23" s="1072">
        <v>12869850</v>
      </c>
      <c r="AL23" s="946">
        <v>1050000</v>
      </c>
      <c r="AM23" s="946" t="s">
        <v>583</v>
      </c>
      <c r="AN23" s="946" t="s">
        <v>583</v>
      </c>
      <c r="AO23" s="946">
        <v>300000</v>
      </c>
      <c r="AP23" s="946">
        <v>465000</v>
      </c>
      <c r="AQ23" s="946" t="s">
        <v>583</v>
      </c>
      <c r="AR23" s="946"/>
      <c r="AS23" s="946" t="s">
        <v>0</v>
      </c>
      <c r="AT23" s="956" t="s">
        <v>48</v>
      </c>
      <c r="AU23" s="956" t="s">
        <v>48</v>
      </c>
      <c r="AV23" s="925"/>
      <c r="AW23" s="925"/>
      <c r="AX23" s="285" t="s">
        <v>6878</v>
      </c>
      <c r="AY23" s="961" t="s">
        <v>6879</v>
      </c>
      <c r="AZ23" s="961" t="s">
        <v>6880</v>
      </c>
      <c r="BA23" s="961" t="s">
        <v>6881</v>
      </c>
      <c r="BB23" s="961" t="s">
        <v>6882</v>
      </c>
      <c r="BC23" s="961"/>
      <c r="BD23" s="961" t="s">
        <v>6883</v>
      </c>
      <c r="BE23" s="961" t="s">
        <v>6884</v>
      </c>
      <c r="BF23" s="967"/>
      <c r="BG23" s="1020" t="s">
        <v>6695</v>
      </c>
      <c r="BH23" s="1114">
        <v>43465</v>
      </c>
      <c r="BI23" s="906"/>
    </row>
    <row r="24" s="871" customFormat="1" ht="25.5" hidden="1" spans="2:61">
      <c r="B24" s="1551" t="s">
        <v>272</v>
      </c>
      <c r="C24" s="914" t="s">
        <v>6885</v>
      </c>
      <c r="D24" s="912" t="s">
        <v>6886</v>
      </c>
      <c r="E24" s="920" t="s">
        <v>6887</v>
      </c>
      <c r="F24" s="920" t="s">
        <v>43</v>
      </c>
      <c r="G24" s="920" t="s">
        <v>60</v>
      </c>
      <c r="H24" s="920" t="s">
        <v>60</v>
      </c>
      <c r="I24" s="925" t="s">
        <v>2910</v>
      </c>
      <c r="J24" s="925" t="s">
        <v>6741</v>
      </c>
      <c r="K24" s="912" t="s">
        <v>6888</v>
      </c>
      <c r="L24" s="926">
        <v>42826</v>
      </c>
      <c r="M24" s="926">
        <v>43100</v>
      </c>
      <c r="N24" s="936">
        <v>43190</v>
      </c>
      <c r="O24" s="992">
        <v>43465</v>
      </c>
      <c r="P24" s="926"/>
      <c r="Q24" s="926"/>
      <c r="R24" s="926"/>
      <c r="S24" s="926"/>
      <c r="T24" s="926"/>
      <c r="U24" s="926"/>
      <c r="V24" s="926"/>
      <c r="W24" s="926"/>
      <c r="X24" s="936"/>
      <c r="Y24" s="936"/>
      <c r="Z24" s="936"/>
      <c r="AA24" s="936"/>
      <c r="AB24" s="936"/>
      <c r="AC24" s="936"/>
      <c r="AD24" s="936"/>
      <c r="AE24" s="936"/>
      <c r="AF24" s="936"/>
      <c r="AG24" s="936"/>
      <c r="AH24" s="936"/>
      <c r="AI24" s="640">
        <f ca="1" t="shared" si="3"/>
        <v>192.61546296296</v>
      </c>
      <c r="AJ24" s="121" t="str">
        <f ca="1" t="shared" si="1"/>
        <v>ACTIVE</v>
      </c>
      <c r="AK24" s="1072">
        <v>5500000</v>
      </c>
      <c r="AL24" s="946">
        <v>250000</v>
      </c>
      <c r="AM24" s="946" t="s">
        <v>583</v>
      </c>
      <c r="AN24" s="946" t="s">
        <v>583</v>
      </c>
      <c r="AO24" s="946">
        <v>300000</v>
      </c>
      <c r="AP24" s="946">
        <v>750000</v>
      </c>
      <c r="AQ24" s="946" t="s">
        <v>583</v>
      </c>
      <c r="AR24" s="946"/>
      <c r="AS24" s="956">
        <v>953757</v>
      </c>
      <c r="AT24" s="956">
        <v>953757</v>
      </c>
      <c r="AU24" s="956" t="s">
        <v>48</v>
      </c>
      <c r="AV24" s="925"/>
      <c r="AW24" s="925"/>
      <c r="AX24" s="285" t="s">
        <v>6889</v>
      </c>
      <c r="AY24" s="961" t="s">
        <v>6890</v>
      </c>
      <c r="AZ24" s="961" t="s">
        <v>6891</v>
      </c>
      <c r="BA24" s="961" t="s">
        <v>6892</v>
      </c>
      <c r="BB24" s="961" t="s">
        <v>6893</v>
      </c>
      <c r="BC24" s="961"/>
      <c r="BD24" s="961" t="s">
        <v>6894</v>
      </c>
      <c r="BE24" s="128" t="s">
        <v>6895</v>
      </c>
      <c r="BF24" s="967"/>
      <c r="BG24" s="1020" t="s">
        <v>6695</v>
      </c>
      <c r="BH24" s="1114">
        <v>43190</v>
      </c>
      <c r="BI24" s="906"/>
    </row>
    <row r="25" s="907" customFormat="1" ht="25.5" hidden="1" spans="2:61">
      <c r="B25" s="1551" t="s">
        <v>286</v>
      </c>
      <c r="C25" s="914" t="s">
        <v>6896</v>
      </c>
      <c r="D25" s="912" t="s">
        <v>6897</v>
      </c>
      <c r="E25" s="920" t="s">
        <v>6898</v>
      </c>
      <c r="F25" s="920" t="s">
        <v>43</v>
      </c>
      <c r="G25" s="920" t="s">
        <v>60</v>
      </c>
      <c r="H25" s="920" t="s">
        <v>60</v>
      </c>
      <c r="I25" s="925" t="s">
        <v>3528</v>
      </c>
      <c r="J25" s="925" t="s">
        <v>6741</v>
      </c>
      <c r="K25" s="912" t="s">
        <v>6865</v>
      </c>
      <c r="L25" s="926">
        <v>42826</v>
      </c>
      <c r="M25" s="926">
        <v>43100</v>
      </c>
      <c r="N25" s="936">
        <v>43190</v>
      </c>
      <c r="O25" s="1053">
        <v>43465</v>
      </c>
      <c r="P25" s="926">
        <v>43281</v>
      </c>
      <c r="Q25" s="1059">
        <v>43465</v>
      </c>
      <c r="R25" s="926"/>
      <c r="S25" s="926"/>
      <c r="T25" s="926"/>
      <c r="U25" s="926"/>
      <c r="V25" s="926"/>
      <c r="W25" s="926"/>
      <c r="X25" s="936"/>
      <c r="Y25" s="936"/>
      <c r="Z25" s="936"/>
      <c r="AA25" s="936"/>
      <c r="AB25" s="936"/>
      <c r="AC25" s="936"/>
      <c r="AD25" s="936"/>
      <c r="AE25" s="936"/>
      <c r="AF25" s="936"/>
      <c r="AG25" s="936"/>
      <c r="AH25" s="936"/>
      <c r="AI25" s="640">
        <f ca="1" t="shared" si="3"/>
        <v>192.61546296296</v>
      </c>
      <c r="AJ25" s="121" t="str">
        <f ca="1" t="shared" si="1"/>
        <v>ACTIVE</v>
      </c>
      <c r="AK25" s="1072">
        <v>4125000</v>
      </c>
      <c r="AL25" s="946">
        <v>200000</v>
      </c>
      <c r="AM25" s="946" t="s">
        <v>583</v>
      </c>
      <c r="AN25" s="946">
        <v>400000</v>
      </c>
      <c r="AO25" s="946">
        <v>300000</v>
      </c>
      <c r="AP25" s="946">
        <v>750000</v>
      </c>
      <c r="AQ25" s="946">
        <v>600000</v>
      </c>
      <c r="AR25" s="946"/>
      <c r="AS25" s="956">
        <v>715318</v>
      </c>
      <c r="AT25" s="956">
        <v>715318</v>
      </c>
      <c r="AU25" s="956" t="s">
        <v>48</v>
      </c>
      <c r="AV25" s="925"/>
      <c r="AW25" s="925"/>
      <c r="AX25" s="285" t="s">
        <v>6899</v>
      </c>
      <c r="AY25" s="961"/>
      <c r="AZ25" s="961" t="s">
        <v>6900</v>
      </c>
      <c r="BA25" s="961" t="s">
        <v>6901</v>
      </c>
      <c r="BB25" s="961" t="s">
        <v>6902</v>
      </c>
      <c r="BC25" s="961"/>
      <c r="BD25" s="961" t="s">
        <v>6903</v>
      </c>
      <c r="BE25" s="127" t="s">
        <v>6904</v>
      </c>
      <c r="BF25" s="967" t="s">
        <v>5146</v>
      </c>
      <c r="BG25" s="1118" t="s">
        <v>6695</v>
      </c>
      <c r="BH25" s="1119">
        <v>43465</v>
      </c>
      <c r="BI25" s="1130"/>
    </row>
    <row r="26" s="871" customFormat="1" ht="25.5" hidden="1" spans="2:61">
      <c r="B26" s="1551" t="s">
        <v>296</v>
      </c>
      <c r="C26" s="914" t="s">
        <v>6905</v>
      </c>
      <c r="D26" s="912" t="s">
        <v>6906</v>
      </c>
      <c r="E26" s="920" t="s">
        <v>6907</v>
      </c>
      <c r="F26" s="920" t="s">
        <v>125</v>
      </c>
      <c r="G26" s="920" t="s">
        <v>96</v>
      </c>
      <c r="H26" s="920" t="s">
        <v>96</v>
      </c>
      <c r="I26" s="925" t="s">
        <v>3528</v>
      </c>
      <c r="J26" s="925" t="s">
        <v>6741</v>
      </c>
      <c r="K26" s="912" t="s">
        <v>4766</v>
      </c>
      <c r="L26" s="926">
        <v>42826</v>
      </c>
      <c r="M26" s="926">
        <v>43008</v>
      </c>
      <c r="N26" s="926">
        <v>43190</v>
      </c>
      <c r="O26" s="926">
        <v>43373</v>
      </c>
      <c r="P26" s="926"/>
      <c r="Q26" s="926"/>
      <c r="R26" s="926"/>
      <c r="S26" s="926"/>
      <c r="T26" s="926"/>
      <c r="U26" s="926"/>
      <c r="V26" s="926"/>
      <c r="W26" s="926"/>
      <c r="X26" s="936"/>
      <c r="Y26" s="936"/>
      <c r="Z26" s="936"/>
      <c r="AA26" s="936"/>
      <c r="AB26" s="936"/>
      <c r="AC26" s="936"/>
      <c r="AD26" s="936"/>
      <c r="AE26" s="936"/>
      <c r="AF26" s="936"/>
      <c r="AG26" s="936"/>
      <c r="AH26" s="936"/>
      <c r="AI26" s="640">
        <f ca="1" t="shared" si="3"/>
        <v>100.61546296296</v>
      </c>
      <c r="AJ26" s="121" t="str">
        <f ca="1" t="shared" si="1"/>
        <v>ACTIVE</v>
      </c>
      <c r="AK26" s="1072">
        <v>5000000</v>
      </c>
      <c r="AL26" s="946">
        <v>250000</v>
      </c>
      <c r="AM26" s="946" t="s">
        <v>583</v>
      </c>
      <c r="AN26" s="946" t="s">
        <v>583</v>
      </c>
      <c r="AO26" s="946" t="s">
        <v>583</v>
      </c>
      <c r="AP26" s="946">
        <v>600000</v>
      </c>
      <c r="AQ26" s="946" t="s">
        <v>583</v>
      </c>
      <c r="AR26" s="946"/>
      <c r="AS26" s="956">
        <v>520231</v>
      </c>
      <c r="AT26" s="956">
        <v>520231</v>
      </c>
      <c r="AU26" s="956" t="s">
        <v>48</v>
      </c>
      <c r="AV26" s="925"/>
      <c r="AW26" s="925"/>
      <c r="AX26" s="285" t="s">
        <v>6908</v>
      </c>
      <c r="AY26" s="961" t="s">
        <v>6909</v>
      </c>
      <c r="AZ26" s="961" t="s">
        <v>6910</v>
      </c>
      <c r="BA26" s="961" t="s">
        <v>6911</v>
      </c>
      <c r="BB26" s="961" t="s">
        <v>6912</v>
      </c>
      <c r="BC26" s="961"/>
      <c r="BD26" s="961"/>
      <c r="BE26" s="128" t="s">
        <v>6913</v>
      </c>
      <c r="BF26" s="967"/>
      <c r="BG26" s="1020" t="s">
        <v>6851</v>
      </c>
      <c r="BH26" s="1114">
        <v>43190</v>
      </c>
      <c r="BI26" s="906"/>
    </row>
    <row r="27" s="1024" customFormat="1" ht="15.95" hidden="1" customHeight="1" spans="2:62">
      <c r="B27" s="1553" t="s">
        <v>308</v>
      </c>
      <c r="C27" s="1031" t="s">
        <v>6914</v>
      </c>
      <c r="D27" s="919" t="s">
        <v>6915</v>
      </c>
      <c r="E27" s="923" t="s">
        <v>6916</v>
      </c>
      <c r="F27" s="923" t="s">
        <v>43</v>
      </c>
      <c r="G27" s="923" t="s">
        <v>60</v>
      </c>
      <c r="H27" s="923" t="s">
        <v>60</v>
      </c>
      <c r="I27" s="927" t="s">
        <v>3528</v>
      </c>
      <c r="J27" s="927" t="s">
        <v>6741</v>
      </c>
      <c r="K27" s="919" t="s">
        <v>6888</v>
      </c>
      <c r="L27" s="928">
        <v>42826</v>
      </c>
      <c r="M27" s="928">
        <v>43100</v>
      </c>
      <c r="N27" s="942">
        <v>43190</v>
      </c>
      <c r="O27" s="1054">
        <v>43220</v>
      </c>
      <c r="P27" s="928">
        <v>43281</v>
      </c>
      <c r="Q27" s="928"/>
      <c r="R27" s="928"/>
      <c r="S27" s="928"/>
      <c r="T27" s="928"/>
      <c r="U27" s="928"/>
      <c r="V27" s="928"/>
      <c r="W27" s="928"/>
      <c r="X27" s="942"/>
      <c r="Y27" s="942"/>
      <c r="Z27" s="942"/>
      <c r="AA27" s="942"/>
      <c r="AB27" s="942"/>
      <c r="AC27" s="942"/>
      <c r="AD27" s="942"/>
      <c r="AE27" s="942"/>
      <c r="AF27" s="942"/>
      <c r="AG27" s="942"/>
      <c r="AH27" s="942"/>
      <c r="AI27" s="641">
        <f ca="1" t="shared" ref="AI27:AI31" si="4">SUM(P27-NOW())</f>
        <v>8.61546296296001</v>
      </c>
      <c r="AJ27" s="187" t="str">
        <f ca="1" t="shared" si="1"/>
        <v>WARNING</v>
      </c>
      <c r="AK27" s="1073">
        <v>7700000</v>
      </c>
      <c r="AL27" s="1074">
        <v>300000</v>
      </c>
      <c r="AM27" s="1074" t="s">
        <v>583</v>
      </c>
      <c r="AN27" s="1074"/>
      <c r="AO27" s="1074">
        <v>200000</v>
      </c>
      <c r="AP27" s="1074" t="s">
        <v>583</v>
      </c>
      <c r="AQ27" s="1074" t="s">
        <v>583</v>
      </c>
      <c r="AR27" s="1074" t="s">
        <v>583</v>
      </c>
      <c r="AS27" s="957" t="s">
        <v>6866</v>
      </c>
      <c r="AT27" s="960" t="s">
        <v>48</v>
      </c>
      <c r="AU27" s="960" t="s">
        <v>48</v>
      </c>
      <c r="AV27" s="927"/>
      <c r="AW27" s="927"/>
      <c r="AX27" s="290" t="s">
        <v>6917</v>
      </c>
      <c r="AY27" s="962" t="s">
        <v>6918</v>
      </c>
      <c r="AZ27" s="962" t="s">
        <v>6919</v>
      </c>
      <c r="BA27" s="962" t="s">
        <v>6920</v>
      </c>
      <c r="BB27" s="962" t="s">
        <v>6921</v>
      </c>
      <c r="BC27" s="962"/>
      <c r="BD27" s="962"/>
      <c r="BE27" s="229" t="s">
        <v>6922</v>
      </c>
      <c r="BF27" s="1052" t="s">
        <v>6718</v>
      </c>
      <c r="BG27" s="1116" t="s">
        <v>6695</v>
      </c>
      <c r="BH27" s="1117" t="s">
        <v>6923</v>
      </c>
      <c r="BI27" s="970"/>
      <c r="BJ27" s="971"/>
    </row>
    <row r="28" s="1025" customFormat="1" ht="15.95" hidden="1" customHeight="1" spans="2:62">
      <c r="B28" s="1551" t="s">
        <v>320</v>
      </c>
      <c r="C28" s="914" t="s">
        <v>6924</v>
      </c>
      <c r="D28" s="912" t="s">
        <v>6925</v>
      </c>
      <c r="E28" s="920" t="s">
        <v>6926</v>
      </c>
      <c r="F28" s="920" t="s">
        <v>125</v>
      </c>
      <c r="G28" s="920" t="s">
        <v>96</v>
      </c>
      <c r="H28" s="920" t="s">
        <v>96</v>
      </c>
      <c r="I28" s="925" t="s">
        <v>3528</v>
      </c>
      <c r="J28" s="925" t="s">
        <v>6741</v>
      </c>
      <c r="K28" s="912" t="s">
        <v>6927</v>
      </c>
      <c r="L28" s="926">
        <v>42826</v>
      </c>
      <c r="M28" s="926">
        <v>43100</v>
      </c>
      <c r="N28" s="936">
        <v>43190</v>
      </c>
      <c r="O28" s="993">
        <v>43281</v>
      </c>
      <c r="P28" s="1056">
        <v>43373</v>
      </c>
      <c r="Q28" s="926"/>
      <c r="R28" s="926"/>
      <c r="S28" s="926"/>
      <c r="T28" s="926"/>
      <c r="U28" s="926"/>
      <c r="V28" s="926"/>
      <c r="W28" s="926"/>
      <c r="X28" s="936"/>
      <c r="Y28" s="936"/>
      <c r="Z28" s="936"/>
      <c r="AA28" s="936"/>
      <c r="AB28" s="936"/>
      <c r="AC28" s="936"/>
      <c r="AD28" s="936"/>
      <c r="AE28" s="936"/>
      <c r="AF28" s="936"/>
      <c r="AG28" s="936"/>
      <c r="AH28" s="936"/>
      <c r="AI28" s="640">
        <f ca="1" t="shared" si="4"/>
        <v>100.61546296296</v>
      </c>
      <c r="AJ28" s="121" t="str">
        <f ca="1" t="shared" si="1"/>
        <v>ACTIVE</v>
      </c>
      <c r="AK28" s="1075">
        <v>7150000</v>
      </c>
      <c r="AL28" s="1076" t="s">
        <v>583</v>
      </c>
      <c r="AM28" s="1076" t="s">
        <v>583</v>
      </c>
      <c r="AN28" s="1076"/>
      <c r="AO28" s="1076" t="s">
        <v>583</v>
      </c>
      <c r="AP28" s="1076">
        <v>500000</v>
      </c>
      <c r="AQ28" s="1076" t="s">
        <v>583</v>
      </c>
      <c r="AR28" s="1076" t="s">
        <v>583</v>
      </c>
      <c r="AS28" s="1010" t="s">
        <v>6866</v>
      </c>
      <c r="AT28" s="956" t="s">
        <v>48</v>
      </c>
      <c r="AU28" s="956" t="s">
        <v>48</v>
      </c>
      <c r="AV28" s="925"/>
      <c r="AW28" s="925"/>
      <c r="AX28" s="285" t="s">
        <v>6928</v>
      </c>
      <c r="AY28" s="961" t="s">
        <v>6929</v>
      </c>
      <c r="AZ28" s="961" t="s">
        <v>6930</v>
      </c>
      <c r="BA28" s="961" t="s">
        <v>6931</v>
      </c>
      <c r="BB28" s="961" t="s">
        <v>6932</v>
      </c>
      <c r="BC28" s="961" t="s">
        <v>6933</v>
      </c>
      <c r="BD28" s="961"/>
      <c r="BE28" s="130" t="s">
        <v>6934</v>
      </c>
      <c r="BF28" s="967" t="s">
        <v>5146</v>
      </c>
      <c r="BG28" s="1118" t="s">
        <v>6695</v>
      </c>
      <c r="BH28" s="1119">
        <v>43190</v>
      </c>
      <c r="BI28" s="1130"/>
      <c r="BJ28" s="907"/>
    </row>
    <row r="29" s="1025" customFormat="1" ht="15.95" hidden="1" customHeight="1" spans="2:62">
      <c r="B29" s="1551" t="s">
        <v>333</v>
      </c>
      <c r="C29" s="914" t="s">
        <v>6935</v>
      </c>
      <c r="D29" s="912" t="s">
        <v>6936</v>
      </c>
      <c r="E29" s="920" t="s">
        <v>6937</v>
      </c>
      <c r="F29" s="920" t="s">
        <v>43</v>
      </c>
      <c r="G29" s="920" t="s">
        <v>60</v>
      </c>
      <c r="H29" s="920" t="s">
        <v>60</v>
      </c>
      <c r="I29" s="925" t="s">
        <v>2910</v>
      </c>
      <c r="J29" s="925" t="s">
        <v>6741</v>
      </c>
      <c r="K29" s="912" t="s">
        <v>6938</v>
      </c>
      <c r="L29" s="926">
        <v>42826</v>
      </c>
      <c r="M29" s="926">
        <v>43100</v>
      </c>
      <c r="N29" s="936">
        <v>43190</v>
      </c>
      <c r="O29" s="993">
        <v>43281</v>
      </c>
      <c r="P29" s="1056">
        <v>43465</v>
      </c>
      <c r="Q29" s="926"/>
      <c r="R29" s="926"/>
      <c r="S29" s="926"/>
      <c r="T29" s="926"/>
      <c r="U29" s="926"/>
      <c r="V29" s="926"/>
      <c r="W29" s="926"/>
      <c r="X29" s="936"/>
      <c r="Y29" s="936"/>
      <c r="Z29" s="936"/>
      <c r="AA29" s="936"/>
      <c r="AB29" s="936"/>
      <c r="AC29" s="936"/>
      <c r="AD29" s="936"/>
      <c r="AE29" s="936"/>
      <c r="AF29" s="936"/>
      <c r="AG29" s="936"/>
      <c r="AH29" s="936"/>
      <c r="AI29" s="640">
        <f ca="1" t="shared" si="4"/>
        <v>192.61546296296</v>
      </c>
      <c r="AJ29" s="121" t="str">
        <f ca="1" t="shared" si="1"/>
        <v>ACTIVE</v>
      </c>
      <c r="AK29" s="1075">
        <v>8240000</v>
      </c>
      <c r="AL29" s="1076">
        <v>550000</v>
      </c>
      <c r="AM29" s="1076">
        <v>3500000</v>
      </c>
      <c r="AN29" s="1076"/>
      <c r="AO29" s="1076" t="s">
        <v>583</v>
      </c>
      <c r="AP29" s="1076">
        <v>500000</v>
      </c>
      <c r="AQ29" s="1076" t="s">
        <v>583</v>
      </c>
      <c r="AR29" s="1076">
        <v>0</v>
      </c>
      <c r="AS29" s="1010" t="s">
        <v>6866</v>
      </c>
      <c r="AT29" s="956" t="s">
        <v>48</v>
      </c>
      <c r="AU29" s="956" t="s">
        <v>48</v>
      </c>
      <c r="AV29" s="925" t="s">
        <v>6939</v>
      </c>
      <c r="AW29" s="925"/>
      <c r="AX29" s="285" t="s">
        <v>6940</v>
      </c>
      <c r="AY29" s="961" t="s">
        <v>6941</v>
      </c>
      <c r="AZ29" s="961" t="s">
        <v>6942</v>
      </c>
      <c r="BA29" s="961" t="s">
        <v>6943</v>
      </c>
      <c r="BB29" s="961" t="s">
        <v>6944</v>
      </c>
      <c r="BC29" s="961" t="s">
        <v>6945</v>
      </c>
      <c r="BD29" s="961"/>
      <c r="BE29" s="130" t="s">
        <v>6946</v>
      </c>
      <c r="BF29" s="967" t="s">
        <v>5146</v>
      </c>
      <c r="BG29" s="1118" t="s">
        <v>6947</v>
      </c>
      <c r="BH29" s="1119">
        <v>43190</v>
      </c>
      <c r="BI29" s="1130"/>
      <c r="BJ29" s="907"/>
    </row>
    <row r="30" s="1025" customFormat="1" ht="15.95" hidden="1" customHeight="1" spans="2:62">
      <c r="B30" s="1551" t="s">
        <v>346</v>
      </c>
      <c r="C30" s="914" t="s">
        <v>6948</v>
      </c>
      <c r="D30" s="912" t="s">
        <v>6949</v>
      </c>
      <c r="E30" s="920" t="s">
        <v>6950</v>
      </c>
      <c r="F30" s="920" t="s">
        <v>43</v>
      </c>
      <c r="G30" s="920" t="s">
        <v>404</v>
      </c>
      <c r="H30" s="920" t="s">
        <v>404</v>
      </c>
      <c r="I30" s="925" t="s">
        <v>665</v>
      </c>
      <c r="J30" s="925" t="s">
        <v>6741</v>
      </c>
      <c r="K30" s="912" t="s">
        <v>6938</v>
      </c>
      <c r="L30" s="926">
        <v>42826</v>
      </c>
      <c r="M30" s="926">
        <v>43100</v>
      </c>
      <c r="N30" s="936">
        <v>43190</v>
      </c>
      <c r="O30" s="926">
        <v>43281</v>
      </c>
      <c r="P30" s="1056">
        <v>43465</v>
      </c>
      <c r="Q30" s="926"/>
      <c r="R30" s="926"/>
      <c r="S30" s="926"/>
      <c r="T30" s="926"/>
      <c r="U30" s="926"/>
      <c r="V30" s="926"/>
      <c r="W30" s="926"/>
      <c r="X30" s="936"/>
      <c r="Y30" s="936"/>
      <c r="Z30" s="936"/>
      <c r="AA30" s="936"/>
      <c r="AB30" s="936"/>
      <c r="AC30" s="936"/>
      <c r="AD30" s="936"/>
      <c r="AE30" s="936"/>
      <c r="AF30" s="936"/>
      <c r="AG30" s="936"/>
      <c r="AH30" s="936"/>
      <c r="AI30" s="640">
        <f ca="1" t="shared" si="4"/>
        <v>192.61546296296</v>
      </c>
      <c r="AJ30" s="121" t="str">
        <f ca="1" t="shared" si="1"/>
        <v>ACTIVE</v>
      </c>
      <c r="AK30" s="1075">
        <v>7725000</v>
      </c>
      <c r="AL30" s="1076">
        <v>350000</v>
      </c>
      <c r="AM30" s="1076">
        <v>2000000</v>
      </c>
      <c r="AN30" s="1076"/>
      <c r="AO30" s="1076" t="s">
        <v>583</v>
      </c>
      <c r="AP30" s="1076">
        <v>400000</v>
      </c>
      <c r="AQ30" s="1076" t="s">
        <v>583</v>
      </c>
      <c r="AR30" s="1076">
        <v>0</v>
      </c>
      <c r="AS30" s="1010" t="s">
        <v>6866</v>
      </c>
      <c r="AT30" s="956" t="s">
        <v>48</v>
      </c>
      <c r="AU30" s="956" t="s">
        <v>48</v>
      </c>
      <c r="AV30" s="925" t="s">
        <v>6951</v>
      </c>
      <c r="AW30" s="925"/>
      <c r="AX30" s="285" t="s">
        <v>6952</v>
      </c>
      <c r="AY30" s="961" t="s">
        <v>6953</v>
      </c>
      <c r="AZ30" s="961" t="s">
        <v>6954</v>
      </c>
      <c r="BA30" s="961" t="s">
        <v>6955</v>
      </c>
      <c r="BB30" s="961" t="s">
        <v>6956</v>
      </c>
      <c r="BC30" s="961" t="s">
        <v>6957</v>
      </c>
      <c r="BD30" s="961" t="s">
        <v>6958</v>
      </c>
      <c r="BE30" s="130" t="s">
        <v>6959</v>
      </c>
      <c r="BF30" s="967" t="s">
        <v>5146</v>
      </c>
      <c r="BG30" s="1118" t="s">
        <v>6947</v>
      </c>
      <c r="BH30" s="1119">
        <v>43190</v>
      </c>
      <c r="BI30" s="1130"/>
      <c r="BJ30" s="907"/>
    </row>
    <row r="31" s="1025" customFormat="1" ht="15.95" hidden="1" customHeight="1" spans="2:62">
      <c r="B31" s="1551" t="s">
        <v>357</v>
      </c>
      <c r="C31" s="914" t="s">
        <v>6960</v>
      </c>
      <c r="D31" s="912" t="s">
        <v>6961</v>
      </c>
      <c r="E31" s="920" t="s">
        <v>6962</v>
      </c>
      <c r="F31" s="920" t="s">
        <v>43</v>
      </c>
      <c r="G31" s="920" t="s">
        <v>60</v>
      </c>
      <c r="H31" s="920" t="s">
        <v>60</v>
      </c>
      <c r="I31" s="925" t="s">
        <v>6963</v>
      </c>
      <c r="J31" s="925" t="s">
        <v>6741</v>
      </c>
      <c r="K31" s="912" t="s">
        <v>6938</v>
      </c>
      <c r="L31" s="926">
        <v>42826</v>
      </c>
      <c r="M31" s="926">
        <v>43100</v>
      </c>
      <c r="N31" s="936">
        <v>43190</v>
      </c>
      <c r="O31" s="993">
        <v>43281</v>
      </c>
      <c r="P31" s="1056">
        <v>43465</v>
      </c>
      <c r="Q31" s="926"/>
      <c r="R31" s="926"/>
      <c r="S31" s="926"/>
      <c r="T31" s="926"/>
      <c r="U31" s="926"/>
      <c r="V31" s="926"/>
      <c r="W31" s="926"/>
      <c r="X31" s="936"/>
      <c r="Y31" s="936"/>
      <c r="Z31" s="936"/>
      <c r="AA31" s="936"/>
      <c r="AB31" s="936"/>
      <c r="AC31" s="936"/>
      <c r="AD31" s="936"/>
      <c r="AE31" s="936"/>
      <c r="AF31" s="936"/>
      <c r="AG31" s="936"/>
      <c r="AH31" s="936"/>
      <c r="AI31" s="640">
        <f ca="1" t="shared" si="4"/>
        <v>192.61546296296</v>
      </c>
      <c r="AJ31" s="121" t="str">
        <f ca="1" t="shared" si="1"/>
        <v>ACTIVE</v>
      </c>
      <c r="AK31" s="1075">
        <v>6600000</v>
      </c>
      <c r="AL31" s="1076">
        <v>500000</v>
      </c>
      <c r="AM31" s="1076">
        <v>2800000</v>
      </c>
      <c r="AN31" s="1076"/>
      <c r="AO31" s="1076" t="s">
        <v>583</v>
      </c>
      <c r="AP31" s="1076" t="s">
        <v>583</v>
      </c>
      <c r="AQ31" s="1076" t="s">
        <v>583</v>
      </c>
      <c r="AR31" s="1076">
        <v>0</v>
      </c>
      <c r="AS31" s="1010" t="s">
        <v>6866</v>
      </c>
      <c r="AT31" s="956" t="s">
        <v>48</v>
      </c>
      <c r="AU31" s="956" t="s">
        <v>48</v>
      </c>
      <c r="AV31" s="925" t="s">
        <v>6951</v>
      </c>
      <c r="AW31" s="925"/>
      <c r="AX31" s="285" t="s">
        <v>6964</v>
      </c>
      <c r="AY31" s="961" t="s">
        <v>6965</v>
      </c>
      <c r="AZ31" s="961" t="s">
        <v>6966</v>
      </c>
      <c r="BA31" s="961" t="s">
        <v>6967</v>
      </c>
      <c r="BB31" s="961" t="s">
        <v>6968</v>
      </c>
      <c r="BC31" s="961" t="s">
        <v>6969</v>
      </c>
      <c r="BD31" s="961" t="s">
        <v>6970</v>
      </c>
      <c r="BE31" s="130" t="s">
        <v>6971</v>
      </c>
      <c r="BF31" s="967" t="s">
        <v>5146</v>
      </c>
      <c r="BG31" s="1118" t="s">
        <v>6947</v>
      </c>
      <c r="BH31" s="1119">
        <v>43190</v>
      </c>
      <c r="BI31" s="1130"/>
      <c r="BJ31" s="907"/>
    </row>
    <row r="32" s="1026" customFormat="1" ht="25.5" hidden="1" spans="2:62">
      <c r="B32" s="1551" t="s">
        <v>369</v>
      </c>
      <c r="C32" s="914" t="s">
        <v>6972</v>
      </c>
      <c r="D32" s="837" t="s">
        <v>6973</v>
      </c>
      <c r="E32" s="1043" t="s">
        <v>6974</v>
      </c>
      <c r="F32" s="1043" t="s">
        <v>43</v>
      </c>
      <c r="G32" s="1043" t="s">
        <v>404</v>
      </c>
      <c r="H32" s="1043" t="s">
        <v>404</v>
      </c>
      <c r="I32" s="1049" t="s">
        <v>2910</v>
      </c>
      <c r="J32" s="925" t="s">
        <v>6741</v>
      </c>
      <c r="K32" s="1049" t="s">
        <v>993</v>
      </c>
      <c r="L32" s="1050">
        <v>42861</v>
      </c>
      <c r="M32" s="1050">
        <v>42952</v>
      </c>
      <c r="N32" s="1053">
        <v>43039</v>
      </c>
      <c r="O32" s="1050">
        <v>43100</v>
      </c>
      <c r="P32" s="936">
        <v>43190</v>
      </c>
      <c r="Q32" s="1060">
        <v>43281</v>
      </c>
      <c r="R32" s="1058">
        <v>43373</v>
      </c>
      <c r="S32" s="1050"/>
      <c r="T32" s="1050"/>
      <c r="U32" s="1050"/>
      <c r="V32" s="1050"/>
      <c r="W32" s="1050"/>
      <c r="X32" s="1050"/>
      <c r="Y32" s="1050"/>
      <c r="Z32" s="1050"/>
      <c r="AA32" s="1050"/>
      <c r="AB32" s="1050"/>
      <c r="AC32" s="1050"/>
      <c r="AD32" s="1050"/>
      <c r="AE32" s="1050"/>
      <c r="AF32" s="1050"/>
      <c r="AG32" s="1050"/>
      <c r="AH32" s="936"/>
      <c r="AI32" s="640">
        <f ca="1">SUM(R32-NOW())</f>
        <v>100.61546296296</v>
      </c>
      <c r="AJ32" s="121" t="str">
        <f ca="1" t="shared" si="1"/>
        <v>ACTIVE</v>
      </c>
      <c r="AK32" s="1077">
        <v>7000000</v>
      </c>
      <c r="AL32" s="1077">
        <v>500000</v>
      </c>
      <c r="AM32" s="1078">
        <v>3000000</v>
      </c>
      <c r="AN32" s="1079"/>
      <c r="AO32" s="1078">
        <v>250000</v>
      </c>
      <c r="AP32" s="1078">
        <v>500000</v>
      </c>
      <c r="AQ32" s="1083">
        <v>1500000</v>
      </c>
      <c r="AR32" s="1078"/>
      <c r="AS32" s="1049" t="s">
        <v>0</v>
      </c>
      <c r="AT32" s="1078" t="s">
        <v>48</v>
      </c>
      <c r="AU32" s="1078" t="s">
        <v>48</v>
      </c>
      <c r="AV32" s="925" t="s">
        <v>6975</v>
      </c>
      <c r="AW32" s="1101"/>
      <c r="AX32" s="1102" t="s">
        <v>6976</v>
      </c>
      <c r="AY32" s="1103" t="s">
        <v>6977</v>
      </c>
      <c r="AZ32" s="1103" t="s">
        <v>6978</v>
      </c>
      <c r="BA32" s="1103" t="s">
        <v>6979</v>
      </c>
      <c r="BB32" s="1103" t="s">
        <v>6980</v>
      </c>
      <c r="BC32" s="1103"/>
      <c r="BD32" s="1103" t="s">
        <v>6981</v>
      </c>
      <c r="BE32" s="128" t="s">
        <v>6982</v>
      </c>
      <c r="BF32" s="1123"/>
      <c r="BG32" s="1020" t="s">
        <v>6695</v>
      </c>
      <c r="BH32" s="1114">
        <v>43190</v>
      </c>
      <c r="BI32" s="906"/>
      <c r="BJ32" s="871"/>
    </row>
    <row r="33" s="1024" customFormat="1" ht="14.1" hidden="1" customHeight="1" spans="2:62">
      <c r="B33" s="1553" t="s">
        <v>381</v>
      </c>
      <c r="C33" s="1031" t="s">
        <v>6983</v>
      </c>
      <c r="D33" s="838" t="s">
        <v>6984</v>
      </c>
      <c r="E33" s="1044" t="s">
        <v>6985</v>
      </c>
      <c r="F33" s="1044" t="s">
        <v>43</v>
      </c>
      <c r="G33" s="1044" t="s">
        <v>44</v>
      </c>
      <c r="H33" s="1044" t="s">
        <v>44</v>
      </c>
      <c r="I33" s="1051" t="s">
        <v>2910</v>
      </c>
      <c r="J33" s="927" t="s">
        <v>6741</v>
      </c>
      <c r="K33" s="1051" t="s">
        <v>993</v>
      </c>
      <c r="L33" s="1052">
        <v>42854</v>
      </c>
      <c r="M33" s="1052">
        <v>42944</v>
      </c>
      <c r="N33" s="1054">
        <v>43039</v>
      </c>
      <c r="O33" s="1052">
        <v>43100</v>
      </c>
      <c r="P33" s="942">
        <v>43190</v>
      </c>
      <c r="Q33" s="1052">
        <v>43220</v>
      </c>
      <c r="R33" s="1061">
        <v>43250</v>
      </c>
      <c r="S33" s="1052"/>
      <c r="T33" s="1052"/>
      <c r="U33" s="1052"/>
      <c r="V33" s="1052"/>
      <c r="W33" s="1052"/>
      <c r="X33" s="1052"/>
      <c r="Y33" s="1052"/>
      <c r="Z33" s="1052"/>
      <c r="AA33" s="1052"/>
      <c r="AB33" s="1052"/>
      <c r="AC33" s="1052"/>
      <c r="AD33" s="1052"/>
      <c r="AE33" s="1052"/>
      <c r="AF33" s="1052"/>
      <c r="AG33" s="1052"/>
      <c r="AH33" s="942"/>
      <c r="AI33" s="641">
        <f ca="1">SUM(R33-NOW())</f>
        <v>-22.38453703704</v>
      </c>
      <c r="AJ33" s="187" t="str">
        <f ca="1" t="shared" si="1"/>
        <v>WARNING</v>
      </c>
      <c r="AK33" s="1080">
        <v>6500000</v>
      </c>
      <c r="AL33" s="1080">
        <v>500000</v>
      </c>
      <c r="AM33" s="1081">
        <v>2500000</v>
      </c>
      <c r="AN33" s="1082"/>
      <c r="AO33" s="1081">
        <v>250000</v>
      </c>
      <c r="AP33" s="1081">
        <v>500000</v>
      </c>
      <c r="AQ33" s="1086">
        <v>1500000</v>
      </c>
      <c r="AR33" s="1081"/>
      <c r="AS33" s="1051" t="s">
        <v>0</v>
      </c>
      <c r="AT33" s="1081" t="s">
        <v>48</v>
      </c>
      <c r="AU33" s="1081" t="s">
        <v>48</v>
      </c>
      <c r="AV33" s="927"/>
      <c r="AW33" s="1062"/>
      <c r="AX33" s="1104" t="s">
        <v>6986</v>
      </c>
      <c r="AY33" s="1095" t="s">
        <v>6987</v>
      </c>
      <c r="AZ33" s="1095" t="s">
        <v>6988</v>
      </c>
      <c r="BA33" s="1095" t="s">
        <v>6989</v>
      </c>
      <c r="BB33" s="1095"/>
      <c r="BC33" s="1095" t="s">
        <v>6990</v>
      </c>
      <c r="BD33" s="1095"/>
      <c r="BE33" s="229" t="s">
        <v>6991</v>
      </c>
      <c r="BF33" s="1124" t="s">
        <v>6923</v>
      </c>
      <c r="BG33" s="1116" t="s">
        <v>6695</v>
      </c>
      <c r="BH33" s="1117">
        <v>43190</v>
      </c>
      <c r="BI33" s="970"/>
      <c r="BJ33" s="971"/>
    </row>
    <row r="34" s="1025" customFormat="1" ht="15.95" hidden="1" customHeight="1" spans="2:62">
      <c r="B34" s="1551" t="s">
        <v>390</v>
      </c>
      <c r="C34" s="914" t="s">
        <v>6992</v>
      </c>
      <c r="D34" s="1035" t="s">
        <v>6993</v>
      </c>
      <c r="E34" s="1045" t="s">
        <v>6994</v>
      </c>
      <c r="F34" s="1043" t="s">
        <v>43</v>
      </c>
      <c r="G34" s="1043" t="s">
        <v>404</v>
      </c>
      <c r="H34" s="1043" t="s">
        <v>404</v>
      </c>
      <c r="I34" s="1049" t="s">
        <v>3528</v>
      </c>
      <c r="J34" s="925" t="s">
        <v>6741</v>
      </c>
      <c r="K34" s="1049" t="s">
        <v>6995</v>
      </c>
      <c r="L34" s="1053">
        <v>42887</v>
      </c>
      <c r="M34" s="1053">
        <v>43251</v>
      </c>
      <c r="N34" s="1053">
        <v>43465</v>
      </c>
      <c r="O34" s="1057">
        <v>43281</v>
      </c>
      <c r="P34" s="1058">
        <v>43373</v>
      </c>
      <c r="Q34" s="1053"/>
      <c r="R34" s="1053"/>
      <c r="S34" s="1053"/>
      <c r="T34" s="1053"/>
      <c r="U34" s="1053"/>
      <c r="V34" s="1053"/>
      <c r="W34" s="1053"/>
      <c r="X34" s="1053"/>
      <c r="Y34" s="1053"/>
      <c r="Z34" s="1053"/>
      <c r="AA34" s="1053"/>
      <c r="AB34" s="1053"/>
      <c r="AC34" s="1053"/>
      <c r="AD34" s="1053"/>
      <c r="AE34" s="1053"/>
      <c r="AF34" s="1053"/>
      <c r="AG34" s="1053"/>
      <c r="AH34" s="936"/>
      <c r="AI34" s="640">
        <f ca="1">SUM(P34-NOW())</f>
        <v>100.61546296296</v>
      </c>
      <c r="AJ34" s="121" t="str">
        <f ca="1" t="shared" si="1"/>
        <v>ACTIVE</v>
      </c>
      <c r="AK34" s="1083">
        <v>10000000</v>
      </c>
      <c r="AL34" s="1083">
        <v>250000</v>
      </c>
      <c r="AM34" s="1078" t="s">
        <v>583</v>
      </c>
      <c r="AN34" s="1084" t="s">
        <v>583</v>
      </c>
      <c r="AO34" s="1078">
        <v>250000</v>
      </c>
      <c r="AP34" s="1078">
        <v>700000</v>
      </c>
      <c r="AQ34" s="1083">
        <v>1000000</v>
      </c>
      <c r="AR34" s="1083" t="s">
        <v>583</v>
      </c>
      <c r="AS34" s="1049" t="s">
        <v>0</v>
      </c>
      <c r="AT34" s="1078" t="s">
        <v>48</v>
      </c>
      <c r="AU34" s="1078" t="s">
        <v>48</v>
      </c>
      <c r="AV34" s="1049"/>
      <c r="AW34" s="1101"/>
      <c r="AX34" s="1102" t="s">
        <v>6996</v>
      </c>
      <c r="AY34" s="1103" t="s">
        <v>6997</v>
      </c>
      <c r="AZ34" s="1103" t="s">
        <v>6998</v>
      </c>
      <c r="BA34" s="1107" t="s">
        <v>6999</v>
      </c>
      <c r="BB34" s="1107" t="s">
        <v>7000</v>
      </c>
      <c r="BC34" s="1107" t="s">
        <v>7001</v>
      </c>
      <c r="BD34" s="1568" t="s">
        <v>7002</v>
      </c>
      <c r="BE34" s="130" t="s">
        <v>7003</v>
      </c>
      <c r="BF34" s="967" t="s">
        <v>5146</v>
      </c>
      <c r="BG34" s="1118" t="s">
        <v>6851</v>
      </c>
      <c r="BH34" s="1119">
        <v>43465</v>
      </c>
      <c r="BI34" s="1130"/>
      <c r="BJ34" s="907"/>
    </row>
    <row r="35" s="1025" customFormat="1" ht="15.95" hidden="1" customHeight="1" spans="2:62">
      <c r="B35" s="1551" t="s">
        <v>400</v>
      </c>
      <c r="C35" s="914" t="s">
        <v>7004</v>
      </c>
      <c r="D35" s="1035" t="s">
        <v>7005</v>
      </c>
      <c r="E35" s="1045" t="s">
        <v>7006</v>
      </c>
      <c r="F35" s="1043" t="s">
        <v>125</v>
      </c>
      <c r="G35" s="1043" t="s">
        <v>254</v>
      </c>
      <c r="H35" s="1043" t="s">
        <v>254</v>
      </c>
      <c r="I35" s="1049" t="s">
        <v>3528</v>
      </c>
      <c r="J35" s="925" t="s">
        <v>6741</v>
      </c>
      <c r="K35" s="1049" t="s">
        <v>7007</v>
      </c>
      <c r="L35" s="1053">
        <v>42887</v>
      </c>
      <c r="M35" s="1053">
        <v>43251</v>
      </c>
      <c r="N35" s="1053">
        <v>43281</v>
      </c>
      <c r="O35" s="1056">
        <v>43465</v>
      </c>
      <c r="P35" s="1053"/>
      <c r="Q35" s="1053"/>
      <c r="R35" s="1053"/>
      <c r="S35" s="1053"/>
      <c r="T35" s="1053"/>
      <c r="U35" s="1053"/>
      <c r="V35" s="1053"/>
      <c r="W35" s="1053"/>
      <c r="X35" s="1053"/>
      <c r="Y35" s="1053"/>
      <c r="Z35" s="1053"/>
      <c r="AA35" s="1053"/>
      <c r="AB35" s="1053"/>
      <c r="AC35" s="1053"/>
      <c r="AD35" s="1053"/>
      <c r="AE35" s="1053"/>
      <c r="AF35" s="1053"/>
      <c r="AG35" s="1053"/>
      <c r="AH35" s="936"/>
      <c r="AI35" s="640">
        <f ca="1">SUM(O35-NOW())</f>
        <v>192.61546296296</v>
      </c>
      <c r="AJ35" s="121" t="str">
        <f ca="1" t="shared" si="1"/>
        <v>ACTIVE</v>
      </c>
      <c r="AK35" s="1083">
        <v>11146575</v>
      </c>
      <c r="AL35" s="1083">
        <v>250000</v>
      </c>
      <c r="AM35" s="1078" t="s">
        <v>583</v>
      </c>
      <c r="AN35" s="1084" t="s">
        <v>583</v>
      </c>
      <c r="AO35" s="1078">
        <v>250000</v>
      </c>
      <c r="AP35" s="1078">
        <v>700000</v>
      </c>
      <c r="AQ35" s="1083">
        <v>1000000</v>
      </c>
      <c r="AR35" s="1083"/>
      <c r="AS35" s="1083">
        <v>180625</v>
      </c>
      <c r="AT35" s="1078" t="s">
        <v>48</v>
      </c>
      <c r="AU35" s="1078" t="s">
        <v>48</v>
      </c>
      <c r="AV35" s="1049"/>
      <c r="AW35" s="1101"/>
      <c r="AX35" s="1102" t="s">
        <v>7008</v>
      </c>
      <c r="AY35" s="1103" t="s">
        <v>7009</v>
      </c>
      <c r="AZ35" s="1103" t="s">
        <v>7010</v>
      </c>
      <c r="BA35" s="1107" t="s">
        <v>7011</v>
      </c>
      <c r="BB35" s="1107" t="s">
        <v>7012</v>
      </c>
      <c r="BC35" s="1569" t="s">
        <v>7013</v>
      </c>
      <c r="BD35" s="1568" t="s">
        <v>7014</v>
      </c>
      <c r="BE35" s="130" t="s">
        <v>7015</v>
      </c>
      <c r="BF35" s="967" t="s">
        <v>5146</v>
      </c>
      <c r="BG35" s="1118" t="s">
        <v>6851</v>
      </c>
      <c r="BH35" s="1119">
        <v>43281</v>
      </c>
      <c r="BI35" s="1130"/>
      <c r="BJ35" s="907"/>
    </row>
    <row r="36" s="974" customFormat="1" hidden="1" spans="2:59">
      <c r="B36" s="1551" t="s">
        <v>411</v>
      </c>
      <c r="C36" s="164" t="s">
        <v>7016</v>
      </c>
      <c r="D36" s="837" t="s">
        <v>7017</v>
      </c>
      <c r="E36" s="1043" t="s">
        <v>7018</v>
      </c>
      <c r="F36" s="1043" t="s">
        <v>125</v>
      </c>
      <c r="G36" s="1043" t="s">
        <v>44</v>
      </c>
      <c r="H36" s="1043" t="s">
        <v>44</v>
      </c>
      <c r="I36" s="1049" t="s">
        <v>7019</v>
      </c>
      <c r="J36" s="837" t="s">
        <v>7020</v>
      </c>
      <c r="K36" s="1049" t="s">
        <v>781</v>
      </c>
      <c r="L36" s="1050">
        <v>43160</v>
      </c>
      <c r="M36" s="1050">
        <v>43343</v>
      </c>
      <c r="N36" s="1058">
        <v>43465</v>
      </c>
      <c r="O36" s="1050"/>
      <c r="P36" s="1050"/>
      <c r="Q36" s="1050"/>
      <c r="R36" s="936"/>
      <c r="S36" s="936"/>
      <c r="T36" s="1050"/>
      <c r="U36" s="1050"/>
      <c r="V36" s="1050"/>
      <c r="W36" s="1050"/>
      <c r="X36" s="1050"/>
      <c r="Y36" s="1050"/>
      <c r="Z36" s="1050"/>
      <c r="AA36" s="1050"/>
      <c r="AB36" s="1050"/>
      <c r="AC36" s="1050"/>
      <c r="AD36" s="1050"/>
      <c r="AE36" s="1050"/>
      <c r="AF36" s="1050"/>
      <c r="AG36" s="1050"/>
      <c r="AH36" s="936"/>
      <c r="AI36" s="640">
        <f ca="1">SUM(N36-NOW())</f>
        <v>192.61546296296</v>
      </c>
      <c r="AJ36" s="121" t="str">
        <f ca="1" t="shared" si="1"/>
        <v>ACTIVE</v>
      </c>
      <c r="AK36" s="1077">
        <v>4000000</v>
      </c>
      <c r="AL36" s="1083">
        <v>250000</v>
      </c>
      <c r="AM36" s="1078"/>
      <c r="AN36" s="1085"/>
      <c r="AO36" s="1078">
        <v>250000</v>
      </c>
      <c r="AP36" s="1079">
        <v>500000</v>
      </c>
      <c r="AQ36" s="1079"/>
      <c r="AR36" s="1078"/>
      <c r="AS36" s="1049" t="s">
        <v>7021</v>
      </c>
      <c r="AT36" s="1078" t="s">
        <v>48</v>
      </c>
      <c r="AU36" s="1078" t="s">
        <v>48</v>
      </c>
      <c r="AV36" s="1049"/>
      <c r="AW36" s="1101"/>
      <c r="AX36" s="1102" t="s">
        <v>7022</v>
      </c>
      <c r="AY36" s="1103" t="s">
        <v>7023</v>
      </c>
      <c r="AZ36" s="1103" t="s">
        <v>7024</v>
      </c>
      <c r="BA36" s="1536" t="s">
        <v>7025</v>
      </c>
      <c r="BB36" s="1103"/>
      <c r="BC36" s="1103"/>
      <c r="BD36" s="1103"/>
      <c r="BE36" s="127" t="s">
        <v>7026</v>
      </c>
      <c r="BF36" s="1050"/>
      <c r="BG36" s="1020"/>
    </row>
    <row r="37" s="974" customFormat="1" ht="21" hidden="1" spans="2:59">
      <c r="B37" s="1551" t="s">
        <v>424</v>
      </c>
      <c r="C37" s="837" t="s">
        <v>7027</v>
      </c>
      <c r="D37" s="837" t="s">
        <v>7028</v>
      </c>
      <c r="E37" s="1043" t="s">
        <v>7029</v>
      </c>
      <c r="F37" s="1043" t="s">
        <v>125</v>
      </c>
      <c r="G37" s="1043" t="s">
        <v>44</v>
      </c>
      <c r="H37" s="1043" t="s">
        <v>44</v>
      </c>
      <c r="I37" s="1049" t="s">
        <v>757</v>
      </c>
      <c r="J37" s="837" t="s">
        <v>7020</v>
      </c>
      <c r="K37" s="1049" t="s">
        <v>508</v>
      </c>
      <c r="L37" s="1050">
        <v>43194</v>
      </c>
      <c r="M37" s="1050">
        <v>43251</v>
      </c>
      <c r="N37" s="1058">
        <v>43465</v>
      </c>
      <c r="O37" s="1050"/>
      <c r="P37" s="1050"/>
      <c r="Q37" s="1050"/>
      <c r="R37" s="936"/>
      <c r="S37" s="936"/>
      <c r="T37" s="1050"/>
      <c r="U37" s="1050"/>
      <c r="V37" s="1050"/>
      <c r="W37" s="1050"/>
      <c r="X37" s="1050"/>
      <c r="Y37" s="1050"/>
      <c r="Z37" s="1050"/>
      <c r="AA37" s="1050"/>
      <c r="AB37" s="1050"/>
      <c r="AC37" s="1050"/>
      <c r="AD37" s="1050"/>
      <c r="AE37" s="1050"/>
      <c r="AF37" s="1050"/>
      <c r="AG37" s="1050"/>
      <c r="AH37" s="936"/>
      <c r="AI37" s="640">
        <f ca="1">SUM(N37-NOW())</f>
        <v>192.61546296296</v>
      </c>
      <c r="AJ37" s="121" t="str">
        <f ca="1" t="shared" si="1"/>
        <v>ACTIVE</v>
      </c>
      <c r="AK37" s="1077">
        <v>4800000</v>
      </c>
      <c r="AL37" s="1083">
        <v>250000</v>
      </c>
      <c r="AM37" s="1078"/>
      <c r="AN37" s="1085" t="s">
        <v>583</v>
      </c>
      <c r="AO37" s="1078">
        <v>200000</v>
      </c>
      <c r="AP37" s="1079">
        <v>500000</v>
      </c>
      <c r="AQ37" s="1079"/>
      <c r="AR37" s="1078" t="s">
        <v>583</v>
      </c>
      <c r="AS37" s="1049" t="s">
        <v>7021</v>
      </c>
      <c r="AT37" s="1078" t="s">
        <v>48</v>
      </c>
      <c r="AU37" s="1078" t="s">
        <v>48</v>
      </c>
      <c r="AV37" s="1049"/>
      <c r="AW37" s="1101"/>
      <c r="AX37" s="1102" t="s">
        <v>7030</v>
      </c>
      <c r="AY37" s="1103"/>
      <c r="AZ37" s="1103" t="s">
        <v>7031</v>
      </c>
      <c r="BA37" s="1536" t="s">
        <v>7032</v>
      </c>
      <c r="BB37" s="1103"/>
      <c r="BC37" s="1103"/>
      <c r="BD37" s="1103" t="s">
        <v>7033</v>
      </c>
      <c r="BE37" s="127" t="s">
        <v>7034</v>
      </c>
      <c r="BF37" s="1050"/>
      <c r="BG37" s="1020"/>
    </row>
    <row r="38" s="974" customFormat="1" ht="13.5" hidden="1" spans="51:58">
      <c r="AY38" s="1105"/>
      <c r="AZ38" s="1105"/>
      <c r="BA38" s="1105"/>
      <c r="BB38" s="1105"/>
      <c r="BC38" s="1105"/>
      <c r="BD38" s="1105"/>
      <c r="BE38" s="1105"/>
      <c r="BF38" s="1125"/>
    </row>
    <row r="39" s="974" customFormat="1" ht="13.5" hidden="1" spans="2:58">
      <c r="B39" s="1036" t="s">
        <v>2552</v>
      </c>
      <c r="C39" s="1037"/>
      <c r="AY39" s="1105"/>
      <c r="AZ39" s="1105"/>
      <c r="BA39" s="1105"/>
      <c r="BB39" s="1105"/>
      <c r="BC39" s="1105"/>
      <c r="BD39" s="1105"/>
      <c r="BE39" s="1105"/>
      <c r="BF39" s="1125"/>
    </row>
    <row r="40" s="974" customFormat="1" ht="14.1" hidden="1" customHeight="1" spans="2:59">
      <c r="B40" s="1553" t="s">
        <v>473</v>
      </c>
      <c r="C40" s="1031" t="s">
        <v>7035</v>
      </c>
      <c r="D40" s="838" t="s">
        <v>7036</v>
      </c>
      <c r="E40" s="1044" t="s">
        <v>7037</v>
      </c>
      <c r="F40" s="1044" t="s">
        <v>43</v>
      </c>
      <c r="G40" s="1044" t="s">
        <v>44</v>
      </c>
      <c r="H40" s="1044" t="s">
        <v>44</v>
      </c>
      <c r="I40" s="1051" t="s">
        <v>7038</v>
      </c>
      <c r="J40" s="1051" t="s">
        <v>7039</v>
      </c>
      <c r="K40" s="1051" t="s">
        <v>7040</v>
      </c>
      <c r="L40" s="1052">
        <v>42760</v>
      </c>
      <c r="M40" s="1052">
        <v>42818</v>
      </c>
      <c r="N40" s="1052">
        <v>42855</v>
      </c>
      <c r="O40" s="1052">
        <v>42947</v>
      </c>
      <c r="P40" s="1052">
        <v>43039</v>
      </c>
      <c r="Q40" s="1052"/>
      <c r="R40" s="1052"/>
      <c r="S40" s="1052"/>
      <c r="T40" s="1052"/>
      <c r="U40" s="1052"/>
      <c r="V40" s="1052"/>
      <c r="W40" s="1052"/>
      <c r="X40" s="1052"/>
      <c r="Y40" s="1052"/>
      <c r="Z40" s="1052"/>
      <c r="AA40" s="1052"/>
      <c r="AB40" s="1052"/>
      <c r="AC40" s="1052"/>
      <c r="AD40" s="1052"/>
      <c r="AE40" s="1052"/>
      <c r="AF40" s="1052"/>
      <c r="AG40" s="1052"/>
      <c r="AH40" s="1052"/>
      <c r="AI40" s="641">
        <v>-78.5370124999972</v>
      </c>
      <c r="AJ40" s="187" t="s">
        <v>2569</v>
      </c>
      <c r="AK40" s="1080">
        <v>9991000</v>
      </c>
      <c r="AL40" s="1080">
        <v>500000</v>
      </c>
      <c r="AM40" s="1081">
        <v>2000000</v>
      </c>
      <c r="AN40" s="1082"/>
      <c r="AO40" s="1081">
        <v>250000</v>
      </c>
      <c r="AP40" s="1081">
        <v>500000</v>
      </c>
      <c r="AQ40" s="1081">
        <v>1500000</v>
      </c>
      <c r="AR40" s="1081"/>
      <c r="AS40" s="1051" t="s">
        <v>0</v>
      </c>
      <c r="AT40" s="1081" t="s">
        <v>48</v>
      </c>
      <c r="AU40" s="1081" t="s">
        <v>48</v>
      </c>
      <c r="AV40" s="927" t="s">
        <v>7041</v>
      </c>
      <c r="AW40" s="1062"/>
      <c r="AX40" s="1104" t="s">
        <v>7042</v>
      </c>
      <c r="AY40" s="1095" t="s">
        <v>7043</v>
      </c>
      <c r="AZ40" s="1095" t="s">
        <v>7044</v>
      </c>
      <c r="BA40" s="1545" t="s">
        <v>7045</v>
      </c>
      <c r="BB40" s="1095" t="s">
        <v>7046</v>
      </c>
      <c r="BC40" s="1095" t="s">
        <v>7047</v>
      </c>
      <c r="BD40" s="1095"/>
      <c r="BE40" s="1126" t="s">
        <v>7048</v>
      </c>
      <c r="BF40" s="1124" t="s">
        <v>7049</v>
      </c>
      <c r="BG40" s="1020">
        <v>43039</v>
      </c>
    </row>
    <row r="41" s="974" customFormat="1" ht="14.1" hidden="1" customHeight="1" spans="2:58">
      <c r="B41" s="1551" t="s">
        <v>514</v>
      </c>
      <c r="C41" s="1031" t="s">
        <v>7050</v>
      </c>
      <c r="D41" s="838" t="s">
        <v>7051</v>
      </c>
      <c r="E41" s="1044" t="s">
        <v>7052</v>
      </c>
      <c r="F41" s="1044" t="s">
        <v>43</v>
      </c>
      <c r="G41" s="1044" t="s">
        <v>60</v>
      </c>
      <c r="H41" s="1044" t="s">
        <v>60</v>
      </c>
      <c r="I41" s="1051" t="s">
        <v>2910</v>
      </c>
      <c r="J41" s="927" t="s">
        <v>6741</v>
      </c>
      <c r="K41" s="1051" t="s">
        <v>993</v>
      </c>
      <c r="L41" s="1052">
        <v>42861</v>
      </c>
      <c r="M41" s="1052">
        <v>42952</v>
      </c>
      <c r="N41" s="1052"/>
      <c r="O41" s="1052"/>
      <c r="P41" s="1052"/>
      <c r="Q41" s="1052"/>
      <c r="R41" s="1052"/>
      <c r="S41" s="1052"/>
      <c r="T41" s="1052"/>
      <c r="U41" s="1052"/>
      <c r="V41" s="1052"/>
      <c r="W41" s="1052"/>
      <c r="X41" s="1052"/>
      <c r="Y41" s="1052"/>
      <c r="Z41" s="1052"/>
      <c r="AA41" s="1052"/>
      <c r="AB41" s="1052"/>
      <c r="AC41" s="1052"/>
      <c r="AD41" s="1052"/>
      <c r="AE41" s="1052"/>
      <c r="AF41" s="1052"/>
      <c r="AG41" s="1052"/>
      <c r="AH41" s="1052"/>
      <c r="AI41" s="641">
        <v>-48.5862274305546</v>
      </c>
      <c r="AJ41" s="187" t="s">
        <v>2569</v>
      </c>
      <c r="AK41" s="1080">
        <v>8000000</v>
      </c>
      <c r="AL41" s="1080">
        <v>500000</v>
      </c>
      <c r="AM41" s="1081">
        <v>3000000</v>
      </c>
      <c r="AN41" s="1082"/>
      <c r="AO41" s="1081">
        <v>250000</v>
      </c>
      <c r="AP41" s="1081">
        <v>500000</v>
      </c>
      <c r="AQ41" s="1086">
        <v>1500000</v>
      </c>
      <c r="AR41" s="1081"/>
      <c r="AS41" s="1051" t="s">
        <v>0</v>
      </c>
      <c r="AT41" s="1081" t="s">
        <v>48</v>
      </c>
      <c r="AU41" s="1081" t="s">
        <v>48</v>
      </c>
      <c r="AV41" s="927"/>
      <c r="AW41" s="1062"/>
      <c r="AX41" s="1104" t="s">
        <v>7053</v>
      </c>
      <c r="AY41" s="1095" t="s">
        <v>7054</v>
      </c>
      <c r="AZ41" s="1095" t="s">
        <v>7055</v>
      </c>
      <c r="BA41" s="1095" t="s">
        <v>7056</v>
      </c>
      <c r="BB41" s="1095" t="s">
        <v>7057</v>
      </c>
      <c r="BC41" s="1095" t="s">
        <v>7058</v>
      </c>
      <c r="BD41" s="1095"/>
      <c r="BE41" s="229" t="s">
        <v>7059</v>
      </c>
      <c r="BF41" s="1124" t="s">
        <v>7060</v>
      </c>
    </row>
    <row r="42" s="974" customFormat="1" ht="14.1" hidden="1" customHeight="1" spans="2:58">
      <c r="B42" s="1551" t="s">
        <v>542</v>
      </c>
      <c r="C42" s="1031" t="s">
        <v>7061</v>
      </c>
      <c r="D42" s="838" t="s">
        <v>7062</v>
      </c>
      <c r="E42" s="1044" t="s">
        <v>7063</v>
      </c>
      <c r="F42" s="922" t="s">
        <v>43</v>
      </c>
      <c r="G42" s="922" t="s">
        <v>254</v>
      </c>
      <c r="H42" s="922" t="s">
        <v>254</v>
      </c>
      <c r="I42" s="1051" t="s">
        <v>2910</v>
      </c>
      <c r="J42" s="927" t="s">
        <v>6741</v>
      </c>
      <c r="K42" s="1051" t="s">
        <v>993</v>
      </c>
      <c r="L42" s="1052">
        <v>42861</v>
      </c>
      <c r="M42" s="1052">
        <v>42952</v>
      </c>
      <c r="N42" s="1052">
        <v>43044</v>
      </c>
      <c r="O42" s="1052"/>
      <c r="P42" s="1052"/>
      <c r="Q42" s="1052"/>
      <c r="R42" s="1052"/>
      <c r="S42" s="1052"/>
      <c r="T42" s="1052"/>
      <c r="U42" s="1052"/>
      <c r="V42" s="1052"/>
      <c r="W42" s="1052"/>
      <c r="X42" s="1052"/>
      <c r="Y42" s="1052"/>
      <c r="Z42" s="1052"/>
      <c r="AA42" s="1052"/>
      <c r="AB42" s="1052"/>
      <c r="AC42" s="1052"/>
      <c r="AD42" s="1052"/>
      <c r="AE42" s="1052"/>
      <c r="AF42" s="1052"/>
      <c r="AG42" s="1052"/>
      <c r="AH42" s="1052"/>
      <c r="AI42" s="641">
        <v>43.4137725694454</v>
      </c>
      <c r="AJ42" s="187" t="s">
        <v>745</v>
      </c>
      <c r="AK42" s="1080">
        <v>9750000</v>
      </c>
      <c r="AL42" s="1080">
        <v>500000</v>
      </c>
      <c r="AM42" s="1081">
        <v>2500000</v>
      </c>
      <c r="AN42" s="1082"/>
      <c r="AO42" s="1081">
        <v>250000</v>
      </c>
      <c r="AP42" s="1081">
        <v>500000</v>
      </c>
      <c r="AQ42" s="1086">
        <v>1500000</v>
      </c>
      <c r="AR42" s="1081"/>
      <c r="AS42" s="1051" t="s">
        <v>0</v>
      </c>
      <c r="AT42" s="1081" t="s">
        <v>48</v>
      </c>
      <c r="AU42" s="1081" t="s">
        <v>48</v>
      </c>
      <c r="AV42" s="927" t="s">
        <v>7064</v>
      </c>
      <c r="AW42" s="1062"/>
      <c r="AX42" s="1104" t="s">
        <v>7065</v>
      </c>
      <c r="AY42" s="1014" t="s">
        <v>7066</v>
      </c>
      <c r="AZ42" s="1014" t="s">
        <v>7067</v>
      </c>
      <c r="BA42" s="963" t="s">
        <v>7068</v>
      </c>
      <c r="BB42" s="1014" t="s">
        <v>7069</v>
      </c>
      <c r="BC42" s="1109">
        <v>0</v>
      </c>
      <c r="BD42" s="1095" t="s">
        <v>7070</v>
      </c>
      <c r="BE42" s="229" t="s">
        <v>7071</v>
      </c>
      <c r="BF42" s="1124" t="s">
        <v>7072</v>
      </c>
    </row>
    <row r="43" s="974" customFormat="1" ht="14.1" hidden="1" customHeight="1" spans="2:58">
      <c r="B43" s="1551" t="s">
        <v>598</v>
      </c>
      <c r="C43" s="1031" t="s">
        <v>7073</v>
      </c>
      <c r="D43" s="1038" t="s">
        <v>7074</v>
      </c>
      <c r="E43" s="1046" t="s">
        <v>7075</v>
      </c>
      <c r="F43" s="1044" t="s">
        <v>43</v>
      </c>
      <c r="G43" s="1044" t="s">
        <v>60</v>
      </c>
      <c r="H43" s="1044" t="s">
        <v>60</v>
      </c>
      <c r="I43" s="1051" t="s">
        <v>2910</v>
      </c>
      <c r="J43" s="927" t="s">
        <v>6741</v>
      </c>
      <c r="K43" s="1051" t="s">
        <v>7076</v>
      </c>
      <c r="L43" s="1054">
        <v>42870</v>
      </c>
      <c r="M43" s="1054">
        <v>42978</v>
      </c>
      <c r="N43" s="1054"/>
      <c r="O43" s="1054"/>
      <c r="P43" s="1054"/>
      <c r="Q43" s="1054"/>
      <c r="R43" s="1054"/>
      <c r="S43" s="1054"/>
      <c r="T43" s="1054"/>
      <c r="U43" s="1054"/>
      <c r="V43" s="1054"/>
      <c r="W43" s="1054"/>
      <c r="X43" s="1054"/>
      <c r="Y43" s="1054"/>
      <c r="Z43" s="1054"/>
      <c r="AA43" s="1054"/>
      <c r="AB43" s="1054"/>
      <c r="AC43" s="1054"/>
      <c r="AD43" s="1054"/>
      <c r="AE43" s="1054"/>
      <c r="AF43" s="1054"/>
      <c r="AG43" s="1054"/>
      <c r="AH43" s="1054"/>
      <c r="AI43" s="641">
        <v>-22.5862274305546</v>
      </c>
      <c r="AJ43" s="187" t="s">
        <v>2569</v>
      </c>
      <c r="AK43" s="1086">
        <v>14000000</v>
      </c>
      <c r="AL43" s="1086">
        <v>500000</v>
      </c>
      <c r="AM43" s="1081">
        <v>2000000</v>
      </c>
      <c r="AN43" s="1087"/>
      <c r="AO43" s="1081">
        <v>250000</v>
      </c>
      <c r="AP43" s="1081">
        <v>500000</v>
      </c>
      <c r="AQ43" s="1086">
        <v>1500000</v>
      </c>
      <c r="AR43" s="1086" t="s">
        <v>583</v>
      </c>
      <c r="AS43" s="1051" t="s">
        <v>0</v>
      </c>
      <c r="AT43" s="1081" t="s">
        <v>48</v>
      </c>
      <c r="AU43" s="1081" t="s">
        <v>48</v>
      </c>
      <c r="AV43" s="1051"/>
      <c r="AW43" s="1062"/>
      <c r="AX43" s="1104" t="s">
        <v>7077</v>
      </c>
      <c r="AY43" s="1095" t="s">
        <v>7078</v>
      </c>
      <c r="AZ43" s="1095" t="s">
        <v>7079</v>
      </c>
      <c r="BA43" s="1110" t="s">
        <v>7080</v>
      </c>
      <c r="BB43" s="1110" t="s">
        <v>7081</v>
      </c>
      <c r="BC43" s="1110"/>
      <c r="BD43" s="1111" t="s">
        <v>7082</v>
      </c>
      <c r="BE43" s="229" t="s">
        <v>7083</v>
      </c>
      <c r="BF43" s="1127" t="s">
        <v>7084</v>
      </c>
    </row>
    <row r="44" s="974" customFormat="1" ht="14.1" hidden="1" customHeight="1" spans="2:59">
      <c r="B44" s="1553" t="s">
        <v>579</v>
      </c>
      <c r="C44" s="1031" t="s">
        <v>7085</v>
      </c>
      <c r="D44" s="1038" t="s">
        <v>7086</v>
      </c>
      <c r="E44" s="1046" t="s">
        <v>7087</v>
      </c>
      <c r="F44" s="1044" t="s">
        <v>43</v>
      </c>
      <c r="G44" s="1044" t="s">
        <v>254</v>
      </c>
      <c r="H44" s="1044" t="s">
        <v>254</v>
      </c>
      <c r="I44" s="1051" t="s">
        <v>7088</v>
      </c>
      <c r="J44" s="1051" t="s">
        <v>7089</v>
      </c>
      <c r="K44" s="1051" t="s">
        <v>7090</v>
      </c>
      <c r="L44" s="1054">
        <v>42129</v>
      </c>
      <c r="M44" s="1054">
        <v>42308</v>
      </c>
      <c r="N44" s="1054">
        <v>42766</v>
      </c>
      <c r="O44" s="1054">
        <v>42643</v>
      </c>
      <c r="P44" s="1054">
        <v>42735</v>
      </c>
      <c r="Q44" s="1054">
        <v>42825</v>
      </c>
      <c r="R44" s="1054">
        <v>42855</v>
      </c>
      <c r="S44" s="1054"/>
      <c r="T44" s="1054">
        <v>42856</v>
      </c>
      <c r="U44" s="1054">
        <v>42947</v>
      </c>
      <c r="V44" s="1054">
        <v>43039</v>
      </c>
      <c r="W44" s="1054"/>
      <c r="X44" s="1054"/>
      <c r="Y44" s="1054"/>
      <c r="Z44" s="1054"/>
      <c r="AA44" s="1054"/>
      <c r="AB44" s="1054"/>
      <c r="AC44" s="1054"/>
      <c r="AD44" s="1054"/>
      <c r="AE44" s="1054"/>
      <c r="AF44" s="1054"/>
      <c r="AG44" s="1054"/>
      <c r="AH44" s="1054"/>
      <c r="AI44" s="641">
        <v>-78.5370124999972</v>
      </c>
      <c r="AJ44" s="187" t="s">
        <v>2569</v>
      </c>
      <c r="AK44" s="1086">
        <v>7500000</v>
      </c>
      <c r="AL44" s="1086">
        <v>500000</v>
      </c>
      <c r="AM44" s="1086">
        <v>2500000</v>
      </c>
      <c r="AN44" s="1087"/>
      <c r="AO44" s="1086">
        <v>250000</v>
      </c>
      <c r="AP44" s="1086">
        <v>500000</v>
      </c>
      <c r="AQ44" s="1086">
        <v>1500000</v>
      </c>
      <c r="AR44" s="1086"/>
      <c r="AS44" s="1095" t="s">
        <v>7091</v>
      </c>
      <c r="AT44" s="1096" t="s">
        <v>113</v>
      </c>
      <c r="AU44" s="1096" t="s">
        <v>113</v>
      </c>
      <c r="AV44" s="1051" t="s">
        <v>7092</v>
      </c>
      <c r="AW44" s="1062"/>
      <c r="AX44" s="1104" t="s">
        <v>7093</v>
      </c>
      <c r="AY44" s="1095" t="s">
        <v>7094</v>
      </c>
      <c r="AZ44" s="1095" t="s">
        <v>7095</v>
      </c>
      <c r="BA44" s="1110" t="s">
        <v>7096</v>
      </c>
      <c r="BB44" s="1110" t="s">
        <v>7097</v>
      </c>
      <c r="BC44" s="1110">
        <v>11021458572</v>
      </c>
      <c r="BD44" s="1111" t="s">
        <v>7098</v>
      </c>
      <c r="BE44" s="1095" t="s">
        <v>7099</v>
      </c>
      <c r="BF44" s="1127" t="s">
        <v>7100</v>
      </c>
      <c r="BG44" s="1020">
        <v>43039</v>
      </c>
    </row>
    <row r="45" s="974" customFormat="1" ht="14.1" hidden="1" customHeight="1" spans="2:59">
      <c r="B45" s="1551" t="s">
        <v>400</v>
      </c>
      <c r="C45" s="1031" t="s">
        <v>7101</v>
      </c>
      <c r="D45" s="919" t="s">
        <v>7102</v>
      </c>
      <c r="E45" s="923" t="s">
        <v>7103</v>
      </c>
      <c r="F45" s="923" t="s">
        <v>43</v>
      </c>
      <c r="G45" s="923" t="s">
        <v>60</v>
      </c>
      <c r="H45" s="923" t="s">
        <v>60</v>
      </c>
      <c r="I45" s="927" t="s">
        <v>5507</v>
      </c>
      <c r="J45" s="927" t="s">
        <v>6741</v>
      </c>
      <c r="K45" s="919" t="s">
        <v>6938</v>
      </c>
      <c r="L45" s="928">
        <v>42826</v>
      </c>
      <c r="M45" s="928">
        <v>43100</v>
      </c>
      <c r="N45" s="928"/>
      <c r="O45" s="928"/>
      <c r="P45" s="928"/>
      <c r="Q45" s="928"/>
      <c r="R45" s="928"/>
      <c r="S45" s="928"/>
      <c r="T45" s="928"/>
      <c r="U45" s="928"/>
      <c r="V45" s="928"/>
      <c r="W45" s="928"/>
      <c r="X45" s="942"/>
      <c r="Y45" s="942"/>
      <c r="Z45" s="942"/>
      <c r="AA45" s="942"/>
      <c r="AB45" s="942"/>
      <c r="AC45" s="942"/>
      <c r="AD45" s="942"/>
      <c r="AE45" s="942"/>
      <c r="AF45" s="942"/>
      <c r="AG45" s="942"/>
      <c r="AH45" s="942"/>
      <c r="AI45" s="641">
        <v>33.3963972222191</v>
      </c>
      <c r="AJ45" s="187" t="s">
        <v>2569</v>
      </c>
      <c r="AK45" s="1073">
        <v>9991000</v>
      </c>
      <c r="AL45" s="1074" t="s">
        <v>583</v>
      </c>
      <c r="AM45" s="1074">
        <v>4042742</v>
      </c>
      <c r="AN45" s="1074"/>
      <c r="AO45" s="1074" t="s">
        <v>583</v>
      </c>
      <c r="AP45" s="1074" t="s">
        <v>583</v>
      </c>
      <c r="AQ45" s="1074" t="s">
        <v>583</v>
      </c>
      <c r="AR45" s="1074">
        <v>0</v>
      </c>
      <c r="AS45" s="957" t="s">
        <v>6866</v>
      </c>
      <c r="AT45" s="960" t="s">
        <v>48</v>
      </c>
      <c r="AU45" s="960" t="s">
        <v>48</v>
      </c>
      <c r="AV45" s="927" t="s">
        <v>6951</v>
      </c>
      <c r="AW45" s="927"/>
      <c r="AX45" s="290" t="s">
        <v>7104</v>
      </c>
      <c r="AY45" s="962" t="s">
        <v>7105</v>
      </c>
      <c r="AZ45" s="962" t="s">
        <v>7106</v>
      </c>
      <c r="BA45" s="962" t="s">
        <v>7107</v>
      </c>
      <c r="BB45" s="962" t="s">
        <v>7108</v>
      </c>
      <c r="BC45" s="962"/>
      <c r="BD45" s="962" t="s">
        <v>7109</v>
      </c>
      <c r="BE45" s="229" t="s">
        <v>7110</v>
      </c>
      <c r="BF45" s="1128" t="s">
        <v>6120</v>
      </c>
      <c r="BG45" s="1116">
        <v>43100</v>
      </c>
    </row>
    <row r="46" s="974" customFormat="1" ht="14.1" hidden="1" customHeight="1" spans="2:59">
      <c r="B46" s="1551" t="s">
        <v>483</v>
      </c>
      <c r="C46" s="1031" t="s">
        <v>7111</v>
      </c>
      <c r="D46" s="838" t="s">
        <v>7112</v>
      </c>
      <c r="E46" s="1044" t="s">
        <v>7113</v>
      </c>
      <c r="F46" s="1044" t="s">
        <v>43</v>
      </c>
      <c r="G46" s="1044" t="s">
        <v>60</v>
      </c>
      <c r="H46" s="1044" t="s">
        <v>60</v>
      </c>
      <c r="I46" s="1051" t="s">
        <v>2910</v>
      </c>
      <c r="J46" s="927" t="s">
        <v>6741</v>
      </c>
      <c r="K46" s="1051" t="s">
        <v>993</v>
      </c>
      <c r="L46" s="1052">
        <v>42860</v>
      </c>
      <c r="M46" s="1052">
        <v>42951</v>
      </c>
      <c r="N46" s="1054">
        <v>43039</v>
      </c>
      <c r="O46" s="1052"/>
      <c r="P46" s="1052"/>
      <c r="Q46" s="1052"/>
      <c r="R46" s="1052"/>
      <c r="S46" s="1052"/>
      <c r="T46" s="1052"/>
      <c r="U46" s="1052"/>
      <c r="V46" s="1052"/>
      <c r="W46" s="1052"/>
      <c r="X46" s="1052"/>
      <c r="Y46" s="1052"/>
      <c r="Z46" s="1052"/>
      <c r="AA46" s="1052"/>
      <c r="AB46" s="1052"/>
      <c r="AC46" s="1052"/>
      <c r="AD46" s="1052"/>
      <c r="AE46" s="1052"/>
      <c r="AF46" s="1052"/>
      <c r="AG46" s="1052"/>
      <c r="AH46" s="1052"/>
      <c r="AI46" s="641">
        <v>-27.6036027777809</v>
      </c>
      <c r="AJ46" s="187" t="s">
        <v>2569</v>
      </c>
      <c r="AK46" s="1080">
        <v>8000000</v>
      </c>
      <c r="AL46" s="1080">
        <v>500000</v>
      </c>
      <c r="AM46" s="1081">
        <v>2500000</v>
      </c>
      <c r="AN46" s="1082"/>
      <c r="AO46" s="1081">
        <v>250000</v>
      </c>
      <c r="AP46" s="1081">
        <v>500000</v>
      </c>
      <c r="AQ46" s="1086">
        <v>1500000</v>
      </c>
      <c r="AR46" s="1081" t="s">
        <v>583</v>
      </c>
      <c r="AS46" s="1051" t="s">
        <v>0</v>
      </c>
      <c r="AT46" s="1081" t="s">
        <v>48</v>
      </c>
      <c r="AU46" s="1081" t="s">
        <v>48</v>
      </c>
      <c r="AV46" s="927"/>
      <c r="AW46" s="1062"/>
      <c r="AX46" s="1104" t="s">
        <v>7114</v>
      </c>
      <c r="AY46" s="1095" t="s">
        <v>7115</v>
      </c>
      <c r="AZ46" s="1095" t="s">
        <v>7116</v>
      </c>
      <c r="BA46" s="1095" t="s">
        <v>7117</v>
      </c>
      <c r="BB46" s="1095" t="s">
        <v>7118</v>
      </c>
      <c r="BC46" s="1095" t="s">
        <v>7119</v>
      </c>
      <c r="BD46" s="1095" t="s">
        <v>7120</v>
      </c>
      <c r="BE46" s="229" t="s">
        <v>7121</v>
      </c>
      <c r="BF46" s="1124" t="s">
        <v>6120</v>
      </c>
      <c r="BG46" s="1116">
        <v>43039</v>
      </c>
    </row>
    <row r="47" s="974" customFormat="1" ht="14.1" hidden="1" customHeight="1" spans="2:59">
      <c r="B47" s="1551" t="s">
        <v>550</v>
      </c>
      <c r="C47" s="1031" t="s">
        <v>7122</v>
      </c>
      <c r="D47" s="1038" t="s">
        <v>7123</v>
      </c>
      <c r="E47" s="1046" t="s">
        <v>7124</v>
      </c>
      <c r="F47" s="1044" t="s">
        <v>43</v>
      </c>
      <c r="G47" s="1044" t="s">
        <v>880</v>
      </c>
      <c r="H47" s="1044" t="s">
        <v>880</v>
      </c>
      <c r="I47" s="1051" t="s">
        <v>2910</v>
      </c>
      <c r="J47" s="927" t="s">
        <v>6741</v>
      </c>
      <c r="K47" s="1051" t="s">
        <v>7125</v>
      </c>
      <c r="L47" s="1054">
        <v>42870</v>
      </c>
      <c r="M47" s="1054">
        <v>42961</v>
      </c>
      <c r="N47" s="1054">
        <v>43053</v>
      </c>
      <c r="O47" s="1054"/>
      <c r="P47" s="1054"/>
      <c r="Q47" s="1054"/>
      <c r="R47" s="1054"/>
      <c r="S47" s="1054"/>
      <c r="T47" s="1054"/>
      <c r="U47" s="1054"/>
      <c r="V47" s="1054"/>
      <c r="W47" s="1054"/>
      <c r="X47" s="1054"/>
      <c r="Y47" s="1054"/>
      <c r="Z47" s="1054"/>
      <c r="AA47" s="1054"/>
      <c r="AB47" s="1054"/>
      <c r="AC47" s="1054"/>
      <c r="AD47" s="1054"/>
      <c r="AE47" s="1054"/>
      <c r="AF47" s="1054"/>
      <c r="AG47" s="1054"/>
      <c r="AH47" s="1054"/>
      <c r="AI47" s="641">
        <v>-13.6036027777809</v>
      </c>
      <c r="AJ47" s="187" t="s">
        <v>2569</v>
      </c>
      <c r="AK47" s="1086">
        <v>8000000</v>
      </c>
      <c r="AL47" s="1086">
        <v>350000</v>
      </c>
      <c r="AM47" s="1081">
        <v>2500000</v>
      </c>
      <c r="AN47" s="1087"/>
      <c r="AO47" s="1086" t="s">
        <v>583</v>
      </c>
      <c r="AP47" s="1081">
        <v>500000</v>
      </c>
      <c r="AQ47" s="1086" t="s">
        <v>583</v>
      </c>
      <c r="AR47" s="1074">
        <v>0</v>
      </c>
      <c r="AS47" s="1051" t="s">
        <v>7021</v>
      </c>
      <c r="AT47" s="1081" t="s">
        <v>48</v>
      </c>
      <c r="AU47" s="1081" t="s">
        <v>48</v>
      </c>
      <c r="AV47" s="1051" t="s">
        <v>6951</v>
      </c>
      <c r="AW47" s="1062"/>
      <c r="AX47" s="1104" t="s">
        <v>7126</v>
      </c>
      <c r="AY47" s="1095" t="s">
        <v>7127</v>
      </c>
      <c r="AZ47" s="1095" t="s">
        <v>7128</v>
      </c>
      <c r="BA47" s="1110" t="s">
        <v>7129</v>
      </c>
      <c r="BB47" s="1110" t="s">
        <v>7130</v>
      </c>
      <c r="BC47" s="1110"/>
      <c r="BD47" s="1111" t="s">
        <v>7131</v>
      </c>
      <c r="BE47" s="1095" t="s">
        <v>7132</v>
      </c>
      <c r="BF47" s="1128" t="s">
        <v>6120</v>
      </c>
      <c r="BG47" s="1116">
        <v>43053</v>
      </c>
    </row>
    <row r="48" s="974" customFormat="1" ht="14.1" hidden="1" customHeight="1" spans="2:59">
      <c r="B48" s="1551" t="s">
        <v>559</v>
      </c>
      <c r="C48" s="1031" t="s">
        <v>7133</v>
      </c>
      <c r="D48" s="1038" t="s">
        <v>7134</v>
      </c>
      <c r="E48" s="1046" t="s">
        <v>7135</v>
      </c>
      <c r="F48" s="1044" t="s">
        <v>43</v>
      </c>
      <c r="G48" s="1044" t="s">
        <v>60</v>
      </c>
      <c r="H48" s="1044" t="s">
        <v>60</v>
      </c>
      <c r="I48" s="1051" t="s">
        <v>2910</v>
      </c>
      <c r="J48" s="927" t="s">
        <v>6741</v>
      </c>
      <c r="K48" s="1051" t="s">
        <v>993</v>
      </c>
      <c r="L48" s="1054">
        <v>42870</v>
      </c>
      <c r="M48" s="1054">
        <v>42961</v>
      </c>
      <c r="N48" s="1054">
        <v>43039</v>
      </c>
      <c r="O48" s="1054"/>
      <c r="P48" s="1054"/>
      <c r="Q48" s="1054"/>
      <c r="R48" s="1054"/>
      <c r="S48" s="1054"/>
      <c r="T48" s="1054"/>
      <c r="U48" s="1054"/>
      <c r="V48" s="1054"/>
      <c r="W48" s="1054"/>
      <c r="X48" s="1054"/>
      <c r="Y48" s="1054"/>
      <c r="Z48" s="1054"/>
      <c r="AA48" s="1054"/>
      <c r="AB48" s="1054"/>
      <c r="AC48" s="1054"/>
      <c r="AD48" s="1054"/>
      <c r="AE48" s="1054"/>
      <c r="AF48" s="1054"/>
      <c r="AG48" s="1054"/>
      <c r="AH48" s="1054"/>
      <c r="AI48" s="641">
        <v>-27.6036027777809</v>
      </c>
      <c r="AJ48" s="187" t="s">
        <v>2569</v>
      </c>
      <c r="AK48" s="1086">
        <v>8500000</v>
      </c>
      <c r="AL48" s="1086">
        <v>500000</v>
      </c>
      <c r="AM48" s="1081">
        <v>3000000</v>
      </c>
      <c r="AN48" s="1087"/>
      <c r="AO48" s="1081">
        <v>250000</v>
      </c>
      <c r="AP48" s="1081">
        <v>500000</v>
      </c>
      <c r="AQ48" s="1086">
        <v>1500000</v>
      </c>
      <c r="AR48" s="1086" t="s">
        <v>583</v>
      </c>
      <c r="AS48" s="1051" t="s">
        <v>0</v>
      </c>
      <c r="AT48" s="1081" t="s">
        <v>48</v>
      </c>
      <c r="AU48" s="1081" t="s">
        <v>48</v>
      </c>
      <c r="AV48" s="1051"/>
      <c r="AW48" s="1062"/>
      <c r="AX48" s="1104" t="s">
        <v>7136</v>
      </c>
      <c r="AY48" s="1095" t="s">
        <v>7137</v>
      </c>
      <c r="AZ48" s="1095" t="s">
        <v>7138</v>
      </c>
      <c r="BA48" s="1110" t="s">
        <v>7139</v>
      </c>
      <c r="BB48" s="1110" t="s">
        <v>7140</v>
      </c>
      <c r="BC48" s="1565" t="s">
        <v>7141</v>
      </c>
      <c r="BD48" s="1111"/>
      <c r="BE48" s="229" t="s">
        <v>7142</v>
      </c>
      <c r="BF48" s="1124" t="s">
        <v>6120</v>
      </c>
      <c r="BG48" s="1116">
        <v>43039</v>
      </c>
    </row>
    <row r="49" s="974" customFormat="1" ht="14.1" hidden="1" customHeight="1" spans="2:59">
      <c r="B49" s="1551" t="s">
        <v>579</v>
      </c>
      <c r="C49" s="1038" t="s">
        <v>7143</v>
      </c>
      <c r="D49" s="1038" t="s">
        <v>7144</v>
      </c>
      <c r="E49" s="1046" t="s">
        <v>7145</v>
      </c>
      <c r="F49" s="1044" t="s">
        <v>43</v>
      </c>
      <c r="G49" s="1044" t="s">
        <v>254</v>
      </c>
      <c r="H49" s="1044" t="s">
        <v>254</v>
      </c>
      <c r="I49" s="1051" t="s">
        <v>2910</v>
      </c>
      <c r="J49" s="927" t="s">
        <v>6741</v>
      </c>
      <c r="K49" s="1051" t="s">
        <v>993</v>
      </c>
      <c r="L49" s="1054">
        <v>42861</v>
      </c>
      <c r="M49" s="1054">
        <v>42952</v>
      </c>
      <c r="N49" s="1054">
        <v>43039</v>
      </c>
      <c r="O49" s="1054"/>
      <c r="P49" s="1054"/>
      <c r="Q49" s="1054"/>
      <c r="R49" s="1054"/>
      <c r="S49" s="1054"/>
      <c r="T49" s="1054"/>
      <c r="U49" s="1054"/>
      <c r="V49" s="1054"/>
      <c r="W49" s="1054"/>
      <c r="X49" s="1054"/>
      <c r="Y49" s="1054"/>
      <c r="Z49" s="1054"/>
      <c r="AA49" s="1054"/>
      <c r="AB49" s="1054"/>
      <c r="AC49" s="1054"/>
      <c r="AD49" s="1054"/>
      <c r="AE49" s="1054"/>
      <c r="AF49" s="1054"/>
      <c r="AG49" s="1054"/>
      <c r="AH49" s="1054"/>
      <c r="AI49" s="641">
        <v>-27.6036027777809</v>
      </c>
      <c r="AJ49" s="187" t="s">
        <v>2569</v>
      </c>
      <c r="AK49" s="1086">
        <v>9000000</v>
      </c>
      <c r="AL49" s="1086">
        <v>500000</v>
      </c>
      <c r="AM49" s="1081">
        <v>2000000</v>
      </c>
      <c r="AN49" s="1087"/>
      <c r="AO49" s="1081">
        <v>250000</v>
      </c>
      <c r="AP49" s="1081">
        <v>500000</v>
      </c>
      <c r="AQ49" s="1086">
        <v>1000000</v>
      </c>
      <c r="AR49" s="1086" t="s">
        <v>583</v>
      </c>
      <c r="AS49" s="1051" t="s">
        <v>0</v>
      </c>
      <c r="AT49" s="1081" t="s">
        <v>48</v>
      </c>
      <c r="AU49" s="1081" t="s">
        <v>48</v>
      </c>
      <c r="AV49" s="1051"/>
      <c r="AW49" s="1062"/>
      <c r="AX49" s="1104" t="s">
        <v>7146</v>
      </c>
      <c r="AY49" s="1095" t="s">
        <v>7147</v>
      </c>
      <c r="AZ49" s="1095" t="s">
        <v>7148</v>
      </c>
      <c r="BA49" s="1110" t="s">
        <v>7149</v>
      </c>
      <c r="BB49" s="1110" t="s">
        <v>7150</v>
      </c>
      <c r="BC49" s="1110"/>
      <c r="BD49" s="1111"/>
      <c r="BE49" s="229" t="s">
        <v>7151</v>
      </c>
      <c r="BF49" s="1124" t="s">
        <v>6120</v>
      </c>
      <c r="BG49" s="1116">
        <v>43039</v>
      </c>
    </row>
    <row r="50" s="974" customFormat="1" ht="14.1" hidden="1" customHeight="1" spans="2:59">
      <c r="B50" s="1551" t="s">
        <v>609</v>
      </c>
      <c r="C50" s="1031" t="s">
        <v>7152</v>
      </c>
      <c r="D50" s="1038" t="s">
        <v>7153</v>
      </c>
      <c r="E50" s="1046" t="s">
        <v>7154</v>
      </c>
      <c r="F50" s="1044" t="s">
        <v>43</v>
      </c>
      <c r="G50" s="1044" t="s">
        <v>60</v>
      </c>
      <c r="H50" s="1044" t="s">
        <v>60</v>
      </c>
      <c r="I50" s="1051" t="s">
        <v>2910</v>
      </c>
      <c r="J50" s="927" t="s">
        <v>6741</v>
      </c>
      <c r="K50" s="1051" t="s">
        <v>7076</v>
      </c>
      <c r="L50" s="1054">
        <v>42870</v>
      </c>
      <c r="M50" s="1054">
        <v>42978</v>
      </c>
      <c r="N50" s="1054">
        <v>43039</v>
      </c>
      <c r="O50" s="1054"/>
      <c r="P50" s="1054"/>
      <c r="Q50" s="1054"/>
      <c r="R50" s="1054"/>
      <c r="S50" s="1054"/>
      <c r="T50" s="1054"/>
      <c r="U50" s="1054"/>
      <c r="V50" s="1054"/>
      <c r="W50" s="1054"/>
      <c r="X50" s="1054"/>
      <c r="Y50" s="1054"/>
      <c r="Z50" s="1054"/>
      <c r="AA50" s="1054"/>
      <c r="AB50" s="1054"/>
      <c r="AC50" s="1054"/>
      <c r="AD50" s="1054"/>
      <c r="AE50" s="1054"/>
      <c r="AF50" s="1054"/>
      <c r="AG50" s="1054"/>
      <c r="AH50" s="1054"/>
      <c r="AI50" s="641">
        <v>-27.6036027777809</v>
      </c>
      <c r="AJ50" s="187" t="s">
        <v>2569</v>
      </c>
      <c r="AK50" s="1086">
        <v>12000000</v>
      </c>
      <c r="AL50" s="1086">
        <v>500000</v>
      </c>
      <c r="AM50" s="1081">
        <v>2000000</v>
      </c>
      <c r="AN50" s="1087"/>
      <c r="AO50" s="1081">
        <v>250000</v>
      </c>
      <c r="AP50" s="1081">
        <v>500000</v>
      </c>
      <c r="AQ50" s="1086">
        <v>1500000</v>
      </c>
      <c r="AR50" s="1086" t="s">
        <v>583</v>
      </c>
      <c r="AS50" s="1051" t="s">
        <v>0</v>
      </c>
      <c r="AT50" s="1081" t="s">
        <v>48</v>
      </c>
      <c r="AU50" s="1081" t="s">
        <v>48</v>
      </c>
      <c r="AV50" s="1051"/>
      <c r="AW50" s="1062"/>
      <c r="AX50" s="1104" t="s">
        <v>7155</v>
      </c>
      <c r="AY50" s="1545" t="s">
        <v>7156</v>
      </c>
      <c r="AZ50" s="1095" t="s">
        <v>7157</v>
      </c>
      <c r="BA50" s="1110" t="s">
        <v>7158</v>
      </c>
      <c r="BB50" s="1110" t="s">
        <v>7159</v>
      </c>
      <c r="BC50" s="1110" t="s">
        <v>7160</v>
      </c>
      <c r="BD50" s="1111"/>
      <c r="BE50" s="229" t="s">
        <v>7161</v>
      </c>
      <c r="BF50" s="1124" t="s">
        <v>6120</v>
      </c>
      <c r="BG50" s="1116">
        <v>43039</v>
      </c>
    </row>
    <row r="51" s="974" customFormat="1" ht="14.1" hidden="1" customHeight="1" spans="2:59">
      <c r="B51" s="1551" t="s">
        <v>631</v>
      </c>
      <c r="C51" s="1031" t="s">
        <v>7162</v>
      </c>
      <c r="D51" s="1038" t="s">
        <v>7163</v>
      </c>
      <c r="E51" s="1046" t="s">
        <v>7164</v>
      </c>
      <c r="F51" s="1044" t="s">
        <v>43</v>
      </c>
      <c r="G51" s="1044" t="s">
        <v>254</v>
      </c>
      <c r="H51" s="1044" t="s">
        <v>254</v>
      </c>
      <c r="I51" s="1051" t="s">
        <v>2910</v>
      </c>
      <c r="J51" s="927" t="s">
        <v>6741</v>
      </c>
      <c r="K51" s="1051" t="s">
        <v>993</v>
      </c>
      <c r="L51" s="1054">
        <v>42877</v>
      </c>
      <c r="M51" s="1054">
        <v>42968</v>
      </c>
      <c r="N51" s="1054">
        <v>43039</v>
      </c>
      <c r="O51" s="1054"/>
      <c r="P51" s="1054"/>
      <c r="Q51" s="1054"/>
      <c r="R51" s="1054"/>
      <c r="S51" s="1054"/>
      <c r="T51" s="1054"/>
      <c r="U51" s="1054"/>
      <c r="V51" s="1054"/>
      <c r="W51" s="1054"/>
      <c r="X51" s="1054"/>
      <c r="Y51" s="1054"/>
      <c r="Z51" s="1054"/>
      <c r="AA51" s="1054"/>
      <c r="AB51" s="1054"/>
      <c r="AC51" s="1054"/>
      <c r="AD51" s="1054"/>
      <c r="AE51" s="1054"/>
      <c r="AF51" s="1054"/>
      <c r="AG51" s="1054"/>
      <c r="AH51" s="1054"/>
      <c r="AI51" s="641">
        <v>-27.6036027777809</v>
      </c>
      <c r="AJ51" s="187" t="s">
        <v>2569</v>
      </c>
      <c r="AK51" s="1086">
        <v>7000000</v>
      </c>
      <c r="AL51" s="1086">
        <v>500000</v>
      </c>
      <c r="AM51" s="1081">
        <v>2000000</v>
      </c>
      <c r="AN51" s="1087"/>
      <c r="AO51" s="1081">
        <v>250000</v>
      </c>
      <c r="AP51" s="1081">
        <v>500000</v>
      </c>
      <c r="AQ51" s="1086">
        <v>1500000</v>
      </c>
      <c r="AR51" s="1086" t="s">
        <v>583</v>
      </c>
      <c r="AS51" s="1051" t="s">
        <v>0</v>
      </c>
      <c r="AT51" s="1081" t="s">
        <v>48</v>
      </c>
      <c r="AU51" s="1081" t="s">
        <v>48</v>
      </c>
      <c r="AV51" s="1051"/>
      <c r="AW51" s="1062"/>
      <c r="AX51" s="1104" t="s">
        <v>7165</v>
      </c>
      <c r="AY51" s="1545" t="s">
        <v>7166</v>
      </c>
      <c r="AZ51" s="1095" t="s">
        <v>7167</v>
      </c>
      <c r="BA51" s="1110" t="s">
        <v>7168</v>
      </c>
      <c r="BB51" s="1110" t="s">
        <v>7169</v>
      </c>
      <c r="BC51" s="1110"/>
      <c r="BD51" s="1565" t="s">
        <v>7170</v>
      </c>
      <c r="BE51" s="229" t="s">
        <v>7171</v>
      </c>
      <c r="BF51" s="1124" t="s">
        <v>6120</v>
      </c>
      <c r="BG51" s="1116">
        <v>43039</v>
      </c>
    </row>
    <row r="52" s="974" customFormat="1" ht="14.1" hidden="1" customHeight="1" spans="2:59">
      <c r="B52" s="1551" t="s">
        <v>661</v>
      </c>
      <c r="C52" s="1031" t="s">
        <v>7172</v>
      </c>
      <c r="D52" s="1038" t="s">
        <v>7173</v>
      </c>
      <c r="E52" s="1046" t="s">
        <v>7174</v>
      </c>
      <c r="F52" s="1044" t="s">
        <v>43</v>
      </c>
      <c r="G52" s="1044" t="s">
        <v>60</v>
      </c>
      <c r="H52" s="1044" t="s">
        <v>60</v>
      </c>
      <c r="I52" s="1051" t="s">
        <v>2910</v>
      </c>
      <c r="J52" s="927" t="s">
        <v>6741</v>
      </c>
      <c r="K52" s="1051" t="s">
        <v>7125</v>
      </c>
      <c r="L52" s="1054">
        <v>42877</v>
      </c>
      <c r="M52" s="1054">
        <v>42968</v>
      </c>
      <c r="N52" s="1054">
        <v>43060</v>
      </c>
      <c r="O52" s="1054"/>
      <c r="P52" s="1054"/>
      <c r="Q52" s="1054"/>
      <c r="R52" s="1054"/>
      <c r="S52" s="1054"/>
      <c r="T52" s="1054"/>
      <c r="U52" s="1054"/>
      <c r="V52" s="1054"/>
      <c r="W52" s="1054"/>
      <c r="X52" s="1054"/>
      <c r="Y52" s="1054"/>
      <c r="Z52" s="1054"/>
      <c r="AA52" s="1054"/>
      <c r="AB52" s="1054"/>
      <c r="AC52" s="1054"/>
      <c r="AD52" s="1054"/>
      <c r="AE52" s="1054"/>
      <c r="AF52" s="1054"/>
      <c r="AG52" s="1054"/>
      <c r="AH52" s="1054"/>
      <c r="AI52" s="641">
        <v>-6.60360277778091</v>
      </c>
      <c r="AJ52" s="187" t="s">
        <v>2569</v>
      </c>
      <c r="AK52" s="1086">
        <v>8000000</v>
      </c>
      <c r="AL52" s="1086">
        <v>350000</v>
      </c>
      <c r="AM52" s="1081">
        <v>2500000</v>
      </c>
      <c r="AN52" s="1081">
        <v>400000</v>
      </c>
      <c r="AO52" s="1081" t="s">
        <v>583</v>
      </c>
      <c r="AP52" s="1081">
        <v>500000</v>
      </c>
      <c r="AQ52" s="1086" t="s">
        <v>583</v>
      </c>
      <c r="AR52" s="1074">
        <v>0</v>
      </c>
      <c r="AS52" s="1051" t="s">
        <v>6866</v>
      </c>
      <c r="AT52" s="1081" t="s">
        <v>48</v>
      </c>
      <c r="AU52" s="1081" t="s">
        <v>48</v>
      </c>
      <c r="AV52" s="1051" t="s">
        <v>6951</v>
      </c>
      <c r="AW52" s="1062"/>
      <c r="AX52" s="1104" t="s">
        <v>7175</v>
      </c>
      <c r="AY52" s="1095" t="s">
        <v>7176</v>
      </c>
      <c r="AZ52" s="1095" t="s">
        <v>7177</v>
      </c>
      <c r="BA52" s="1110" t="s">
        <v>7178</v>
      </c>
      <c r="BB52" s="1570" t="s">
        <v>7179</v>
      </c>
      <c r="BC52" s="1110" t="s">
        <v>7180</v>
      </c>
      <c r="BD52" s="1565" t="s">
        <v>7181</v>
      </c>
      <c r="BE52" s="229" t="s">
        <v>7182</v>
      </c>
      <c r="BF52" s="1128" t="s">
        <v>6120</v>
      </c>
      <c r="BG52" s="1116">
        <v>43060</v>
      </c>
    </row>
    <row r="53" s="974" customFormat="1" ht="14.1" hidden="1" customHeight="1" spans="2:59">
      <c r="B53" s="1551" t="s">
        <v>671</v>
      </c>
      <c r="C53" s="1039" t="s">
        <v>4680</v>
      </c>
      <c r="D53" s="168" t="s">
        <v>4681</v>
      </c>
      <c r="E53" s="979" t="s">
        <v>733</v>
      </c>
      <c r="F53" s="922" t="s">
        <v>43</v>
      </c>
      <c r="G53" s="922" t="s">
        <v>60</v>
      </c>
      <c r="H53" s="922" t="s">
        <v>60</v>
      </c>
      <c r="I53" s="927" t="s">
        <v>4682</v>
      </c>
      <c r="J53" s="927" t="s">
        <v>4683</v>
      </c>
      <c r="K53" s="927" t="s">
        <v>993</v>
      </c>
      <c r="L53" s="934">
        <v>42644</v>
      </c>
      <c r="M53" s="934">
        <v>42766</v>
      </c>
      <c r="N53" s="934">
        <v>42825</v>
      </c>
      <c r="O53" s="934">
        <v>42886</v>
      </c>
      <c r="P53" s="934">
        <v>42947</v>
      </c>
      <c r="Q53" s="934">
        <v>43039</v>
      </c>
      <c r="R53" s="1062"/>
      <c r="S53" s="934"/>
      <c r="T53" s="934"/>
      <c r="U53" s="934"/>
      <c r="V53" s="934"/>
      <c r="W53" s="934"/>
      <c r="X53" s="934"/>
      <c r="Y53" s="934"/>
      <c r="Z53" s="934"/>
      <c r="AA53" s="934"/>
      <c r="AB53" s="934"/>
      <c r="AC53" s="934"/>
      <c r="AD53" s="934"/>
      <c r="AE53" s="934"/>
      <c r="AF53" s="934"/>
      <c r="AG53" s="934"/>
      <c r="AH53" s="934"/>
      <c r="AI53" s="641">
        <v>-27.6036027777809</v>
      </c>
      <c r="AJ53" s="187" t="s">
        <v>2569</v>
      </c>
      <c r="AK53" s="1006">
        <v>7500000</v>
      </c>
      <c r="AL53" s="1006">
        <v>550000</v>
      </c>
      <c r="AM53" s="1006">
        <v>3000000</v>
      </c>
      <c r="AN53" s="1062"/>
      <c r="AO53" s="1006">
        <v>250000</v>
      </c>
      <c r="AP53" s="1006">
        <v>500000</v>
      </c>
      <c r="AQ53" s="1006">
        <v>2000000</v>
      </c>
      <c r="AR53" s="1062"/>
      <c r="AS53" s="963" t="s">
        <v>4684</v>
      </c>
      <c r="AT53" s="957" t="s">
        <v>48</v>
      </c>
      <c r="AU53" s="957" t="s">
        <v>48</v>
      </c>
      <c r="AV53" s="927" t="s">
        <v>4685</v>
      </c>
      <c r="AW53" s="1062"/>
      <c r="AX53" s="290" t="s">
        <v>4686</v>
      </c>
      <c r="AY53" s="962" t="s">
        <v>4687</v>
      </c>
      <c r="AZ53" s="962" t="s">
        <v>4688</v>
      </c>
      <c r="BA53" s="963" t="s">
        <v>4689</v>
      </c>
      <c r="BB53" s="963" t="s">
        <v>4690</v>
      </c>
      <c r="BC53" s="963"/>
      <c r="BD53" s="1013"/>
      <c r="BE53" s="962" t="s">
        <v>4691</v>
      </c>
      <c r="BF53" s="1124" t="s">
        <v>6120</v>
      </c>
      <c r="BG53" s="1116">
        <v>43039</v>
      </c>
    </row>
    <row r="54" s="974" customFormat="1" ht="14.1" hidden="1" customHeight="1" spans="2:59">
      <c r="B54" s="1551" t="s">
        <v>239</v>
      </c>
      <c r="C54" s="1031" t="s">
        <v>7183</v>
      </c>
      <c r="D54" s="919" t="s">
        <v>7184</v>
      </c>
      <c r="E54" s="923" t="s">
        <v>7185</v>
      </c>
      <c r="F54" s="923" t="s">
        <v>43</v>
      </c>
      <c r="G54" s="923" t="s">
        <v>60</v>
      </c>
      <c r="H54" s="923" t="s">
        <v>60</v>
      </c>
      <c r="I54" s="927" t="s">
        <v>6843</v>
      </c>
      <c r="J54" s="927" t="s">
        <v>6741</v>
      </c>
      <c r="K54" s="919" t="s">
        <v>7186</v>
      </c>
      <c r="L54" s="928">
        <v>42730</v>
      </c>
      <c r="M54" s="928">
        <v>42814</v>
      </c>
      <c r="N54" s="928">
        <v>42906</v>
      </c>
      <c r="O54" s="928">
        <v>42998</v>
      </c>
      <c r="P54" s="928">
        <v>43059</v>
      </c>
      <c r="Q54" s="928">
        <v>43089</v>
      </c>
      <c r="R54" s="928"/>
      <c r="S54" s="928"/>
      <c r="T54" s="928"/>
      <c r="U54" s="928"/>
      <c r="V54" s="928"/>
      <c r="W54" s="928"/>
      <c r="X54" s="942"/>
      <c r="Y54" s="942"/>
      <c r="Z54" s="942"/>
      <c r="AA54" s="942"/>
      <c r="AB54" s="942"/>
      <c r="AC54" s="942"/>
      <c r="AD54" s="942"/>
      <c r="AE54" s="942"/>
      <c r="AF54" s="942"/>
      <c r="AG54" s="942"/>
      <c r="AH54" s="942"/>
      <c r="AI54" s="641">
        <v>-28.5359765046305</v>
      </c>
      <c r="AJ54" s="187" t="s">
        <v>2569</v>
      </c>
      <c r="AK54" s="1070">
        <v>8500000</v>
      </c>
      <c r="AL54" s="1070">
        <v>500000</v>
      </c>
      <c r="AM54" s="1070">
        <v>2500000</v>
      </c>
      <c r="AN54" s="1070"/>
      <c r="AO54" s="1070">
        <v>250000</v>
      </c>
      <c r="AP54" s="1070">
        <v>500000</v>
      </c>
      <c r="AQ54" s="1070">
        <v>1000000</v>
      </c>
      <c r="AR54" s="1070"/>
      <c r="AS54" s="1070" t="s">
        <v>0</v>
      </c>
      <c r="AT54" s="960" t="s">
        <v>48</v>
      </c>
      <c r="AU54" s="960" t="s">
        <v>48</v>
      </c>
      <c r="AV54" s="927"/>
      <c r="AW54" s="927"/>
      <c r="AX54" s="290" t="s">
        <v>7187</v>
      </c>
      <c r="AY54" s="962"/>
      <c r="AZ54" s="962" t="s">
        <v>7188</v>
      </c>
      <c r="BA54" s="1541" t="s">
        <v>7189</v>
      </c>
      <c r="BB54" s="962"/>
      <c r="BC54" s="962" t="s">
        <v>7190</v>
      </c>
      <c r="BD54" s="962" t="s">
        <v>7191</v>
      </c>
      <c r="BE54" s="962" t="s">
        <v>7192</v>
      </c>
      <c r="BF54" s="1128" t="s">
        <v>7193</v>
      </c>
      <c r="BG54" s="1020" t="s">
        <v>7194</v>
      </c>
    </row>
    <row r="55" s="974" customFormat="1" ht="14.1" hidden="1" customHeight="1" spans="2:59">
      <c r="B55" s="1553" t="s">
        <v>438</v>
      </c>
      <c r="C55" s="1031" t="s">
        <v>7195</v>
      </c>
      <c r="D55" s="919" t="s">
        <v>7196</v>
      </c>
      <c r="E55" s="923" t="s">
        <v>7197</v>
      </c>
      <c r="F55" s="923" t="s">
        <v>43</v>
      </c>
      <c r="G55" s="923" t="s">
        <v>44</v>
      </c>
      <c r="H55" s="923" t="s">
        <v>44</v>
      </c>
      <c r="I55" s="927" t="s">
        <v>1549</v>
      </c>
      <c r="J55" s="927" t="s">
        <v>6741</v>
      </c>
      <c r="K55" s="919" t="s">
        <v>6938</v>
      </c>
      <c r="L55" s="928">
        <v>42826</v>
      </c>
      <c r="M55" s="928">
        <v>43100</v>
      </c>
      <c r="N55" s="928"/>
      <c r="O55" s="928"/>
      <c r="P55" s="928"/>
      <c r="Q55" s="928"/>
      <c r="R55" s="928"/>
      <c r="S55" s="928"/>
      <c r="T55" s="928"/>
      <c r="U55" s="928"/>
      <c r="V55" s="928"/>
      <c r="W55" s="928"/>
      <c r="X55" s="942"/>
      <c r="Y55" s="942"/>
      <c r="Z55" s="942"/>
      <c r="AA55" s="942"/>
      <c r="AB55" s="942"/>
      <c r="AC55" s="942"/>
      <c r="AD55" s="942"/>
      <c r="AE55" s="942"/>
      <c r="AF55" s="942"/>
      <c r="AG55" s="942"/>
      <c r="AH55" s="942"/>
      <c r="AI55" s="641">
        <v>-17.5359765046305</v>
      </c>
      <c r="AJ55" s="187" t="s">
        <v>2569</v>
      </c>
      <c r="AK55" s="1073">
        <v>13294368</v>
      </c>
      <c r="AL55" s="1074" t="s">
        <v>583</v>
      </c>
      <c r="AM55" s="1074">
        <v>500000</v>
      </c>
      <c r="AN55" s="1074"/>
      <c r="AO55" s="1074" t="s">
        <v>583</v>
      </c>
      <c r="AP55" s="1074" t="s">
        <v>583</v>
      </c>
      <c r="AQ55" s="1074" t="s">
        <v>583</v>
      </c>
      <c r="AR55" s="1074">
        <v>0</v>
      </c>
      <c r="AS55" s="957" t="s">
        <v>112</v>
      </c>
      <c r="AT55" s="960" t="s">
        <v>48</v>
      </c>
      <c r="AU55" s="960" t="s">
        <v>48</v>
      </c>
      <c r="AV55" s="927" t="s">
        <v>6951</v>
      </c>
      <c r="AW55" s="927"/>
      <c r="AX55" s="290" t="s">
        <v>7198</v>
      </c>
      <c r="AY55" s="962" t="s">
        <v>7199</v>
      </c>
      <c r="AZ55" s="962" t="s">
        <v>7200</v>
      </c>
      <c r="BA55" s="962" t="s">
        <v>7201</v>
      </c>
      <c r="BB55" s="962" t="s">
        <v>7202</v>
      </c>
      <c r="BC55" s="962"/>
      <c r="BD55" s="962"/>
      <c r="BE55" s="229" t="s">
        <v>7203</v>
      </c>
      <c r="BF55" s="1128" t="s">
        <v>7204</v>
      </c>
      <c r="BG55" s="1116" t="s">
        <v>6947</v>
      </c>
    </row>
    <row r="56" s="974" customFormat="1" ht="14.1" hidden="1" customHeight="1" spans="2:59">
      <c r="B56" s="1553" t="s">
        <v>559</v>
      </c>
      <c r="C56" s="1031" t="s">
        <v>7205</v>
      </c>
      <c r="D56" s="1038" t="s">
        <v>7206</v>
      </c>
      <c r="E56" s="1046" t="s">
        <v>7207</v>
      </c>
      <c r="F56" s="1044" t="s">
        <v>43</v>
      </c>
      <c r="G56" s="1044" t="s">
        <v>254</v>
      </c>
      <c r="H56" s="1044" t="s">
        <v>254</v>
      </c>
      <c r="I56" s="1051" t="s">
        <v>2910</v>
      </c>
      <c r="J56" s="927" t="s">
        <v>6741</v>
      </c>
      <c r="K56" s="1051" t="s">
        <v>7125</v>
      </c>
      <c r="L56" s="1054">
        <v>42870</v>
      </c>
      <c r="M56" s="1054">
        <v>42961</v>
      </c>
      <c r="N56" s="1054">
        <v>43053</v>
      </c>
      <c r="O56" s="1054">
        <v>43100</v>
      </c>
      <c r="P56" s="1054"/>
      <c r="Q56" s="1054"/>
      <c r="R56" s="1054"/>
      <c r="S56" s="1054"/>
      <c r="T56" s="1054"/>
      <c r="U56" s="1054"/>
      <c r="V56" s="1054"/>
      <c r="W56" s="1054"/>
      <c r="X56" s="1054"/>
      <c r="Y56" s="1054"/>
      <c r="Z56" s="1054"/>
      <c r="AA56" s="1054"/>
      <c r="AB56" s="1054"/>
      <c r="AC56" s="1054"/>
      <c r="AD56" s="1054"/>
      <c r="AE56" s="1054"/>
      <c r="AF56" s="1054"/>
      <c r="AG56" s="1054"/>
      <c r="AH56" s="1054"/>
      <c r="AI56" s="641">
        <v>-17.5359765046305</v>
      </c>
      <c r="AJ56" s="187" t="s">
        <v>2569</v>
      </c>
      <c r="AK56" s="1086">
        <v>7500000</v>
      </c>
      <c r="AL56" s="1086">
        <v>350000</v>
      </c>
      <c r="AM56" s="1081">
        <v>2500000</v>
      </c>
      <c r="AN56" s="1087"/>
      <c r="AO56" s="1086" t="s">
        <v>583</v>
      </c>
      <c r="AP56" s="1081">
        <v>500000</v>
      </c>
      <c r="AQ56" s="1086" t="s">
        <v>583</v>
      </c>
      <c r="AR56" s="1074">
        <v>0</v>
      </c>
      <c r="AS56" s="1051" t="s">
        <v>0</v>
      </c>
      <c r="AT56" s="1081" t="s">
        <v>48</v>
      </c>
      <c r="AU56" s="1081" t="s">
        <v>48</v>
      </c>
      <c r="AV56" s="1051" t="s">
        <v>6951</v>
      </c>
      <c r="AW56" s="1062"/>
      <c r="AX56" s="1104" t="s">
        <v>7208</v>
      </c>
      <c r="AY56" s="1545" t="s">
        <v>7209</v>
      </c>
      <c r="AZ56" s="1095" t="s">
        <v>7210</v>
      </c>
      <c r="BA56" s="1110" t="s">
        <v>7211</v>
      </c>
      <c r="BB56" s="1110" t="s">
        <v>7212</v>
      </c>
      <c r="BC56" s="1110" t="s">
        <v>7213</v>
      </c>
      <c r="BD56" s="1111"/>
      <c r="BE56" s="229" t="s">
        <v>7214</v>
      </c>
      <c r="BF56" s="1128" t="s">
        <v>7215</v>
      </c>
      <c r="BG56" s="1116" t="s">
        <v>6947</v>
      </c>
    </row>
    <row r="57" s="974" customFormat="1" ht="14.1" hidden="1" customHeight="1" spans="2:59">
      <c r="B57" s="1551" t="s">
        <v>381</v>
      </c>
      <c r="C57" s="1031" t="s">
        <v>7216</v>
      </c>
      <c r="D57" s="919" t="s">
        <v>7217</v>
      </c>
      <c r="E57" s="923" t="s">
        <v>7218</v>
      </c>
      <c r="F57" s="923" t="s">
        <v>43</v>
      </c>
      <c r="G57" s="923" t="s">
        <v>254</v>
      </c>
      <c r="H57" s="923" t="s">
        <v>254</v>
      </c>
      <c r="I57" s="927" t="s">
        <v>6855</v>
      </c>
      <c r="J57" s="927" t="s">
        <v>6741</v>
      </c>
      <c r="K57" s="919" t="s">
        <v>6938</v>
      </c>
      <c r="L57" s="928">
        <v>42826</v>
      </c>
      <c r="M57" s="928">
        <v>43100</v>
      </c>
      <c r="N57" s="942">
        <v>43131</v>
      </c>
      <c r="O57" s="928"/>
      <c r="P57" s="928"/>
      <c r="Q57" s="928"/>
      <c r="R57" s="928"/>
      <c r="S57" s="928"/>
      <c r="T57" s="928"/>
      <c r="U57" s="928"/>
      <c r="V57" s="928"/>
      <c r="W57" s="928"/>
      <c r="X57" s="942"/>
      <c r="Y57" s="942"/>
      <c r="Z57" s="942"/>
      <c r="AA57" s="942"/>
      <c r="AB57" s="942"/>
      <c r="AC57" s="942"/>
      <c r="AD57" s="942"/>
      <c r="AE57" s="942"/>
      <c r="AF57" s="942"/>
      <c r="AG57" s="942"/>
      <c r="AH57" s="942"/>
      <c r="AI57" s="640">
        <v>-8.63854918981815</v>
      </c>
      <c r="AJ57" s="121" t="s">
        <v>2569</v>
      </c>
      <c r="AK57" s="1073">
        <v>6050000</v>
      </c>
      <c r="AL57" s="1074">
        <v>350000</v>
      </c>
      <c r="AM57" s="1074">
        <v>3300000</v>
      </c>
      <c r="AN57" s="1074"/>
      <c r="AO57" s="1074" t="s">
        <v>583</v>
      </c>
      <c r="AP57" s="1074">
        <v>400000</v>
      </c>
      <c r="AQ57" s="1074" t="s">
        <v>583</v>
      </c>
      <c r="AR57" s="1074">
        <v>0</v>
      </c>
      <c r="AS57" s="957" t="s">
        <v>6866</v>
      </c>
      <c r="AT57" s="960" t="s">
        <v>48</v>
      </c>
      <c r="AU57" s="960" t="s">
        <v>48</v>
      </c>
      <c r="AV57" s="927" t="s">
        <v>6951</v>
      </c>
      <c r="AW57" s="927"/>
      <c r="AX57" s="290" t="s">
        <v>7219</v>
      </c>
      <c r="AY57" s="962" t="s">
        <v>7220</v>
      </c>
      <c r="AZ57" s="962" t="s">
        <v>7221</v>
      </c>
      <c r="BA57" s="962" t="s">
        <v>7222</v>
      </c>
      <c r="BB57" s="962" t="s">
        <v>7223</v>
      </c>
      <c r="BC57" s="962" t="s">
        <v>7224</v>
      </c>
      <c r="BD57" s="962"/>
      <c r="BE57" s="229" t="s">
        <v>7225</v>
      </c>
      <c r="BF57" s="1128" t="s">
        <v>3251</v>
      </c>
      <c r="BG57" s="1116" t="s">
        <v>6947</v>
      </c>
    </row>
    <row r="58" s="974" customFormat="1" ht="14.1" hidden="1" customHeight="1" spans="2:59">
      <c r="B58" s="1551" t="s">
        <v>424</v>
      </c>
      <c r="C58" s="1031" t="s">
        <v>7226</v>
      </c>
      <c r="D58" s="838" t="s">
        <v>7227</v>
      </c>
      <c r="E58" s="1044" t="s">
        <v>7228</v>
      </c>
      <c r="F58" s="1044" t="s">
        <v>43</v>
      </c>
      <c r="G58" s="1044" t="s">
        <v>60</v>
      </c>
      <c r="H58" s="1044" t="s">
        <v>60</v>
      </c>
      <c r="I58" s="1051" t="s">
        <v>2910</v>
      </c>
      <c r="J58" s="927" t="s">
        <v>6741</v>
      </c>
      <c r="K58" s="1051" t="s">
        <v>993</v>
      </c>
      <c r="L58" s="1052">
        <v>42859</v>
      </c>
      <c r="M58" s="1052">
        <v>42950</v>
      </c>
      <c r="N58" s="1054">
        <v>43039</v>
      </c>
      <c r="O58" s="1052">
        <v>43100</v>
      </c>
      <c r="P58" s="942">
        <v>43131</v>
      </c>
      <c r="Q58" s="1052"/>
      <c r="R58" s="1052"/>
      <c r="S58" s="1052"/>
      <c r="T58" s="1052"/>
      <c r="U58" s="1052"/>
      <c r="V58" s="1052"/>
      <c r="W58" s="1052"/>
      <c r="X58" s="1052"/>
      <c r="Y58" s="1052"/>
      <c r="Z58" s="1052"/>
      <c r="AA58" s="1052"/>
      <c r="AB58" s="1052"/>
      <c r="AC58" s="1052"/>
      <c r="AD58" s="1052"/>
      <c r="AE58" s="1052"/>
      <c r="AF58" s="1052"/>
      <c r="AG58" s="1052"/>
      <c r="AH58" s="1052"/>
      <c r="AI58" s="640">
        <v>-8.63854918981815</v>
      </c>
      <c r="AJ58" s="121" t="s">
        <v>2569</v>
      </c>
      <c r="AK58" s="1080">
        <v>8500000</v>
      </c>
      <c r="AL58" s="1080">
        <v>500000</v>
      </c>
      <c r="AM58" s="1081">
        <v>2500000</v>
      </c>
      <c r="AN58" s="1082"/>
      <c r="AO58" s="1081">
        <v>250000</v>
      </c>
      <c r="AP58" s="1081">
        <v>500000</v>
      </c>
      <c r="AQ58" s="1086">
        <v>1500000</v>
      </c>
      <c r="AR58" s="1081" t="s">
        <v>583</v>
      </c>
      <c r="AS58" s="1051" t="s">
        <v>0</v>
      </c>
      <c r="AT58" s="1081" t="s">
        <v>48</v>
      </c>
      <c r="AU58" s="1081" t="s">
        <v>48</v>
      </c>
      <c r="AV58" s="927"/>
      <c r="AW58" s="1062"/>
      <c r="AX58" s="1104" t="s">
        <v>7229</v>
      </c>
      <c r="AY58" s="1095" t="s">
        <v>7230</v>
      </c>
      <c r="AZ58" s="1095" t="s">
        <v>7231</v>
      </c>
      <c r="BA58" s="1095" t="s">
        <v>7232</v>
      </c>
      <c r="BB58" s="1095" t="s">
        <v>7233</v>
      </c>
      <c r="BC58" s="1095"/>
      <c r="BD58" s="1095"/>
      <c r="BE58" s="229" t="s">
        <v>7234</v>
      </c>
      <c r="BF58" s="1129" t="s">
        <v>3251</v>
      </c>
      <c r="BG58" s="1116" t="s">
        <v>6695</v>
      </c>
    </row>
    <row r="59" s="974" customFormat="1" ht="14.1" hidden="1" customHeight="1" spans="2:59">
      <c r="B59" s="1551" t="s">
        <v>463</v>
      </c>
      <c r="C59" s="1031" t="s">
        <v>7235</v>
      </c>
      <c r="D59" s="838" t="s">
        <v>7236</v>
      </c>
      <c r="E59" s="1044" t="s">
        <v>7237</v>
      </c>
      <c r="F59" s="1044" t="s">
        <v>43</v>
      </c>
      <c r="G59" s="1044" t="s">
        <v>96</v>
      </c>
      <c r="H59" s="1044" t="s">
        <v>96</v>
      </c>
      <c r="I59" s="1051" t="s">
        <v>2910</v>
      </c>
      <c r="J59" s="927" t="s">
        <v>6741</v>
      </c>
      <c r="K59" s="1051" t="s">
        <v>993</v>
      </c>
      <c r="L59" s="1052">
        <v>42860</v>
      </c>
      <c r="M59" s="1052">
        <v>42951</v>
      </c>
      <c r="N59" s="1054">
        <v>43039</v>
      </c>
      <c r="O59" s="1052">
        <v>43100</v>
      </c>
      <c r="P59" s="942">
        <v>43131</v>
      </c>
      <c r="Q59" s="1052"/>
      <c r="R59" s="1052"/>
      <c r="S59" s="1052"/>
      <c r="T59" s="1052"/>
      <c r="U59" s="1052"/>
      <c r="V59" s="1052"/>
      <c r="W59" s="1052"/>
      <c r="X59" s="1052"/>
      <c r="Y59" s="1052"/>
      <c r="Z59" s="1052"/>
      <c r="AA59" s="1052"/>
      <c r="AB59" s="1052"/>
      <c r="AC59" s="1052"/>
      <c r="AD59" s="1052"/>
      <c r="AE59" s="1052"/>
      <c r="AF59" s="1052"/>
      <c r="AG59" s="1052"/>
      <c r="AH59" s="1052"/>
      <c r="AI59" s="640">
        <v>-8.63854918981815</v>
      </c>
      <c r="AJ59" s="121" t="s">
        <v>2569</v>
      </c>
      <c r="AK59" s="1080">
        <v>7500000</v>
      </c>
      <c r="AL59" s="1080">
        <v>500000</v>
      </c>
      <c r="AM59" s="1081">
        <v>2500000</v>
      </c>
      <c r="AN59" s="1082"/>
      <c r="AO59" s="1081">
        <v>250000</v>
      </c>
      <c r="AP59" s="1081">
        <v>500000</v>
      </c>
      <c r="AQ59" s="1086">
        <v>1500000</v>
      </c>
      <c r="AR59" s="1081"/>
      <c r="AS59" s="1051" t="s">
        <v>0</v>
      </c>
      <c r="AT59" s="1081" t="s">
        <v>48</v>
      </c>
      <c r="AU59" s="1081" t="s">
        <v>48</v>
      </c>
      <c r="AV59" s="927"/>
      <c r="AW59" s="1062"/>
      <c r="AX59" s="1104" t="s">
        <v>7238</v>
      </c>
      <c r="AY59" s="1095" t="s">
        <v>7239</v>
      </c>
      <c r="AZ59" s="1095" t="s">
        <v>7240</v>
      </c>
      <c r="BA59" s="1545" t="s">
        <v>7241</v>
      </c>
      <c r="BB59" s="1095" t="s">
        <v>7242</v>
      </c>
      <c r="BC59" s="1095"/>
      <c r="BD59" s="1095"/>
      <c r="BE59" s="229" t="s">
        <v>7243</v>
      </c>
      <c r="BF59" s="1129" t="s">
        <v>3251</v>
      </c>
      <c r="BG59" s="1116" t="s">
        <v>6695</v>
      </c>
    </row>
    <row r="60" s="974" customFormat="1" ht="14.1" hidden="1" customHeight="1" spans="2:59">
      <c r="B60" s="1551" t="s">
        <v>494</v>
      </c>
      <c r="C60" s="1031" t="s">
        <v>7244</v>
      </c>
      <c r="D60" s="838" t="s">
        <v>7245</v>
      </c>
      <c r="E60" s="1044" t="s">
        <v>7246</v>
      </c>
      <c r="F60" s="922" t="s">
        <v>43</v>
      </c>
      <c r="G60" s="922" t="s">
        <v>60</v>
      </c>
      <c r="H60" s="922" t="s">
        <v>60</v>
      </c>
      <c r="I60" s="1051" t="s">
        <v>2910</v>
      </c>
      <c r="J60" s="927" t="s">
        <v>6741</v>
      </c>
      <c r="K60" s="1051" t="s">
        <v>993</v>
      </c>
      <c r="L60" s="1052">
        <v>42858</v>
      </c>
      <c r="M60" s="1052">
        <v>42949</v>
      </c>
      <c r="N60" s="1054">
        <v>43039</v>
      </c>
      <c r="O60" s="1052">
        <v>43100</v>
      </c>
      <c r="P60" s="942">
        <v>43131</v>
      </c>
      <c r="Q60" s="1052"/>
      <c r="R60" s="1052"/>
      <c r="S60" s="1052"/>
      <c r="T60" s="1052"/>
      <c r="U60" s="1052"/>
      <c r="V60" s="1052"/>
      <c r="W60" s="1052"/>
      <c r="X60" s="1052"/>
      <c r="Y60" s="1052"/>
      <c r="Z60" s="1052"/>
      <c r="AA60" s="1052"/>
      <c r="AB60" s="1052"/>
      <c r="AC60" s="1052"/>
      <c r="AD60" s="1052"/>
      <c r="AE60" s="1052"/>
      <c r="AF60" s="1052"/>
      <c r="AG60" s="1052"/>
      <c r="AH60" s="1052"/>
      <c r="AI60" s="640">
        <v>-8.63854918981815</v>
      </c>
      <c r="AJ60" s="121" t="s">
        <v>2569</v>
      </c>
      <c r="AK60" s="1080">
        <v>8000000</v>
      </c>
      <c r="AL60" s="1080">
        <v>500000</v>
      </c>
      <c r="AM60" s="1081">
        <v>3000000</v>
      </c>
      <c r="AN60" s="1082"/>
      <c r="AO60" s="1081">
        <v>250000</v>
      </c>
      <c r="AP60" s="1081">
        <v>500000</v>
      </c>
      <c r="AQ60" s="1086">
        <v>1500000</v>
      </c>
      <c r="AR60" s="1081"/>
      <c r="AS60" s="1051" t="s">
        <v>0</v>
      </c>
      <c r="AT60" s="1081" t="s">
        <v>48</v>
      </c>
      <c r="AU60" s="1081" t="s">
        <v>48</v>
      </c>
      <c r="AV60" s="927"/>
      <c r="AW60" s="1062"/>
      <c r="AX60" s="1104" t="s">
        <v>7247</v>
      </c>
      <c r="AY60" s="1014" t="s">
        <v>7248</v>
      </c>
      <c r="AZ60" s="1014" t="s">
        <v>7249</v>
      </c>
      <c r="BA60" s="963" t="s">
        <v>7250</v>
      </c>
      <c r="BB60" s="1014" t="s">
        <v>7251</v>
      </c>
      <c r="BC60" s="1109">
        <v>0</v>
      </c>
      <c r="BD60" s="1109"/>
      <c r="BE60" s="229" t="s">
        <v>7252</v>
      </c>
      <c r="BF60" s="1129" t="s">
        <v>3251</v>
      </c>
      <c r="BG60" s="1116" t="s">
        <v>6695</v>
      </c>
    </row>
    <row r="61" s="974" customFormat="1" ht="14.1" hidden="1" customHeight="1" spans="2:59">
      <c r="B61" s="1551" t="s">
        <v>514</v>
      </c>
      <c r="C61" s="1038" t="s">
        <v>7253</v>
      </c>
      <c r="D61" s="1038" t="s">
        <v>7254</v>
      </c>
      <c r="E61" s="1046" t="s">
        <v>7255</v>
      </c>
      <c r="F61" s="1044" t="s">
        <v>43</v>
      </c>
      <c r="G61" s="1044" t="s">
        <v>404</v>
      </c>
      <c r="H61" s="1044" t="s">
        <v>404</v>
      </c>
      <c r="I61" s="1051" t="s">
        <v>2910</v>
      </c>
      <c r="J61" s="927" t="s">
        <v>6741</v>
      </c>
      <c r="K61" s="1051" t="s">
        <v>993</v>
      </c>
      <c r="L61" s="1054">
        <v>42870</v>
      </c>
      <c r="M61" s="1054">
        <v>42978</v>
      </c>
      <c r="N61" s="1054">
        <v>43039</v>
      </c>
      <c r="O61" s="1052">
        <v>43100</v>
      </c>
      <c r="P61" s="942">
        <v>43131</v>
      </c>
      <c r="Q61" s="1054"/>
      <c r="R61" s="1054"/>
      <c r="S61" s="1054"/>
      <c r="T61" s="1054"/>
      <c r="U61" s="1054"/>
      <c r="V61" s="1054"/>
      <c r="W61" s="1054"/>
      <c r="X61" s="1054"/>
      <c r="Y61" s="1054"/>
      <c r="Z61" s="1054"/>
      <c r="AA61" s="1054"/>
      <c r="AB61" s="1054"/>
      <c r="AC61" s="1054"/>
      <c r="AD61" s="1054"/>
      <c r="AE61" s="1054"/>
      <c r="AF61" s="1054"/>
      <c r="AG61" s="1054"/>
      <c r="AH61" s="1054"/>
      <c r="AI61" s="640">
        <v>-8.63854918981815</v>
      </c>
      <c r="AJ61" s="121" t="s">
        <v>2569</v>
      </c>
      <c r="AK61" s="1086">
        <v>6000000</v>
      </c>
      <c r="AL61" s="1086">
        <v>500000</v>
      </c>
      <c r="AM61" s="1081">
        <v>2000000</v>
      </c>
      <c r="AN61" s="1087"/>
      <c r="AO61" s="1081">
        <v>250000</v>
      </c>
      <c r="AP61" s="1081">
        <v>500000</v>
      </c>
      <c r="AQ61" s="1086">
        <v>1500000</v>
      </c>
      <c r="AR61" s="1086" t="s">
        <v>583</v>
      </c>
      <c r="AS61" s="1051" t="s">
        <v>0</v>
      </c>
      <c r="AT61" s="1081" t="s">
        <v>48</v>
      </c>
      <c r="AU61" s="1081" t="s">
        <v>48</v>
      </c>
      <c r="AV61" s="1051"/>
      <c r="AW61" s="1062"/>
      <c r="AX61" s="1104" t="s">
        <v>7256</v>
      </c>
      <c r="AY61" s="1545" t="s">
        <v>7257</v>
      </c>
      <c r="AZ61" s="1095" t="s">
        <v>7258</v>
      </c>
      <c r="BA61" s="1110" t="s">
        <v>7259</v>
      </c>
      <c r="BB61" s="1110" t="s">
        <v>7260</v>
      </c>
      <c r="BC61" s="1110" t="s">
        <v>7261</v>
      </c>
      <c r="BD61" s="1111"/>
      <c r="BE61" s="229" t="s">
        <v>7262</v>
      </c>
      <c r="BF61" s="1129" t="s">
        <v>3251</v>
      </c>
      <c r="BG61" s="1116" t="s">
        <v>6695</v>
      </c>
    </row>
    <row r="62" s="974" customFormat="1" ht="14.1" hidden="1" customHeight="1" spans="2:59">
      <c r="B62" s="1551" t="s">
        <v>525</v>
      </c>
      <c r="C62" s="1038" t="s">
        <v>7263</v>
      </c>
      <c r="D62" s="1038" t="s">
        <v>7264</v>
      </c>
      <c r="E62" s="1046" t="s">
        <v>7265</v>
      </c>
      <c r="F62" s="1044" t="s">
        <v>43</v>
      </c>
      <c r="G62" s="1044" t="s">
        <v>254</v>
      </c>
      <c r="H62" s="1044" t="s">
        <v>254</v>
      </c>
      <c r="I62" s="1051" t="s">
        <v>2910</v>
      </c>
      <c r="J62" s="927" t="s">
        <v>6741</v>
      </c>
      <c r="K62" s="1051" t="s">
        <v>993</v>
      </c>
      <c r="L62" s="1054">
        <v>42861</v>
      </c>
      <c r="M62" s="1054">
        <v>42952</v>
      </c>
      <c r="N62" s="1054">
        <v>43039</v>
      </c>
      <c r="O62" s="1052">
        <v>43100</v>
      </c>
      <c r="P62" s="942">
        <v>43131</v>
      </c>
      <c r="Q62" s="1054"/>
      <c r="R62" s="1054"/>
      <c r="S62" s="1054"/>
      <c r="T62" s="1054"/>
      <c r="U62" s="1054"/>
      <c r="V62" s="1054"/>
      <c r="W62" s="1054"/>
      <c r="X62" s="1054"/>
      <c r="Y62" s="1054"/>
      <c r="Z62" s="1054"/>
      <c r="AA62" s="1054"/>
      <c r="AB62" s="1054"/>
      <c r="AC62" s="1054"/>
      <c r="AD62" s="1054"/>
      <c r="AE62" s="1054"/>
      <c r="AF62" s="1054"/>
      <c r="AG62" s="1054"/>
      <c r="AH62" s="1054"/>
      <c r="AI62" s="640">
        <v>-8.63854918981815</v>
      </c>
      <c r="AJ62" s="121" t="s">
        <v>2569</v>
      </c>
      <c r="AK62" s="1086">
        <v>8500000</v>
      </c>
      <c r="AL62" s="1086">
        <v>500000</v>
      </c>
      <c r="AM62" s="1081">
        <v>2000000</v>
      </c>
      <c r="AN62" s="1087"/>
      <c r="AO62" s="1081">
        <v>250000</v>
      </c>
      <c r="AP62" s="1081">
        <v>500000</v>
      </c>
      <c r="AQ62" s="1086">
        <v>1000000</v>
      </c>
      <c r="AR62" s="1086" t="s">
        <v>583</v>
      </c>
      <c r="AS62" s="1051" t="s">
        <v>0</v>
      </c>
      <c r="AT62" s="1081" t="s">
        <v>48</v>
      </c>
      <c r="AU62" s="1081" t="s">
        <v>48</v>
      </c>
      <c r="AV62" s="1051"/>
      <c r="AW62" s="1062"/>
      <c r="AX62" s="1104" t="s">
        <v>7266</v>
      </c>
      <c r="AY62" s="1095" t="s">
        <v>7267</v>
      </c>
      <c r="AZ62" s="1095" t="s">
        <v>7268</v>
      </c>
      <c r="BA62" s="1110" t="s">
        <v>7269</v>
      </c>
      <c r="BB62" s="1110" t="s">
        <v>7270</v>
      </c>
      <c r="BC62" s="1110" t="s">
        <v>7271</v>
      </c>
      <c r="BD62" s="1111"/>
      <c r="BE62" s="229" t="s">
        <v>7272</v>
      </c>
      <c r="BF62" s="1052" t="s">
        <v>3251</v>
      </c>
      <c r="BG62" s="1116" t="s">
        <v>6695</v>
      </c>
    </row>
    <row r="63" s="974" customFormat="1" ht="14.1" hidden="1" customHeight="1" spans="2:59">
      <c r="B63" s="1551" t="s">
        <v>533</v>
      </c>
      <c r="C63" s="1038" t="s">
        <v>7273</v>
      </c>
      <c r="D63" s="1038" t="s">
        <v>7274</v>
      </c>
      <c r="E63" s="1046" t="s">
        <v>7275</v>
      </c>
      <c r="F63" s="1044" t="s">
        <v>43</v>
      </c>
      <c r="G63" s="1044" t="s">
        <v>44</v>
      </c>
      <c r="H63" s="1044" t="s">
        <v>44</v>
      </c>
      <c r="I63" s="1051" t="s">
        <v>2910</v>
      </c>
      <c r="J63" s="927" t="s">
        <v>6741</v>
      </c>
      <c r="K63" s="1051" t="s">
        <v>993</v>
      </c>
      <c r="L63" s="1054">
        <v>42863</v>
      </c>
      <c r="M63" s="1054">
        <v>42954</v>
      </c>
      <c r="N63" s="1054">
        <v>43039</v>
      </c>
      <c r="O63" s="1052">
        <v>43100</v>
      </c>
      <c r="P63" s="942">
        <v>43131</v>
      </c>
      <c r="Q63" s="1054"/>
      <c r="R63" s="1054"/>
      <c r="S63" s="1054"/>
      <c r="T63" s="1054"/>
      <c r="U63" s="1054"/>
      <c r="V63" s="1054"/>
      <c r="W63" s="1054"/>
      <c r="X63" s="1054"/>
      <c r="Y63" s="1054"/>
      <c r="Z63" s="1054"/>
      <c r="AA63" s="1054"/>
      <c r="AB63" s="1054"/>
      <c r="AC63" s="1054"/>
      <c r="AD63" s="1054"/>
      <c r="AE63" s="1054"/>
      <c r="AF63" s="1054"/>
      <c r="AG63" s="1054"/>
      <c r="AH63" s="1054"/>
      <c r="AI63" s="640">
        <v>-8.63854918981815</v>
      </c>
      <c r="AJ63" s="121" t="s">
        <v>2569</v>
      </c>
      <c r="AK63" s="1086">
        <v>7000000</v>
      </c>
      <c r="AL63" s="1086">
        <v>500000</v>
      </c>
      <c r="AM63" s="1081">
        <v>2000000</v>
      </c>
      <c r="AN63" s="1087"/>
      <c r="AO63" s="1081">
        <v>250000</v>
      </c>
      <c r="AP63" s="1081">
        <v>500000</v>
      </c>
      <c r="AQ63" s="1086">
        <v>1000000</v>
      </c>
      <c r="AR63" s="1086" t="s">
        <v>583</v>
      </c>
      <c r="AS63" s="1051" t="s">
        <v>0</v>
      </c>
      <c r="AT63" s="1081" t="s">
        <v>48</v>
      </c>
      <c r="AU63" s="1081" t="s">
        <v>48</v>
      </c>
      <c r="AV63" s="1051"/>
      <c r="AW63" s="1062"/>
      <c r="AX63" s="1104" t="s">
        <v>7276</v>
      </c>
      <c r="AY63" s="1545" t="s">
        <v>7277</v>
      </c>
      <c r="AZ63" s="1095" t="s">
        <v>7278</v>
      </c>
      <c r="BA63" s="1110" t="s">
        <v>7279</v>
      </c>
      <c r="BB63" s="1110"/>
      <c r="BC63" s="1110" t="s">
        <v>7280</v>
      </c>
      <c r="BD63" s="1565" t="s">
        <v>7281</v>
      </c>
      <c r="BE63" s="229" t="s">
        <v>7282</v>
      </c>
      <c r="BF63" s="1129" t="s">
        <v>3251</v>
      </c>
      <c r="BG63" s="1116" t="s">
        <v>6695</v>
      </c>
    </row>
    <row r="64" s="974" customFormat="1" ht="14.1" hidden="1" customHeight="1" spans="2:59">
      <c r="B64" s="1551" t="s">
        <v>569</v>
      </c>
      <c r="C64" s="32" t="s">
        <v>1065</v>
      </c>
      <c r="D64" s="838" t="s">
        <v>1066</v>
      </c>
      <c r="E64" s="1044" t="s">
        <v>1067</v>
      </c>
      <c r="F64" s="1044" t="s">
        <v>43</v>
      </c>
      <c r="G64" s="1044" t="s">
        <v>44</v>
      </c>
      <c r="H64" s="1044" t="s">
        <v>44</v>
      </c>
      <c r="I64" s="1051" t="s">
        <v>2910</v>
      </c>
      <c r="J64" s="1051"/>
      <c r="K64" s="1051" t="s">
        <v>993</v>
      </c>
      <c r="L64" s="1052">
        <v>42980</v>
      </c>
      <c r="M64" s="1052">
        <v>43039</v>
      </c>
      <c r="N64" s="1052">
        <v>43100</v>
      </c>
      <c r="O64" s="942">
        <v>43131</v>
      </c>
      <c r="P64" s="1052"/>
      <c r="Q64" s="1052"/>
      <c r="R64" s="1052"/>
      <c r="S64" s="1052"/>
      <c r="T64" s="1052"/>
      <c r="U64" s="1052"/>
      <c r="V64" s="1052"/>
      <c r="W64" s="1052"/>
      <c r="X64" s="1052"/>
      <c r="Y64" s="1052"/>
      <c r="Z64" s="1052"/>
      <c r="AA64" s="1052"/>
      <c r="AB64" s="1052"/>
      <c r="AC64" s="1052"/>
      <c r="AD64" s="1052"/>
      <c r="AE64" s="1052"/>
      <c r="AF64" s="1052"/>
      <c r="AG64" s="1052"/>
      <c r="AH64" s="1052"/>
      <c r="AI64" s="640">
        <v>-8.63854918981815</v>
      </c>
      <c r="AJ64" s="121" t="s">
        <v>2569</v>
      </c>
      <c r="AK64" s="1080">
        <v>8750000</v>
      </c>
      <c r="AL64" s="1080">
        <v>500000</v>
      </c>
      <c r="AM64" s="1081">
        <v>2500000</v>
      </c>
      <c r="AN64" s="1088"/>
      <c r="AO64" s="1081">
        <v>250000</v>
      </c>
      <c r="AP64" s="1081">
        <v>500000</v>
      </c>
      <c r="AQ64" s="1080">
        <v>1500000</v>
      </c>
      <c r="AR64" s="1081"/>
      <c r="AS64" s="1051" t="s">
        <v>0</v>
      </c>
      <c r="AT64" s="1081" t="s">
        <v>48</v>
      </c>
      <c r="AU64" s="1081" t="s">
        <v>48</v>
      </c>
      <c r="AV64" s="1051"/>
      <c r="AW64" s="1106"/>
      <c r="AX64" s="1104" t="s">
        <v>1070</v>
      </c>
      <c r="AY64" s="1095" t="s">
        <v>1071</v>
      </c>
      <c r="AZ64" s="1095" t="s">
        <v>1072</v>
      </c>
      <c r="BA64" s="1545" t="s">
        <v>1073</v>
      </c>
      <c r="BB64" s="1095" t="s">
        <v>1074</v>
      </c>
      <c r="BC64" s="1095"/>
      <c r="BD64" s="1545" t="s">
        <v>1075</v>
      </c>
      <c r="BE64" s="1126" t="s">
        <v>1076</v>
      </c>
      <c r="BF64" s="1129" t="s">
        <v>3251</v>
      </c>
      <c r="BG64" s="1116" t="s">
        <v>6695</v>
      </c>
    </row>
    <row r="65" s="974" customFormat="1" ht="14.1" hidden="1" customHeight="1" spans="2:59">
      <c r="B65" s="1551" t="s">
        <v>579</v>
      </c>
      <c r="C65" s="32" t="s">
        <v>7283</v>
      </c>
      <c r="D65" s="838" t="s">
        <v>7284</v>
      </c>
      <c r="E65" s="1044" t="s">
        <v>7285</v>
      </c>
      <c r="F65" s="1044" t="s">
        <v>43</v>
      </c>
      <c r="G65" s="1044" t="s">
        <v>96</v>
      </c>
      <c r="H65" s="1044" t="s">
        <v>96</v>
      </c>
      <c r="I65" s="1051" t="s">
        <v>2910</v>
      </c>
      <c r="J65" s="1051"/>
      <c r="K65" s="1051" t="s">
        <v>993</v>
      </c>
      <c r="L65" s="1052">
        <v>42965</v>
      </c>
      <c r="M65" s="1052">
        <v>43039</v>
      </c>
      <c r="N65" s="1052">
        <v>43100</v>
      </c>
      <c r="O65" s="942">
        <v>43131</v>
      </c>
      <c r="P65" s="1052"/>
      <c r="Q65" s="1052"/>
      <c r="R65" s="1052"/>
      <c r="S65" s="1052"/>
      <c r="T65" s="1052"/>
      <c r="U65" s="1052"/>
      <c r="V65" s="1052"/>
      <c r="W65" s="1052"/>
      <c r="X65" s="1052"/>
      <c r="Y65" s="1052"/>
      <c r="Z65" s="1052"/>
      <c r="AA65" s="1052"/>
      <c r="AB65" s="1052"/>
      <c r="AC65" s="1052"/>
      <c r="AD65" s="1052"/>
      <c r="AE65" s="1052"/>
      <c r="AF65" s="1052"/>
      <c r="AG65" s="1052"/>
      <c r="AH65" s="1052"/>
      <c r="AI65" s="640">
        <v>-8.63854918981815</v>
      </c>
      <c r="AJ65" s="121" t="s">
        <v>2569</v>
      </c>
      <c r="AK65" s="1080">
        <v>8000000</v>
      </c>
      <c r="AL65" s="1080">
        <v>500000</v>
      </c>
      <c r="AM65" s="1081">
        <v>2000000</v>
      </c>
      <c r="AN65" s="1088"/>
      <c r="AO65" s="1081">
        <v>250000</v>
      </c>
      <c r="AP65" s="1081">
        <v>500000</v>
      </c>
      <c r="AQ65" s="1080">
        <v>1000000</v>
      </c>
      <c r="AR65" s="1081"/>
      <c r="AS65" s="1051" t="s">
        <v>0</v>
      </c>
      <c r="AT65" s="1081" t="s">
        <v>48</v>
      </c>
      <c r="AU65" s="1081" t="s">
        <v>48</v>
      </c>
      <c r="AV65" s="1051"/>
      <c r="AW65" s="1106"/>
      <c r="AX65" s="1104" t="s">
        <v>7286</v>
      </c>
      <c r="AY65" s="1095" t="s">
        <v>7287</v>
      </c>
      <c r="AZ65" s="1095" t="s">
        <v>7288</v>
      </c>
      <c r="BA65" s="1545" t="s">
        <v>7289</v>
      </c>
      <c r="BB65" s="1095" t="s">
        <v>7290</v>
      </c>
      <c r="BC65" s="1095" t="s">
        <v>7291</v>
      </c>
      <c r="BD65" s="1095" t="s">
        <v>7292</v>
      </c>
      <c r="BE65" s="229" t="s">
        <v>7293</v>
      </c>
      <c r="BF65" s="1129" t="s">
        <v>3251</v>
      </c>
      <c r="BG65" s="1116" t="s">
        <v>6695</v>
      </c>
    </row>
    <row r="66" s="974" customFormat="1" ht="14.1" hidden="1" customHeight="1" spans="2:59">
      <c r="B66" s="1553" t="s">
        <v>588</v>
      </c>
      <c r="C66" s="32" t="s">
        <v>7294</v>
      </c>
      <c r="D66" s="838" t="s">
        <v>7295</v>
      </c>
      <c r="E66" s="1044" t="s">
        <v>7296</v>
      </c>
      <c r="F66" s="1044" t="s">
        <v>125</v>
      </c>
      <c r="G66" s="1044" t="s">
        <v>44</v>
      </c>
      <c r="H66" s="1044" t="s">
        <v>44</v>
      </c>
      <c r="I66" s="1051" t="s">
        <v>3528</v>
      </c>
      <c r="J66" s="1051"/>
      <c r="K66" s="1051" t="s">
        <v>4766</v>
      </c>
      <c r="L66" s="1052">
        <v>43040</v>
      </c>
      <c r="M66" s="1052">
        <v>43131</v>
      </c>
      <c r="N66" s="1052"/>
      <c r="O66" s="1052"/>
      <c r="P66" s="1052"/>
      <c r="Q66" s="1052"/>
      <c r="R66" s="1052"/>
      <c r="S66" s="1052"/>
      <c r="T66" s="1052"/>
      <c r="U66" s="1052"/>
      <c r="V66" s="1052"/>
      <c r="W66" s="1052"/>
      <c r="X66" s="1052"/>
      <c r="Y66" s="1052"/>
      <c r="Z66" s="1052"/>
      <c r="AA66" s="1052"/>
      <c r="AB66" s="1052"/>
      <c r="AC66" s="1052"/>
      <c r="AD66" s="1052"/>
      <c r="AE66" s="1052"/>
      <c r="AF66" s="1052"/>
      <c r="AG66" s="1052"/>
      <c r="AH66" s="1052"/>
      <c r="AI66" s="641">
        <v>-8.63854918981815</v>
      </c>
      <c r="AJ66" s="187" t="s">
        <v>2569</v>
      </c>
      <c r="AK66" s="1080">
        <v>4500000</v>
      </c>
      <c r="AL66" s="1080">
        <v>250000</v>
      </c>
      <c r="AM66" s="1081"/>
      <c r="AN66" s="1088"/>
      <c r="AO66" s="1081"/>
      <c r="AP66" s="1081">
        <v>500000</v>
      </c>
      <c r="AQ66" s="1080"/>
      <c r="AR66" s="1081"/>
      <c r="AS66" s="1051" t="s">
        <v>0</v>
      </c>
      <c r="AT66" s="1081" t="s">
        <v>48</v>
      </c>
      <c r="AU66" s="1081" t="s">
        <v>48</v>
      </c>
      <c r="AV66" s="1051"/>
      <c r="AW66" s="1106"/>
      <c r="AX66" s="1104" t="s">
        <v>7297</v>
      </c>
      <c r="AY66" s="1095" t="s">
        <v>7298</v>
      </c>
      <c r="AZ66" s="1095" t="s">
        <v>7299</v>
      </c>
      <c r="BA66" s="1545" t="s">
        <v>7300</v>
      </c>
      <c r="BB66" s="1095" t="s">
        <v>7301</v>
      </c>
      <c r="BC66" s="1095"/>
      <c r="BD66" s="1095" t="s">
        <v>7302</v>
      </c>
      <c r="BE66" s="229" t="s">
        <v>7303</v>
      </c>
      <c r="BF66" s="1129" t="s">
        <v>3251</v>
      </c>
      <c r="BG66" s="1116" t="s">
        <v>6851</v>
      </c>
    </row>
    <row r="67" s="1027" customFormat="1" ht="14.1" customHeight="1" spans="2:60">
      <c r="B67" s="1571" t="s">
        <v>194</v>
      </c>
      <c r="C67" s="1133" t="s">
        <v>6807</v>
      </c>
      <c r="D67" s="1134" t="s">
        <v>6808</v>
      </c>
      <c r="E67" s="1135">
        <v>32753</v>
      </c>
      <c r="F67" s="1135" t="s">
        <v>43</v>
      </c>
      <c r="G67" s="1135" t="s">
        <v>404</v>
      </c>
      <c r="H67" s="1135" t="s">
        <v>404</v>
      </c>
      <c r="I67" s="1136" t="s">
        <v>6809</v>
      </c>
      <c r="J67" s="1136" t="s">
        <v>6810</v>
      </c>
      <c r="K67" s="1134" t="s">
        <v>4639</v>
      </c>
      <c r="L67" s="1137">
        <v>41000</v>
      </c>
      <c r="M67" s="1137">
        <v>41090</v>
      </c>
      <c r="N67" s="1137">
        <v>41182</v>
      </c>
      <c r="O67" s="1137">
        <v>41364</v>
      </c>
      <c r="P67" s="1137">
        <v>41455</v>
      </c>
      <c r="Q67" s="1137">
        <v>41547</v>
      </c>
      <c r="R67" s="1137">
        <v>41729</v>
      </c>
      <c r="S67" s="1137"/>
      <c r="T67" s="1137">
        <v>41730</v>
      </c>
      <c r="U67" s="1137">
        <v>41820</v>
      </c>
      <c r="V67" s="1137">
        <v>42004</v>
      </c>
      <c r="W67" s="1137">
        <v>42094</v>
      </c>
      <c r="X67" s="1137"/>
      <c r="Y67" s="1140"/>
      <c r="Z67" s="1140"/>
      <c r="AA67" s="1141">
        <v>42125</v>
      </c>
      <c r="AB67" s="1141">
        <v>42369</v>
      </c>
      <c r="AC67" s="1141">
        <v>42735</v>
      </c>
      <c r="AD67" s="1141">
        <v>42825</v>
      </c>
      <c r="AE67" s="1141"/>
      <c r="AF67" s="1141">
        <v>42826</v>
      </c>
      <c r="AG67" s="1141">
        <v>42886</v>
      </c>
      <c r="AH67" s="1141"/>
      <c r="AI67" s="1142">
        <f ca="1">SUM(AG67-NOW())</f>
        <v>-386.38453703704</v>
      </c>
      <c r="AJ67" s="1143" t="str">
        <f ca="1">IF(AI67&lt;=40,"WARNING","ACTIVE")</f>
        <v>WARNING</v>
      </c>
      <c r="AK67" s="1144">
        <v>3355750</v>
      </c>
      <c r="AL67" s="1144">
        <v>0</v>
      </c>
      <c r="AM67" s="1144"/>
      <c r="AN67" s="1144"/>
      <c r="AO67" s="1144"/>
      <c r="AP67" s="1144"/>
      <c r="AQ67" s="1144"/>
      <c r="AR67" s="1144"/>
      <c r="AS67" s="1144">
        <v>780347</v>
      </c>
      <c r="AT67" s="1146" t="s">
        <v>113</v>
      </c>
      <c r="AU67" s="1146" t="s">
        <v>113</v>
      </c>
      <c r="AV67" s="1136" t="s">
        <v>7304</v>
      </c>
      <c r="AW67" s="1136" t="s">
        <v>6812</v>
      </c>
      <c r="AX67" s="1147" t="s">
        <v>6813</v>
      </c>
      <c r="AY67" s="1148" t="s">
        <v>6814</v>
      </c>
      <c r="AZ67" s="1148" t="s">
        <v>6815</v>
      </c>
      <c r="BA67" s="1148"/>
      <c r="BB67" s="1148" t="s">
        <v>6816</v>
      </c>
      <c r="BC67" s="1148">
        <v>0</v>
      </c>
      <c r="BD67" s="1148" t="s">
        <v>6817</v>
      </c>
      <c r="BE67" s="1148" t="s">
        <v>6818</v>
      </c>
      <c r="BF67" s="1150" t="s">
        <v>7305</v>
      </c>
      <c r="BG67" s="1151" t="s">
        <v>6695</v>
      </c>
      <c r="BH67" s="1152">
        <v>43190</v>
      </c>
    </row>
    <row r="68" s="974" customFormat="1" ht="14.1" customHeight="1" spans="2:60">
      <c r="B68" s="1553" t="s">
        <v>333</v>
      </c>
      <c r="C68" s="1031" t="s">
        <v>7306</v>
      </c>
      <c r="D68" s="919" t="s">
        <v>7307</v>
      </c>
      <c r="E68" s="923" t="s">
        <v>7308</v>
      </c>
      <c r="F68" s="923" t="s">
        <v>125</v>
      </c>
      <c r="G68" s="923" t="s">
        <v>44</v>
      </c>
      <c r="H68" s="923" t="s">
        <v>44</v>
      </c>
      <c r="I68" s="927" t="s">
        <v>1549</v>
      </c>
      <c r="J68" s="927" t="s">
        <v>6741</v>
      </c>
      <c r="K68" s="919" t="s">
        <v>6856</v>
      </c>
      <c r="L68" s="928">
        <v>42826</v>
      </c>
      <c r="M68" s="928">
        <v>43100</v>
      </c>
      <c r="N68" s="928">
        <v>43131</v>
      </c>
      <c r="O68" s="1054">
        <v>43159</v>
      </c>
      <c r="P68" s="928"/>
      <c r="Q68" s="928"/>
      <c r="R68" s="928"/>
      <c r="S68" s="928"/>
      <c r="T68" s="928"/>
      <c r="U68" s="928"/>
      <c r="V68" s="928"/>
      <c r="W68" s="928"/>
      <c r="X68" s="942"/>
      <c r="Y68" s="942"/>
      <c r="Z68" s="942"/>
      <c r="AA68" s="942"/>
      <c r="AB68" s="942"/>
      <c r="AC68" s="942"/>
      <c r="AD68" s="942"/>
      <c r="AE68" s="942"/>
      <c r="AF68" s="942"/>
      <c r="AG68" s="942"/>
      <c r="AH68" s="942"/>
      <c r="AI68" s="641">
        <v>-6.69973275462689</v>
      </c>
      <c r="AJ68" s="187" t="s">
        <v>2569</v>
      </c>
      <c r="AK68" s="1145">
        <v>3630000</v>
      </c>
      <c r="AL68" s="1070">
        <v>250000</v>
      </c>
      <c r="AM68" s="1070" t="s">
        <v>583</v>
      </c>
      <c r="AN68" s="1070" t="s">
        <v>583</v>
      </c>
      <c r="AO68" s="1070">
        <v>200000</v>
      </c>
      <c r="AP68" s="1070">
        <v>400000</v>
      </c>
      <c r="AQ68" s="1070" t="s">
        <v>583</v>
      </c>
      <c r="AR68" s="1070"/>
      <c r="AS68" s="960">
        <v>750000</v>
      </c>
      <c r="AT68" s="960">
        <v>750000</v>
      </c>
      <c r="AU68" s="960" t="s">
        <v>48</v>
      </c>
      <c r="AV68" s="927"/>
      <c r="AW68" s="927"/>
      <c r="AX68" s="290" t="s">
        <v>7309</v>
      </c>
      <c r="AY68" s="962" t="s">
        <v>7310</v>
      </c>
      <c r="AZ68" s="962" t="s">
        <v>7311</v>
      </c>
      <c r="BA68" s="962" t="s">
        <v>7312</v>
      </c>
      <c r="BB68" s="962" t="s">
        <v>7313</v>
      </c>
      <c r="BC68" s="1149" t="s">
        <v>7314</v>
      </c>
      <c r="BD68" s="1572" t="s">
        <v>7315</v>
      </c>
      <c r="BE68" s="229" t="s">
        <v>7316</v>
      </c>
      <c r="BF68" s="1052" t="s">
        <v>7317</v>
      </c>
      <c r="BG68" s="1116" t="s">
        <v>7318</v>
      </c>
      <c r="BH68" s="1117" t="s">
        <v>7317</v>
      </c>
    </row>
    <row r="69" s="974" customFormat="1" ht="14.1" customHeight="1" spans="2:60">
      <c r="B69" s="1553" t="s">
        <v>411</v>
      </c>
      <c r="C69" s="1031" t="s">
        <v>7319</v>
      </c>
      <c r="D69" s="838" t="s">
        <v>7320</v>
      </c>
      <c r="E69" s="1044" t="s">
        <v>7321</v>
      </c>
      <c r="F69" s="1044" t="s">
        <v>43</v>
      </c>
      <c r="G69" s="1044" t="s">
        <v>60</v>
      </c>
      <c r="H69" s="1044" t="s">
        <v>60</v>
      </c>
      <c r="I69" s="1051" t="s">
        <v>2910</v>
      </c>
      <c r="J69" s="927" t="s">
        <v>6741</v>
      </c>
      <c r="K69" s="1051" t="s">
        <v>993</v>
      </c>
      <c r="L69" s="1052">
        <v>42858</v>
      </c>
      <c r="M69" s="1052">
        <v>42949</v>
      </c>
      <c r="N69" s="1054">
        <v>43039</v>
      </c>
      <c r="O69" s="1052">
        <v>43100</v>
      </c>
      <c r="P69" s="942">
        <v>43190</v>
      </c>
      <c r="Q69" s="1054">
        <v>43159</v>
      </c>
      <c r="R69" s="1052"/>
      <c r="S69" s="1052"/>
      <c r="T69" s="1052"/>
      <c r="U69" s="1052"/>
      <c r="V69" s="1052"/>
      <c r="W69" s="1052"/>
      <c r="X69" s="1052"/>
      <c r="Y69" s="1052"/>
      <c r="Z69" s="1052"/>
      <c r="AA69" s="1052"/>
      <c r="AB69" s="1052"/>
      <c r="AC69" s="1052"/>
      <c r="AD69" s="1052"/>
      <c r="AE69" s="1052"/>
      <c r="AF69" s="1052"/>
      <c r="AG69" s="1052"/>
      <c r="AH69" s="1052"/>
      <c r="AI69" s="641">
        <v>-6.69973275462689</v>
      </c>
      <c r="AJ69" s="187" t="s">
        <v>2569</v>
      </c>
      <c r="AK69" s="1080">
        <v>9000000</v>
      </c>
      <c r="AL69" s="1080">
        <v>500000</v>
      </c>
      <c r="AM69" s="1081">
        <v>2500000</v>
      </c>
      <c r="AN69" s="1082"/>
      <c r="AO69" s="1081">
        <v>250000</v>
      </c>
      <c r="AP69" s="1081">
        <v>500000</v>
      </c>
      <c r="AQ69" s="1086">
        <v>1500000</v>
      </c>
      <c r="AR69" s="1081" t="s">
        <v>583</v>
      </c>
      <c r="AS69" s="1051" t="s">
        <v>0</v>
      </c>
      <c r="AT69" s="1081" t="s">
        <v>48</v>
      </c>
      <c r="AU69" s="1081" t="s">
        <v>48</v>
      </c>
      <c r="AV69" s="927"/>
      <c r="AW69" s="1062"/>
      <c r="AX69" s="1104" t="s">
        <v>7322</v>
      </c>
      <c r="AY69" s="1095" t="s">
        <v>7323</v>
      </c>
      <c r="AZ69" s="1095" t="s">
        <v>7324</v>
      </c>
      <c r="BA69" s="1095" t="s">
        <v>7325</v>
      </c>
      <c r="BB69" s="1095" t="s">
        <v>7326</v>
      </c>
      <c r="BC69" s="1095" t="s">
        <v>7327</v>
      </c>
      <c r="BD69" s="1095"/>
      <c r="BE69" s="229" t="s">
        <v>7328</v>
      </c>
      <c r="BF69" s="1054" t="s">
        <v>7329</v>
      </c>
      <c r="BG69" s="1116" t="s">
        <v>6695</v>
      </c>
      <c r="BH69" s="1117" t="s">
        <v>7329</v>
      </c>
    </row>
    <row r="70" s="974" customFormat="1" ht="14.1" customHeight="1" spans="2:60">
      <c r="B70" s="1553" t="s">
        <v>504</v>
      </c>
      <c r="C70" s="1038" t="s">
        <v>7143</v>
      </c>
      <c r="D70" s="838" t="s">
        <v>7144</v>
      </c>
      <c r="E70" s="1044" t="s">
        <v>7145</v>
      </c>
      <c r="F70" s="1044" t="s">
        <v>43</v>
      </c>
      <c r="G70" s="1044" t="s">
        <v>254</v>
      </c>
      <c r="H70" s="1044" t="s">
        <v>254</v>
      </c>
      <c r="I70" s="1051" t="s">
        <v>2910</v>
      </c>
      <c r="J70" s="1051"/>
      <c r="K70" s="1051" t="s">
        <v>993</v>
      </c>
      <c r="L70" s="1052">
        <v>43102</v>
      </c>
      <c r="M70" s="1052">
        <v>43190</v>
      </c>
      <c r="N70" s="1052"/>
      <c r="O70" s="1052"/>
      <c r="P70" s="1052"/>
      <c r="Q70" s="1052"/>
      <c r="R70" s="1052"/>
      <c r="S70" s="1052"/>
      <c r="T70" s="1052"/>
      <c r="U70" s="1052"/>
      <c r="V70" s="1052"/>
      <c r="W70" s="1052"/>
      <c r="X70" s="1052"/>
      <c r="Y70" s="1052"/>
      <c r="Z70" s="1052"/>
      <c r="AA70" s="1052"/>
      <c r="AB70" s="1052"/>
      <c r="AC70" s="1052"/>
      <c r="AD70" s="1052"/>
      <c r="AE70" s="1052"/>
      <c r="AF70" s="1052"/>
      <c r="AG70" s="1052"/>
      <c r="AH70" s="1052"/>
      <c r="AI70" s="641">
        <v>24.3002672453731</v>
      </c>
      <c r="AJ70" s="187" t="s">
        <v>2569</v>
      </c>
      <c r="AK70" s="1080">
        <v>9000000</v>
      </c>
      <c r="AL70" s="1080">
        <v>500000</v>
      </c>
      <c r="AM70" s="1081">
        <v>2000000</v>
      </c>
      <c r="AN70" s="1088"/>
      <c r="AO70" s="1081">
        <v>250000</v>
      </c>
      <c r="AP70" s="1081">
        <v>500000</v>
      </c>
      <c r="AQ70" s="1080">
        <v>1000000</v>
      </c>
      <c r="AR70" s="1081" t="s">
        <v>583</v>
      </c>
      <c r="AS70" s="1051" t="s">
        <v>0</v>
      </c>
      <c r="AT70" s="1081" t="s">
        <v>48</v>
      </c>
      <c r="AU70" s="1081" t="s">
        <v>48</v>
      </c>
      <c r="AV70" s="1051"/>
      <c r="AW70" s="1106"/>
      <c r="AX70" s="1104" t="s">
        <v>7146</v>
      </c>
      <c r="AY70" s="1095" t="s">
        <v>7330</v>
      </c>
      <c r="AZ70" s="1095" t="s">
        <v>7331</v>
      </c>
      <c r="BA70" s="1545" t="s">
        <v>7332</v>
      </c>
      <c r="BB70" s="1095" t="s">
        <v>7150</v>
      </c>
      <c r="BC70" s="1095" t="s">
        <v>7333</v>
      </c>
      <c r="BD70" s="1095" t="s">
        <v>7334</v>
      </c>
      <c r="BE70" s="229" t="s">
        <v>7335</v>
      </c>
      <c r="BF70" s="1052" t="s">
        <v>7336</v>
      </c>
      <c r="BG70" s="1116"/>
      <c r="BH70" s="1117"/>
    </row>
    <row r="71" s="974" customFormat="1" ht="25.5" spans="2:59">
      <c r="B71" s="1553" t="s">
        <v>424</v>
      </c>
      <c r="C71" s="1031" t="s">
        <v>7337</v>
      </c>
      <c r="D71" s="838" t="s">
        <v>7338</v>
      </c>
      <c r="E71" s="1044" t="s">
        <v>7339</v>
      </c>
      <c r="F71" s="1044" t="s">
        <v>43</v>
      </c>
      <c r="G71" s="1044" t="s">
        <v>404</v>
      </c>
      <c r="H71" s="1044" t="s">
        <v>404</v>
      </c>
      <c r="I71" s="1051" t="s">
        <v>2910</v>
      </c>
      <c r="J71" s="927" t="s">
        <v>6741</v>
      </c>
      <c r="K71" s="1051" t="s">
        <v>993</v>
      </c>
      <c r="L71" s="1052">
        <v>42861</v>
      </c>
      <c r="M71" s="1052">
        <v>42952</v>
      </c>
      <c r="N71" s="1054">
        <v>43039</v>
      </c>
      <c r="O71" s="1052">
        <v>43100</v>
      </c>
      <c r="P71" s="942">
        <v>43190</v>
      </c>
      <c r="Q71" s="1139">
        <v>43465</v>
      </c>
      <c r="R71" s="1052"/>
      <c r="S71" s="1052"/>
      <c r="T71" s="1052"/>
      <c r="U71" s="1052"/>
      <c r="V71" s="1052"/>
      <c r="W71" s="1052"/>
      <c r="X71" s="1052"/>
      <c r="Y71" s="1052"/>
      <c r="Z71" s="1052"/>
      <c r="AA71" s="1052"/>
      <c r="AB71" s="1052"/>
      <c r="AC71" s="1052"/>
      <c r="AD71" s="1052"/>
      <c r="AE71" s="1052"/>
      <c r="AF71" s="1052"/>
      <c r="AG71" s="1052"/>
      <c r="AH71" s="1052"/>
      <c r="AI71" s="641">
        <f ca="1">SUM(Q71-NOW())</f>
        <v>192.61546296296</v>
      </c>
      <c r="AJ71" s="187" t="str">
        <f ca="1" t="shared" ref="AJ71:AJ72" si="5">IF(AI71&lt;=40,"WARNING","ACTIVE")</f>
        <v>ACTIVE</v>
      </c>
      <c r="AK71" s="1080">
        <v>6500000</v>
      </c>
      <c r="AL71" s="1080">
        <v>500000</v>
      </c>
      <c r="AM71" s="1081">
        <v>2500000</v>
      </c>
      <c r="AN71" s="1082"/>
      <c r="AO71" s="1081">
        <v>250000</v>
      </c>
      <c r="AP71" s="1081">
        <v>500000</v>
      </c>
      <c r="AQ71" s="1086">
        <v>1500000</v>
      </c>
      <c r="AR71" s="1081"/>
      <c r="AS71" s="1051" t="s">
        <v>0</v>
      </c>
      <c r="AT71" s="1081" t="s">
        <v>48</v>
      </c>
      <c r="AU71" s="1081" t="s">
        <v>48</v>
      </c>
      <c r="AV71" s="927"/>
      <c r="AW71" s="1062"/>
      <c r="AX71" s="1104" t="s">
        <v>7340</v>
      </c>
      <c r="AY71" s="1095" t="s">
        <v>7341</v>
      </c>
      <c r="AZ71" s="1095" t="s">
        <v>7342</v>
      </c>
      <c r="BA71" s="1095" t="s">
        <v>7343</v>
      </c>
      <c r="BB71" s="1095" t="s">
        <v>7344</v>
      </c>
      <c r="BC71" s="1095" t="s">
        <v>7345</v>
      </c>
      <c r="BD71" s="1095"/>
      <c r="BE71" s="229" t="s">
        <v>7346</v>
      </c>
      <c r="BF71" s="1124" t="s">
        <v>7347</v>
      </c>
      <c r="BG71" s="1116" t="s">
        <v>6695</v>
      </c>
    </row>
    <row r="72" spans="2:59">
      <c r="B72" s="1553" t="s">
        <v>514</v>
      </c>
      <c r="C72" s="164" t="s">
        <v>7348</v>
      </c>
      <c r="D72" s="838" t="s">
        <v>7349</v>
      </c>
      <c r="E72" s="1044" t="s">
        <v>7350</v>
      </c>
      <c r="F72" s="1044" t="s">
        <v>125</v>
      </c>
      <c r="G72" s="1044" t="s">
        <v>43</v>
      </c>
      <c r="H72" s="1044" t="s">
        <v>43</v>
      </c>
      <c r="I72" s="1051" t="s">
        <v>757</v>
      </c>
      <c r="J72" s="838" t="s">
        <v>7020</v>
      </c>
      <c r="K72" s="1051" t="s">
        <v>508</v>
      </c>
      <c r="L72" s="1052">
        <v>43164</v>
      </c>
      <c r="M72" s="1052">
        <v>43251</v>
      </c>
      <c r="N72" s="1052"/>
      <c r="O72" s="1052"/>
      <c r="P72" s="1052"/>
      <c r="Q72" s="1052"/>
      <c r="R72" s="942"/>
      <c r="S72" s="942"/>
      <c r="T72" s="1052"/>
      <c r="U72" s="1052"/>
      <c r="V72" s="1052"/>
      <c r="W72" s="1052"/>
      <c r="X72" s="1052"/>
      <c r="Y72" s="1052"/>
      <c r="Z72" s="1052"/>
      <c r="AA72" s="1052"/>
      <c r="AB72" s="1052"/>
      <c r="AC72" s="1052"/>
      <c r="AD72" s="1052"/>
      <c r="AE72" s="1052"/>
      <c r="AF72" s="1052"/>
      <c r="AG72" s="1052"/>
      <c r="AH72" s="1052"/>
      <c r="AI72" s="641">
        <f ca="1">SUM(M72-NOW())</f>
        <v>-21.38453703704</v>
      </c>
      <c r="AJ72" s="187" t="str">
        <f ca="1" t="shared" si="5"/>
        <v>WARNING</v>
      </c>
      <c r="AK72" s="1080">
        <v>4800000</v>
      </c>
      <c r="AL72" s="1086">
        <v>250000</v>
      </c>
      <c r="AM72" s="1081"/>
      <c r="AN72" s="1088"/>
      <c r="AO72" s="1081">
        <v>250000</v>
      </c>
      <c r="AP72" s="1082">
        <v>500000</v>
      </c>
      <c r="AQ72" s="1082"/>
      <c r="AR72" s="1081"/>
      <c r="AS72" s="1051" t="s">
        <v>7021</v>
      </c>
      <c r="AT72" s="1081" t="s">
        <v>48</v>
      </c>
      <c r="AU72" s="1081" t="s">
        <v>48</v>
      </c>
      <c r="AV72" s="1051"/>
      <c r="AW72" s="1062"/>
      <c r="AX72" s="1104" t="s">
        <v>7351</v>
      </c>
      <c r="AY72" s="1095"/>
      <c r="AZ72" s="1095"/>
      <c r="BA72" s="1545" t="s">
        <v>7352</v>
      </c>
      <c r="BB72" s="1095"/>
      <c r="BC72" s="1095"/>
      <c r="BD72" s="1095"/>
      <c r="BE72" s="229" t="s">
        <v>7353</v>
      </c>
      <c r="BF72" s="1052" t="s">
        <v>7354</v>
      </c>
      <c r="BG72" s="1116"/>
    </row>
    <row r="73" ht="25.5" spans="2:59">
      <c r="B73" s="1553" t="s">
        <v>250</v>
      </c>
      <c r="C73" s="1031" t="s">
        <v>7355</v>
      </c>
      <c r="D73" s="919" t="s">
        <v>7356</v>
      </c>
      <c r="E73" s="923" t="s">
        <v>7357</v>
      </c>
      <c r="F73" s="923" t="s">
        <v>43</v>
      </c>
      <c r="G73" s="923" t="s">
        <v>96</v>
      </c>
      <c r="H73" s="923" t="s">
        <v>96</v>
      </c>
      <c r="I73" s="927" t="s">
        <v>3528</v>
      </c>
      <c r="J73" s="927" t="s">
        <v>6741</v>
      </c>
      <c r="K73" s="919" t="s">
        <v>6927</v>
      </c>
      <c r="L73" s="928">
        <v>42826</v>
      </c>
      <c r="M73" s="928">
        <v>43100</v>
      </c>
      <c r="N73" s="942">
        <v>43190</v>
      </c>
      <c r="O73" s="1138">
        <v>43251</v>
      </c>
      <c r="P73" s="928"/>
      <c r="Q73" s="928"/>
      <c r="R73" s="928"/>
      <c r="S73" s="928"/>
      <c r="T73" s="928"/>
      <c r="U73" s="928"/>
      <c r="V73" s="928"/>
      <c r="W73" s="928"/>
      <c r="X73" s="942"/>
      <c r="Y73" s="942"/>
      <c r="Z73" s="942"/>
      <c r="AA73" s="942"/>
      <c r="AB73" s="942"/>
      <c r="AC73" s="942"/>
      <c r="AD73" s="942"/>
      <c r="AE73" s="942"/>
      <c r="AF73" s="942"/>
      <c r="AG73" s="942"/>
      <c r="AH73" s="936"/>
      <c r="AI73" s="641">
        <v>35.5482548611108</v>
      </c>
      <c r="AJ73" s="187" t="s">
        <v>2569</v>
      </c>
      <c r="AK73" s="1145">
        <v>12267300</v>
      </c>
      <c r="AL73" s="1070" t="s">
        <v>583</v>
      </c>
      <c r="AM73" s="1070" t="s">
        <v>583</v>
      </c>
      <c r="AN73" s="1070" t="s">
        <v>583</v>
      </c>
      <c r="AO73" s="1070">
        <v>300000</v>
      </c>
      <c r="AP73" s="1070">
        <v>465000</v>
      </c>
      <c r="AQ73" s="1070" t="s">
        <v>583</v>
      </c>
      <c r="AR73" s="1070"/>
      <c r="AS73" s="1070" t="s">
        <v>0</v>
      </c>
      <c r="AT73" s="960" t="s">
        <v>48</v>
      </c>
      <c r="AU73" s="960" t="s">
        <v>48</v>
      </c>
      <c r="AV73" s="927"/>
      <c r="AW73" s="927"/>
      <c r="AX73" s="290" t="s">
        <v>7358</v>
      </c>
      <c r="AY73" s="962" t="s">
        <v>7359</v>
      </c>
      <c r="AZ73" s="962" t="s">
        <v>7360</v>
      </c>
      <c r="BA73" s="962" t="s">
        <v>7361</v>
      </c>
      <c r="BB73" s="962" t="s">
        <v>7362</v>
      </c>
      <c r="BC73" s="962"/>
      <c r="BD73" s="962" t="s">
        <v>7363</v>
      </c>
      <c r="BE73" s="229" t="s">
        <v>7364</v>
      </c>
      <c r="BF73" s="1115" t="s">
        <v>7365</v>
      </c>
      <c r="BG73" s="1116" t="s">
        <v>6695</v>
      </c>
    </row>
    <row r="74" ht="25.5" spans="2:59">
      <c r="B74" s="1553" t="s">
        <v>286</v>
      </c>
      <c r="C74" s="1031" t="s">
        <v>7366</v>
      </c>
      <c r="D74" s="919" t="s">
        <v>7367</v>
      </c>
      <c r="E74" s="923" t="s">
        <v>7368</v>
      </c>
      <c r="F74" s="923" t="s">
        <v>43</v>
      </c>
      <c r="G74" s="923" t="s">
        <v>96</v>
      </c>
      <c r="H74" s="923" t="s">
        <v>96</v>
      </c>
      <c r="I74" s="927" t="s">
        <v>3528</v>
      </c>
      <c r="J74" s="927" t="s">
        <v>6741</v>
      </c>
      <c r="K74" s="919" t="s">
        <v>6877</v>
      </c>
      <c r="L74" s="928">
        <v>42826</v>
      </c>
      <c r="M74" s="928">
        <v>43100</v>
      </c>
      <c r="N74" s="942">
        <v>43190</v>
      </c>
      <c r="O74" s="1138">
        <v>43251</v>
      </c>
      <c r="P74" s="928"/>
      <c r="Q74" s="928"/>
      <c r="R74" s="928"/>
      <c r="S74" s="928"/>
      <c r="T74" s="928"/>
      <c r="U74" s="928"/>
      <c r="V74" s="928"/>
      <c r="W74" s="928"/>
      <c r="X74" s="942"/>
      <c r="Y74" s="942"/>
      <c r="Z74" s="942"/>
      <c r="AA74" s="942"/>
      <c r="AB74" s="942"/>
      <c r="AC74" s="942"/>
      <c r="AD74" s="942"/>
      <c r="AE74" s="942"/>
      <c r="AF74" s="942"/>
      <c r="AG74" s="942"/>
      <c r="AH74" s="936"/>
      <c r="AI74" s="641">
        <v>35.5482548611108</v>
      </c>
      <c r="AJ74" s="187" t="s">
        <v>2569</v>
      </c>
      <c r="AK74" s="1145">
        <v>4950000</v>
      </c>
      <c r="AL74" s="1070">
        <v>550000</v>
      </c>
      <c r="AM74" s="1070" t="s">
        <v>583</v>
      </c>
      <c r="AN74" s="1070" t="s">
        <v>583</v>
      </c>
      <c r="AO74" s="1070">
        <v>300000</v>
      </c>
      <c r="AP74" s="1070">
        <v>750000</v>
      </c>
      <c r="AQ74" s="1070" t="s">
        <v>583</v>
      </c>
      <c r="AR74" s="1070"/>
      <c r="AS74" s="960">
        <v>1030058</v>
      </c>
      <c r="AT74" s="960">
        <v>858382</v>
      </c>
      <c r="AU74" s="960" t="s">
        <v>48</v>
      </c>
      <c r="AV74" s="927" t="s">
        <v>7369</v>
      </c>
      <c r="AW74" s="927"/>
      <c r="AX74" s="290" t="s">
        <v>7370</v>
      </c>
      <c r="AY74" s="962" t="s">
        <v>7371</v>
      </c>
      <c r="AZ74" s="962" t="s">
        <v>7372</v>
      </c>
      <c r="BA74" s="962" t="s">
        <v>7373</v>
      </c>
      <c r="BB74" s="962" t="s">
        <v>7374</v>
      </c>
      <c r="BC74" s="962"/>
      <c r="BD74" s="962"/>
      <c r="BE74" s="229" t="s">
        <v>7375</v>
      </c>
      <c r="BF74" s="1115" t="s">
        <v>7365</v>
      </c>
      <c r="BG74" s="1116" t="s">
        <v>6695</v>
      </c>
    </row>
    <row r="75" ht="25.5" spans="2:59">
      <c r="B75" s="1553" t="s">
        <v>346</v>
      </c>
      <c r="C75" s="1031" t="s">
        <v>7376</v>
      </c>
      <c r="D75" s="919" t="s">
        <v>7377</v>
      </c>
      <c r="E75" s="923" t="s">
        <v>7378</v>
      </c>
      <c r="F75" s="923" t="s">
        <v>43</v>
      </c>
      <c r="G75" s="923" t="s">
        <v>96</v>
      </c>
      <c r="H75" s="923" t="s">
        <v>96</v>
      </c>
      <c r="I75" s="927" t="s">
        <v>3528</v>
      </c>
      <c r="J75" s="927" t="s">
        <v>6741</v>
      </c>
      <c r="K75" s="919" t="s">
        <v>6927</v>
      </c>
      <c r="L75" s="928">
        <v>42826</v>
      </c>
      <c r="M75" s="928">
        <v>43100</v>
      </c>
      <c r="N75" s="942">
        <v>43190</v>
      </c>
      <c r="O75" s="1138">
        <v>43281</v>
      </c>
      <c r="P75" s="928"/>
      <c r="Q75" s="928"/>
      <c r="R75" s="928"/>
      <c r="S75" s="928"/>
      <c r="T75" s="928"/>
      <c r="U75" s="928"/>
      <c r="V75" s="928"/>
      <c r="W75" s="928"/>
      <c r="X75" s="942"/>
      <c r="Y75" s="942"/>
      <c r="Z75" s="942"/>
      <c r="AA75" s="942"/>
      <c r="AB75" s="942"/>
      <c r="AC75" s="942"/>
      <c r="AD75" s="942"/>
      <c r="AE75" s="942"/>
      <c r="AF75" s="942"/>
      <c r="AG75" s="942"/>
      <c r="AH75" s="936"/>
      <c r="AI75" s="641">
        <v>65.5482548611108</v>
      </c>
      <c r="AJ75" s="187" t="s">
        <v>745</v>
      </c>
      <c r="AK75" s="1145">
        <v>7700000</v>
      </c>
      <c r="AL75" s="1070" t="s">
        <v>583</v>
      </c>
      <c r="AM75" s="1070" t="s">
        <v>583</v>
      </c>
      <c r="AN75" s="1070" t="s">
        <v>583</v>
      </c>
      <c r="AO75" s="1070" t="s">
        <v>583</v>
      </c>
      <c r="AP75" s="1070">
        <v>500000</v>
      </c>
      <c r="AQ75" s="1070" t="s">
        <v>583</v>
      </c>
      <c r="AR75" s="1070"/>
      <c r="AS75" s="960">
        <v>1335260</v>
      </c>
      <c r="AT75" s="960">
        <v>1335260</v>
      </c>
      <c r="AU75" s="960" t="s">
        <v>48</v>
      </c>
      <c r="AV75" s="927"/>
      <c r="AW75" s="927"/>
      <c r="AX75" s="290" t="s">
        <v>7379</v>
      </c>
      <c r="AY75" s="962" t="s">
        <v>7380</v>
      </c>
      <c r="AZ75" s="962" t="s">
        <v>7381</v>
      </c>
      <c r="BA75" s="962" t="s">
        <v>7382</v>
      </c>
      <c r="BB75" s="962" t="s">
        <v>7383</v>
      </c>
      <c r="BC75" s="962" t="s">
        <v>6517</v>
      </c>
      <c r="BD75" s="962" t="s">
        <v>7384</v>
      </c>
      <c r="BE75" s="229" t="s">
        <v>7385</v>
      </c>
      <c r="BF75" s="1115" t="s">
        <v>7365</v>
      </c>
      <c r="BG75" s="1116" t="s">
        <v>6695</v>
      </c>
    </row>
    <row r="76" ht="25.5" spans="2:59">
      <c r="B76" s="1553" t="s">
        <v>463</v>
      </c>
      <c r="C76" s="1031" t="s">
        <v>7386</v>
      </c>
      <c r="D76" s="838" t="s">
        <v>7387</v>
      </c>
      <c r="E76" s="1044" t="s">
        <v>7388</v>
      </c>
      <c r="F76" s="1044" t="s">
        <v>43</v>
      </c>
      <c r="G76" s="1044" t="s">
        <v>60</v>
      </c>
      <c r="H76" s="1044" t="s">
        <v>60</v>
      </c>
      <c r="I76" s="1051" t="s">
        <v>3528</v>
      </c>
      <c r="J76" s="927" t="s">
        <v>6741</v>
      </c>
      <c r="K76" s="1051" t="s">
        <v>7389</v>
      </c>
      <c r="L76" s="1052">
        <v>42857</v>
      </c>
      <c r="M76" s="1052">
        <v>43221</v>
      </c>
      <c r="N76" s="1054">
        <v>43281</v>
      </c>
      <c r="O76" s="1052"/>
      <c r="P76" s="1052"/>
      <c r="Q76" s="1052"/>
      <c r="R76" s="1052"/>
      <c r="S76" s="1052"/>
      <c r="T76" s="1052"/>
      <c r="U76" s="1052"/>
      <c r="V76" s="1052"/>
      <c r="W76" s="1052"/>
      <c r="X76" s="1052"/>
      <c r="Y76" s="1052"/>
      <c r="Z76" s="1052"/>
      <c r="AA76" s="1052"/>
      <c r="AB76" s="1052"/>
      <c r="AC76" s="1052"/>
      <c r="AD76" s="1052"/>
      <c r="AE76" s="1052"/>
      <c r="AF76" s="1052"/>
      <c r="AG76" s="1052"/>
      <c r="AH76" s="936"/>
      <c r="AI76" s="641">
        <v>65.5482548611108</v>
      </c>
      <c r="AJ76" s="187" t="s">
        <v>745</v>
      </c>
      <c r="AK76" s="1080">
        <v>11000000</v>
      </c>
      <c r="AL76" s="1080" t="s">
        <v>583</v>
      </c>
      <c r="AM76" s="1081" t="s">
        <v>583</v>
      </c>
      <c r="AN76" s="1082"/>
      <c r="AO76" s="1081" t="s">
        <v>583</v>
      </c>
      <c r="AP76" s="1081">
        <v>500000</v>
      </c>
      <c r="AQ76" s="1081" t="s">
        <v>583</v>
      </c>
      <c r="AR76" s="1081"/>
      <c r="AS76" s="1051" t="s">
        <v>0</v>
      </c>
      <c r="AT76" s="1081" t="s">
        <v>48</v>
      </c>
      <c r="AU76" s="1081" t="s">
        <v>48</v>
      </c>
      <c r="AV76" s="927"/>
      <c r="AW76" s="1062"/>
      <c r="AX76" s="1104" t="s">
        <v>7390</v>
      </c>
      <c r="AY76" s="1095" t="s">
        <v>7391</v>
      </c>
      <c r="AZ76" s="1095" t="s">
        <v>7392</v>
      </c>
      <c r="BA76" s="1095" t="s">
        <v>7393</v>
      </c>
      <c r="BB76" s="1095" t="s">
        <v>7394</v>
      </c>
      <c r="BC76" s="1095" t="s">
        <v>7395</v>
      </c>
      <c r="BD76" s="1095"/>
      <c r="BE76" s="229" t="s">
        <v>7396</v>
      </c>
      <c r="BF76" s="1115" t="s">
        <v>7397</v>
      </c>
      <c r="BG76" s="1116" t="s">
        <v>6851</v>
      </c>
    </row>
  </sheetData>
  <sortState ref="B67:BE77">
    <sortCondition ref="C67:C77"/>
  </sortState>
  <mergeCells count="43">
    <mergeCell ref="L3:M3"/>
    <mergeCell ref="N3:S3"/>
    <mergeCell ref="T3:U3"/>
    <mergeCell ref="V3:X3"/>
    <mergeCell ref="Y3:Z3"/>
    <mergeCell ref="AA3:AB3"/>
    <mergeCell ref="AC3:AE3"/>
    <mergeCell ref="AF3:AG3"/>
    <mergeCell ref="B3:B4"/>
    <mergeCell ref="C3:C4"/>
    <mergeCell ref="D3:D4"/>
    <mergeCell ref="E3:E4"/>
    <mergeCell ref="F3:F4"/>
    <mergeCell ref="G3:G4"/>
    <mergeCell ref="H3:H4"/>
    <mergeCell ref="I3:I4"/>
    <mergeCell ref="J3:J4"/>
    <mergeCell ref="K3:K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 ref="BD3:BD4"/>
    <mergeCell ref="BE3:BE4"/>
    <mergeCell ref="BF3:BF4"/>
    <mergeCell ref="BG3:BG4"/>
  </mergeCells>
  <conditionalFormatting sqref="AJ3:AJ4;AK22:AK31">
    <cfRule type="expression" dxfId="932" priority="1" stopIfTrue="1">
      <formula>NOT(ISERROR(SEARCH("warning",AJ3)))</formula>
    </cfRule>
  </conditionalFormatting>
  <conditionalFormatting sqref="BA44;E44">
    <cfRule type="expression" dxfId="933" priority="2" stopIfTrue="1">
      <formula>IF(OR(#REF!="not",#REF!="resign",#REF!="resign",#REF!="end",#REF!="terminated",#REF!="permanent"),"TRUE","FALSE")</formula>
    </cfRule>
  </conditionalFormatting>
  <conditionalFormatting sqref="BA34:BA35">
    <cfRule type="expression" dxfId="934" priority="3" stopIfTrue="1">
      <formula>IF(OR(#REF!="not",#REF!="resign",#REF!="resign",#REF!="end",#REF!="terminated",#REF!="permanent"),"TRUE","FALSE")</formula>
    </cfRule>
  </conditionalFormatting>
  <conditionalFormatting sqref="F42:H42">
    <cfRule type="expression" dxfId="935" priority="4" stopIfTrue="1">
      <formula>IF(OR(#REF!="not",#REF!="resign",#REF!="resign",#REF!="end",#REF!="terminated",#REF!="permanent"),"TRUE","FALSE")</formula>
    </cfRule>
  </conditionalFormatting>
  <conditionalFormatting sqref="AY42:BC42">
    <cfRule type="expression" dxfId="936" priority="5" stopIfTrue="1">
      <formula>IF(OR(#REF!="not",#REF!="resign",#REF!="resign",#REF!="end",#REF!="terminated",#REF!="permanent"),"TRUE","FALSE")</formula>
    </cfRule>
  </conditionalFormatting>
  <conditionalFormatting sqref="BA43;E43">
    <cfRule type="expression" dxfId="937" priority="6" stopIfTrue="1">
      <formula>IF(OR(#REF!="not",#REF!="resign",#REF!="resign",#REF!="end",#REF!="terminated",#REF!="permanent"),"TRUE","FALSE")</formula>
    </cfRule>
  </conditionalFormatting>
  <conditionalFormatting sqref="AK45">
    <cfRule type="expression" dxfId="938" priority="7" stopIfTrue="1">
      <formula>NOT(ISERROR(SEARCH("warning",AK45)))</formula>
    </cfRule>
  </conditionalFormatting>
  <conditionalFormatting sqref="AJ45:AJ53">
    <cfRule type="expression" dxfId="939" priority="8" stopIfTrue="1">
      <formula>NOT(ISERROR(SEARCH("warning",AJ45)))</formula>
    </cfRule>
  </conditionalFormatting>
  <conditionalFormatting sqref="BA47:BA49;E47:E49">
    <cfRule type="expression" dxfId="940" priority="9" stopIfTrue="1">
      <formula>IF(OR(#REF!="not",#REF!="resign",#REF!="resign",#REF!="end",#REF!="terminated",#REF!="permanent"),"TRUE","FALSE")</formula>
    </cfRule>
  </conditionalFormatting>
  <conditionalFormatting sqref="BA50;E50">
    <cfRule type="expression" dxfId="941" priority="10" stopIfTrue="1">
      <formula>IF(OR(#REF!="not",#REF!="resign",#REF!="resign",#REF!="end",#REF!="terminated",#REF!="permanent"),"TRUE","FALSE")</formula>
    </cfRule>
  </conditionalFormatting>
  <conditionalFormatting sqref="BA51;E51">
    <cfRule type="expression" dxfId="942" priority="11" stopIfTrue="1">
      <formula>IF(OR(#REF!="not",#REF!="resign",#REF!="resign",#REF!="end",#REF!="terminated",#REF!="permanent"),"TRUE","FALSE")</formula>
    </cfRule>
  </conditionalFormatting>
  <conditionalFormatting sqref="BA52;E52">
    <cfRule type="expression" dxfId="943" priority="12" stopIfTrue="1">
      <formula>IF(OR(#REF!="not",#REF!="resign",#REF!="resign",#REF!="end",#REF!="terminated",#REF!="permanent"),"TRUE","FALSE")</formula>
    </cfRule>
  </conditionalFormatting>
  <conditionalFormatting sqref="E53;BA53">
    <cfRule type="expression" dxfId="944" priority="13" stopIfTrue="1">
      <formula>IF(OR(#REF!="not",#REF!="resign",#REF!="resign",#REF!="end",#REF!="terminated",#REF!="permanent"),"TRUE","FALSE")</formula>
    </cfRule>
  </conditionalFormatting>
  <conditionalFormatting sqref="AJ54:AJ56">
    <cfRule type="expression" dxfId="945" priority="14" stopIfTrue="1">
      <formula>NOT(ISERROR(SEARCH("warning",AJ54)))</formula>
    </cfRule>
  </conditionalFormatting>
  <conditionalFormatting sqref="AK55">
    <cfRule type="expression" dxfId="946" priority="15" stopIfTrue="1">
      <formula>NOT(ISERROR(SEARCH("warning",AK55)))</formula>
    </cfRule>
  </conditionalFormatting>
  <conditionalFormatting sqref="BA56;E56">
    <cfRule type="expression" dxfId="947" priority="16" stopIfTrue="1">
      <formula>IF(OR(#REF!="not",#REF!="resign",#REF!="resign",#REF!="end",#REF!="terminated",#REF!="permanent"),"TRUE","FALSE")</formula>
    </cfRule>
  </conditionalFormatting>
  <conditionalFormatting sqref="AJ5">
    <cfRule type="expression" dxfId="948" priority="17" stopIfTrue="1">
      <formula>NOT(ISERROR(SEARCH("warning",AJ5)))</formula>
    </cfRule>
  </conditionalFormatting>
  <conditionalFormatting sqref="AK57">
    <cfRule type="expression" dxfId="949" priority="18" stopIfTrue="1">
      <formula>NOT(ISERROR(SEARCH("warning",AK57)))</formula>
    </cfRule>
  </conditionalFormatting>
  <conditionalFormatting sqref="AJ57:AJ66">
    <cfRule type="expression" dxfId="950" priority="19" stopIfTrue="1">
      <formula>NOT(ISERROR(SEARCH("warning",AJ57)))</formula>
    </cfRule>
  </conditionalFormatting>
  <conditionalFormatting sqref="AY60:BD60;F60:H60">
    <cfRule type="expression" dxfId="951" priority="20" stopIfTrue="1">
      <formula>IF(OR(#REF!="not",#REF!="resign",#REF!="resign",#REF!="end",#REF!="terminated",#REF!="permanent"),"TRUE","FALSE")</formula>
    </cfRule>
  </conditionalFormatting>
  <conditionalFormatting sqref="BA61:BA63;E61:E63">
    <cfRule type="expression" dxfId="952" priority="21" stopIfTrue="1">
      <formula>IF(OR(#REF!="not",#REF!="resign",#REF!="resign",#REF!="end",#REF!="terminated",#REF!="permanent"),"TRUE","FALSE")</formula>
    </cfRule>
  </conditionalFormatting>
  <conditionalFormatting sqref="C64:C66">
    <cfRule type="expression" dxfId="953" priority="22" stopIfTrue="1">
      <formula>IF(OR(#REF!="not",#REF!="resign",#REF!="resign",#REF!="end",#REF!="terminated",#REF!="permanent"),"TRUE","FALSE")</formula>
    </cfRule>
  </conditionalFormatting>
  <conditionalFormatting sqref="E34:E35">
    <cfRule type="expression" dxfId="954" priority="23" stopIfTrue="1">
      <formula>IF(OR(#REF!="not",#REF!="resign",#REF!="resign",#REF!="end",#REF!="terminated",#REF!="permanent"),"TRUE","FALSE")</formula>
    </cfRule>
  </conditionalFormatting>
  <conditionalFormatting sqref="AK68">
    <cfRule type="expression" dxfId="955" priority="24" stopIfTrue="1">
      <formula>NOT(ISERROR(SEARCH("warning",AK68)))</formula>
    </cfRule>
  </conditionalFormatting>
  <conditionalFormatting sqref="AJ68:AJ70">
    <cfRule type="expression" dxfId="956" priority="25" stopIfTrue="1">
      <formula>NOT(ISERROR(SEARCH("warning",AJ68)))</formula>
    </cfRule>
  </conditionalFormatting>
  <conditionalFormatting sqref="AJ72">
    <cfRule type="expression" dxfId="957" priority="26" stopIfTrue="1">
      <formula>NOT(ISERROR(SEARCH("warning",AJ72)))</formula>
    </cfRule>
  </conditionalFormatting>
  <conditionalFormatting sqref="AJ71">
    <cfRule type="expression" dxfId="958" priority="27" stopIfTrue="1">
      <formula>NOT(ISERROR(SEARCH("warning",AJ71)))</formula>
    </cfRule>
  </conditionalFormatting>
  <conditionalFormatting sqref="AK73:AK75">
    <cfRule type="expression" dxfId="959" priority="28" stopIfTrue="1">
      <formula>NOT(ISERROR(SEARCH("warning",AK73)))</formula>
    </cfRule>
  </conditionalFormatting>
  <conditionalFormatting sqref="AJ73:AJ76">
    <cfRule type="expression" dxfId="960" priority="29" stopIfTrue="1">
      <formula>NOT(ISERROR(SEARCH("warning",AJ73)))</formula>
    </cfRule>
  </conditionalFormatting>
  <hyperlinks>
    <hyperlink ref="BE21" location="" display="arka7777@gmail.com       "/>
    <hyperlink ref="BE25" r:id="rId3" display="m.iqbalmuhti@gmail.com"/>
    <hyperlink ref="BE24" location="" display="imamfh08@gmail.com"/>
    <hyperlink ref="BE26" location="" display="nurul.yulianti@gmail.com, nurul.yulianti.ext@nokia.com"/>
    <hyperlink ref="BE27" location="" display="juni.hartono22@gmail.com       "/>
    <hyperlink ref="BE28" location="" display="kikisari@yahoo.com       "/>
    <hyperlink ref="BE30" location="" display="eka.primadona@gmail.com"/>
    <hyperlink ref="BE31" location="" display="mulyadin.wenggo@gmail.com"/>
    <hyperlink ref="BE32" location="" display="eddy.soenarko9@gmail.com       "/>
    <hyperlink ref="BE33" location="" display="isran44@gmail.com       "/>
    <hyperlink ref="BE35" location="" display="emil18achir@yahoo.com       "/>
    <hyperlink ref="BE34" location="" display="s_indrajaya182@yahoo.com       "/>
    <hyperlink ref="BE41" location="" display="dav3.victory@gmail.com       "/>
    <hyperlink ref="BE42" location="" display="imamw81@gmail.com"/>
    <hyperlink ref="BE43" location="" display="arieku89@gmail.com       "/>
    <hyperlink ref="BE45" location="" display="andrianto.ajho@gmail.com       "/>
    <hyperlink ref="BE46" location="" display="febi.not.febri@gmail.com       "/>
    <hyperlink ref="BE48" location="" display="carwin.carwin12@gmail.com       "/>
    <hyperlink ref="BE49" location="" display="emilshajji@gmail.com       "/>
    <hyperlink ref="BE50" location="" display="sumanto1707@gmail.com       "/>
    <hyperlink ref="BE51" location="" display="wirya1008@gmail.com       "/>
    <hyperlink ref="BE52" location="" display="ririk.kuspriono.ext@gmail.com"/>
    <hyperlink ref="BE55" location="" display="vino.nofrisandi@gmail.com"/>
    <hyperlink ref="BE56" location="" display="jodisasmi@gmail.com"/>
    <hyperlink ref="BE57" location="" display="agus.baban@yahoo.co.id       "/>
    <hyperlink ref="BE58" location="" display="haloho.sugi@gmail.com"/>
    <hyperlink ref="BE59" location="" display="dwiaribowojk@gmail.com       "/>
    <hyperlink ref="BE60" location="" display="kw.eko.yuliarso@gmail.com"/>
    <hyperlink ref="BE62" location="" display="ronny.irsan13@gmail.com       "/>
    <hyperlink ref="BE63" location="" display="rosmantiyanto@gmail.com       "/>
    <hyperlink ref="BE61" location="" display="yudi.lintau@gmail.com"/>
    <hyperlink ref="BE65" location="" display="karso.fajri@gmail.com"/>
    <hyperlink ref="C65" location="" display="OS1610009"/>
    <hyperlink ref="BE66" location="" display="srihardinah86@gmail.com"/>
    <hyperlink ref="BE68" location="" display="dessyjata@gmail.com"/>
    <hyperlink ref="BE69" location="" display="agung08arema@gmail.com"/>
    <hyperlink ref="BE70" r:id="rId4" display="emilshajji@gmail.com"/>
    <hyperlink ref="BE36" r:id="rId5" display="nirwana_ramadhani@rocketmail.com"/>
    <hyperlink ref="BE71" location="" display="erickvandermeyde@gmail.com       "/>
    <hyperlink ref="BE72" r:id="rId6" display="artha_iyung@yahoo.co.id"/>
    <hyperlink ref="BE37" r:id="rId7" display="agustinatetry@gmail.com"/>
    <hyperlink ref="BE73" location="" display="noviandi.rusli@gmail.com"/>
    <hyperlink ref="BE74" location="" display="arpen.yudi.nsn@gmail.com"/>
    <hyperlink ref="BE75" location="" display="arifincoy@gmail.com       "/>
    <hyperlink ref="BE76" location="" display="rendylyl@yahoo.com       "/>
  </hyperlinks>
  <pageMargins left="0.699305555555556" right="0.699305555555556"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39</vt:i4>
      </vt:variant>
    </vt:vector>
  </HeadingPairs>
  <TitlesOfParts>
    <vt:vector size="39" baseType="lpstr">
      <vt:lpstr>Project_SF TIS</vt:lpstr>
      <vt:lpstr>Project_NPO</vt:lpstr>
      <vt:lpstr>Project_MS</vt:lpstr>
      <vt:lpstr>Project_national</vt:lpstr>
      <vt:lpstr>Project_SmartFren</vt:lpstr>
      <vt:lpstr>Project_XL</vt:lpstr>
      <vt:lpstr>Project_HCPT</vt:lpstr>
      <vt:lpstr>Project_SISINDO</vt:lpstr>
      <vt:lpstr>Project_Telkomsel</vt:lpstr>
      <vt:lpstr>Project_Indosat</vt:lpstr>
      <vt:lpstr>Project_Support Admin</vt:lpstr>
      <vt:lpstr>Shadowing FnC</vt:lpstr>
      <vt:lpstr>FRESENIUS</vt:lpstr>
      <vt:lpstr>GSM TOWER</vt:lpstr>
      <vt:lpstr>ESERVGLOBAL</vt:lpstr>
      <vt:lpstr>Kaltim Methanol</vt:lpstr>
      <vt:lpstr>LippoMall</vt:lpstr>
      <vt:lpstr>WINCOR</vt:lpstr>
      <vt:lpstr>BEIERS</vt:lpstr>
      <vt:lpstr>GTA</vt:lpstr>
      <vt:lpstr>GTSI</vt:lpstr>
      <vt:lpstr>Kantar</vt:lpstr>
      <vt:lpstr>TNS</vt:lpstr>
      <vt:lpstr>Microsoft</vt:lpstr>
      <vt:lpstr>TNS Mobile HMD</vt:lpstr>
      <vt:lpstr>Allen &amp; Overy</vt:lpstr>
      <vt:lpstr>PEFINDO</vt:lpstr>
      <vt:lpstr>J&amp;J</vt:lpstr>
      <vt:lpstr>IHI</vt:lpstr>
      <vt:lpstr>Thamrin9</vt:lpstr>
      <vt:lpstr>Mondelez</vt:lpstr>
      <vt:lpstr>FJI</vt:lpstr>
      <vt:lpstr>Samsung</vt:lpstr>
      <vt:lpstr>DNOW</vt:lpstr>
      <vt:lpstr>LENOVO</vt:lpstr>
      <vt:lpstr>Marubeni</vt:lpstr>
      <vt:lpstr>Mundi</vt:lpstr>
      <vt:lpstr>Asahi</vt:lpstr>
      <vt:lpstr>PROTEL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dc:creator>
  <cp:lastModifiedBy>Astrid</cp:lastModifiedBy>
  <dcterms:created xsi:type="dcterms:W3CDTF">2015-06-30T16:27:00Z</dcterms:created>
  <cp:lastPrinted>2018-04-18T17:27:00Z</cp:lastPrinted>
  <dcterms:modified xsi:type="dcterms:W3CDTF">2018-06-21T09:15:44Z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1057-10.1.0.5672</vt:lpwstr>
  </property>
</Properties>
</file>