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lb" ContentType="model/gltf.binary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ites\Microsoft Excel Revise 2023\"/>
    </mc:Choice>
  </mc:AlternateContent>
  <xr:revisionPtr revIDLastSave="0" documentId="13_ncr:1_{7DF526C8-AC8B-48CD-88CA-1D97A5AE7185}" xr6:coauthVersionLast="47" xr6:coauthVersionMax="47" xr10:uidLastSave="{00000000-0000-0000-0000-000000000000}"/>
  <bookViews>
    <workbookView xWindow="18135" yWindow="0" windowWidth="19815" windowHeight="14355" activeTab="3" xr2:uid="{D3367413-8AC6-4A32-8EF3-152200A93938}"/>
  </bookViews>
  <sheets>
    <sheet name="BUDGET" sheetId="1" r:id="rId1"/>
    <sheet name="Bar Chart Buget Example" sheetId="3" r:id="rId2"/>
    <sheet name="SALES" sheetId="4" r:id="rId3"/>
    <sheet name="CUSTOMER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5" i="4" l="1"/>
  <c r="P22" i="4"/>
  <c r="P15" i="4"/>
  <c r="P12" i="4"/>
  <c r="P6" i="4"/>
  <c r="Q3" i="4"/>
  <c r="P3" i="4"/>
  <c r="R1" i="4" l="1"/>
  <c r="P1" i="4"/>
  <c r="N5" i="1"/>
  <c r="N6" i="1"/>
  <c r="N7" i="1"/>
  <c r="N8" i="1"/>
  <c r="N9" i="1"/>
  <c r="N10" i="1"/>
  <c r="N11" i="1"/>
  <c r="N12" i="1"/>
  <c r="O12" i="1" s="1"/>
  <c r="N13" i="1"/>
  <c r="N14" i="1"/>
  <c r="O14" i="1" s="1"/>
  <c r="N15" i="1"/>
  <c r="O15" i="1" s="1"/>
  <c r="N16" i="1"/>
  <c r="O7" i="1"/>
  <c r="O11" i="1"/>
  <c r="O16" i="1"/>
  <c r="M5" i="1"/>
  <c r="L5" i="1"/>
  <c r="M34" i="1"/>
  <c r="M33" i="1"/>
  <c r="N33" i="1"/>
  <c r="M32" i="1"/>
  <c r="N32" i="1"/>
  <c r="O32" i="1" s="1"/>
  <c r="M31" i="1"/>
  <c r="N31" i="1"/>
  <c r="M30" i="1"/>
  <c r="N30" i="1"/>
  <c r="M29" i="1"/>
  <c r="N29" i="1"/>
  <c r="M28" i="1"/>
  <c r="N28" i="1"/>
  <c r="M27" i="1"/>
  <c r="N27" i="1"/>
  <c r="M26" i="1"/>
  <c r="N26" i="1"/>
  <c r="M25" i="1"/>
  <c r="N25" i="1"/>
  <c r="M24" i="1"/>
  <c r="N24" i="1"/>
  <c r="M23" i="1"/>
  <c r="N23" i="1"/>
  <c r="M22" i="1"/>
  <c r="N22" i="1"/>
  <c r="L33" i="1"/>
  <c r="L32" i="1"/>
  <c r="L31" i="1"/>
  <c r="L30" i="1"/>
  <c r="L29" i="1"/>
  <c r="L28" i="1"/>
  <c r="L27" i="1"/>
  <c r="L26" i="1"/>
  <c r="L25" i="1"/>
  <c r="L24" i="1"/>
  <c r="L23" i="1"/>
  <c r="L22" i="1"/>
  <c r="L34" i="1" s="1"/>
  <c r="O23" i="1"/>
  <c r="O33" i="1"/>
  <c r="O31" i="1"/>
  <c r="T30" i="1"/>
  <c r="O30" i="1"/>
  <c r="T29" i="1"/>
  <c r="O29" i="1"/>
  <c r="T28" i="1"/>
  <c r="O28" i="1"/>
  <c r="T27" i="1"/>
  <c r="O27" i="1"/>
  <c r="T26" i="1"/>
  <c r="O26" i="1"/>
  <c r="O25" i="1"/>
  <c r="T24" i="1"/>
  <c r="O24" i="1"/>
  <c r="T23" i="1"/>
  <c r="T22" i="1"/>
  <c r="O22" i="1"/>
  <c r="T21" i="1"/>
  <c r="I21" i="1"/>
  <c r="H21" i="1"/>
  <c r="G21" i="1"/>
  <c r="G23" i="1" s="1"/>
  <c r="T20" i="1"/>
  <c r="T19" i="1"/>
  <c r="I19" i="1"/>
  <c r="H19" i="1"/>
  <c r="G19" i="1"/>
  <c r="T18" i="1"/>
  <c r="I18" i="1"/>
  <c r="H18" i="1"/>
  <c r="G18" i="1"/>
  <c r="T17" i="1"/>
  <c r="I17" i="1"/>
  <c r="H17" i="1"/>
  <c r="G17" i="1"/>
  <c r="T16" i="1"/>
  <c r="M16" i="1"/>
  <c r="L16" i="1"/>
  <c r="I16" i="1"/>
  <c r="H16" i="1"/>
  <c r="G16" i="1"/>
  <c r="T15" i="1"/>
  <c r="M15" i="1"/>
  <c r="L15" i="1"/>
  <c r="I15" i="1"/>
  <c r="H15" i="1"/>
  <c r="G15" i="1"/>
  <c r="T14" i="1"/>
  <c r="M14" i="1"/>
  <c r="L14" i="1"/>
  <c r="T13" i="1"/>
  <c r="O13" i="1"/>
  <c r="M13" i="1"/>
  <c r="L13" i="1"/>
  <c r="T12" i="1"/>
  <c r="M12" i="1"/>
  <c r="L12" i="1"/>
  <c r="T11" i="1"/>
  <c r="M11" i="1"/>
  <c r="L11" i="1"/>
  <c r="T10" i="1"/>
  <c r="O10" i="1"/>
  <c r="M10" i="1"/>
  <c r="L10" i="1"/>
  <c r="T9" i="1"/>
  <c r="O9" i="1"/>
  <c r="M9" i="1"/>
  <c r="L9" i="1"/>
  <c r="T8" i="1"/>
  <c r="O8" i="1"/>
  <c r="M8" i="1"/>
  <c r="L8" i="1"/>
  <c r="M7" i="1"/>
  <c r="L7" i="1"/>
  <c r="D7" i="1"/>
  <c r="C7" i="1"/>
  <c r="B7" i="1"/>
  <c r="T6" i="1"/>
  <c r="O6" i="1"/>
  <c r="M6" i="1"/>
  <c r="L6" i="1"/>
  <c r="T5" i="1"/>
  <c r="O5" i="1"/>
  <c r="T4" i="1"/>
  <c r="T3" i="1"/>
  <c r="T7" i="1" s="1"/>
  <c r="N34" i="1" l="1"/>
  <c r="O34" i="1"/>
  <c r="P23" i="1" s="1"/>
  <c r="P33" i="1" l="1"/>
  <c r="P22" i="1"/>
  <c r="P27" i="1"/>
  <c r="P29" i="1"/>
  <c r="P24" i="1"/>
  <c r="P30" i="1"/>
  <c r="P25" i="1"/>
  <c r="P31" i="1"/>
  <c r="P26" i="1"/>
  <c r="P32" i="1"/>
  <c r="P2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B4AA12-9545-493C-86C4-B06C5FA03286}" keepAlive="1" name="Query - Computer Sales" description="Connection to the 'Computer Sales' query in the workbook." type="5" refreshedVersion="8" background="1" saveData="1">
    <dbPr connection="Provider=Microsoft.Mashup.OleDb.1;Data Source=$Workbook$;Location=&quot;Computer Sales&quot;;Extended Properties=&quot;&quot;" command="SELECT * FROM [Computer Sales]"/>
  </connection>
</connections>
</file>

<file path=xl/sharedStrings.xml><?xml version="1.0" encoding="utf-8"?>
<sst xmlns="http://schemas.openxmlformats.org/spreadsheetml/2006/main" count="655" uniqueCount="344">
  <si>
    <t>MONTHLY BUDGET</t>
  </si>
  <si>
    <t>PROJECTED INCOME</t>
  </si>
  <si>
    <t>Income</t>
  </si>
  <si>
    <t>Extra Income</t>
  </si>
  <si>
    <t>Total</t>
  </si>
  <si>
    <t>HOUSING</t>
  </si>
  <si>
    <t>Phone/Internet</t>
  </si>
  <si>
    <t>Electricity</t>
  </si>
  <si>
    <t>Gas</t>
  </si>
  <si>
    <t>Water/Sewer</t>
  </si>
  <si>
    <t>Repairs</t>
  </si>
  <si>
    <t>Food/Supplies</t>
  </si>
  <si>
    <t>Mortgage</t>
  </si>
  <si>
    <t>Other</t>
  </si>
  <si>
    <t>Fuel</t>
  </si>
  <si>
    <t>Maintenance</t>
  </si>
  <si>
    <t>TRANSPORTATION</t>
  </si>
  <si>
    <t>INSURANCE</t>
  </si>
  <si>
    <t>Car</t>
  </si>
  <si>
    <t>Health</t>
  </si>
  <si>
    <t>Home</t>
  </si>
  <si>
    <t>ENTERTRAINMENT</t>
  </si>
  <si>
    <t>Streaming</t>
  </si>
  <si>
    <t>Music</t>
  </si>
  <si>
    <t>Movies</t>
  </si>
  <si>
    <t>Restaurants</t>
  </si>
  <si>
    <t>LOANS</t>
  </si>
  <si>
    <t>Credit Card</t>
  </si>
  <si>
    <t>TAXES</t>
  </si>
  <si>
    <t>State</t>
  </si>
  <si>
    <t>Local</t>
  </si>
  <si>
    <t>Total Taxes</t>
  </si>
  <si>
    <t>Fedral</t>
  </si>
  <si>
    <t>Cash Left</t>
  </si>
  <si>
    <t>FICA (Federal Insurance Contributions Act)</t>
  </si>
  <si>
    <t>PERCENTAGE OF INCOME</t>
  </si>
  <si>
    <t>Phone / Internet</t>
  </si>
  <si>
    <t>Water / Sewer</t>
  </si>
  <si>
    <t>Food / Supplies</t>
  </si>
  <si>
    <t>Car Insurance</t>
  </si>
  <si>
    <t>Home Insurance</t>
  </si>
  <si>
    <t>PERCENTAGE OF EXPENSES</t>
  </si>
  <si>
    <t>TOTAL</t>
  </si>
  <si>
    <t>PERCENT</t>
  </si>
  <si>
    <t>FUNCTIONS</t>
  </si>
  <si>
    <t>Avg Spent on Food</t>
  </si>
  <si>
    <t>Months Analyzed</t>
  </si>
  <si>
    <t>Most Spent</t>
  </si>
  <si>
    <t>Least Spent</t>
  </si>
  <si>
    <t>Above Avg in March</t>
  </si>
  <si>
    <t>Spent Each Month</t>
  </si>
  <si>
    <t>Jan CC Payment</t>
  </si>
  <si>
    <t>Jan Restaurants</t>
  </si>
  <si>
    <t>Modulus 5 &amp; 4</t>
  </si>
  <si>
    <t>5^2=</t>
  </si>
  <si>
    <t>CEILING(4.45,2)</t>
  </si>
  <si>
    <t>CEILING(4.45,1)</t>
  </si>
  <si>
    <t>FLOOR(4.45,3)</t>
  </si>
  <si>
    <t>FLOOR(4.45,1)</t>
  </si>
  <si>
    <t>LEN("Hello World")</t>
  </si>
  <si>
    <t>I love you</t>
  </si>
  <si>
    <t>He eats pizza</t>
  </si>
  <si>
    <t>the DOG sleeps</t>
  </si>
  <si>
    <t>System Date</t>
  </si>
  <si>
    <t>Date</t>
  </si>
  <si>
    <t>Day</t>
  </si>
  <si>
    <t>Month</t>
  </si>
  <si>
    <t>Year</t>
  </si>
  <si>
    <t>Avg %</t>
  </si>
  <si>
    <t>Average Cash Left</t>
  </si>
  <si>
    <t>?</t>
  </si>
  <si>
    <t>Sale ID</t>
  </si>
  <si>
    <t>Contact</t>
  </si>
  <si>
    <t>Sex</t>
  </si>
  <si>
    <t>Age</t>
  </si>
  <si>
    <t>Product ID</t>
  </si>
  <si>
    <t>Product Type</t>
  </si>
  <si>
    <t>Sale Price</t>
  </si>
  <si>
    <t>Profit</t>
  </si>
  <si>
    <t>Lead</t>
  </si>
  <si>
    <t>Salesperson</t>
  </si>
  <si>
    <t>Jessica Elk</t>
  </si>
  <si>
    <t>F</t>
  </si>
  <si>
    <t>PA</t>
  </si>
  <si>
    <t>15M-ED</t>
  </si>
  <si>
    <t>Laptop</t>
  </si>
  <si>
    <t>Flyer 4</t>
  </si>
  <si>
    <t>March</t>
  </si>
  <si>
    <t>Edna Sanders</t>
  </si>
  <si>
    <t>OH</t>
  </si>
  <si>
    <t>Email</t>
  </si>
  <si>
    <t>February</t>
  </si>
  <si>
    <t>Moe Eggert</t>
  </si>
  <si>
    <t>M</t>
  </si>
  <si>
    <t>December</t>
  </si>
  <si>
    <t>Ed Klondike</t>
  </si>
  <si>
    <t>81TC00</t>
  </si>
  <si>
    <t>July</t>
  </si>
  <si>
    <t>Jason Case</t>
  </si>
  <si>
    <t>November</t>
  </si>
  <si>
    <t>Sally Struthers</t>
  </si>
  <si>
    <t>NY</t>
  </si>
  <si>
    <t>Website</t>
  </si>
  <si>
    <t>April</t>
  </si>
  <si>
    <t>Paul Thomas</t>
  </si>
  <si>
    <t>August</t>
  </si>
  <si>
    <t>Michelle Samms</t>
  </si>
  <si>
    <t>GA401IV</t>
  </si>
  <si>
    <t>May</t>
  </si>
  <si>
    <t>Rick James</t>
  </si>
  <si>
    <t>Flyer 3</t>
  </si>
  <si>
    <t>Doug Johnson</t>
  </si>
  <si>
    <t>Flyer 2</t>
  </si>
  <si>
    <t>Flyer 1</t>
  </si>
  <si>
    <t>January</t>
  </si>
  <si>
    <t>Desktop</t>
  </si>
  <si>
    <t>Margo Simms</t>
  </si>
  <si>
    <t>WV</t>
  </si>
  <si>
    <t>GT13-0024</t>
  </si>
  <si>
    <t>Sue Etna</t>
  </si>
  <si>
    <t>I3593</t>
  </si>
  <si>
    <t>Kim Collins</t>
  </si>
  <si>
    <t>Mick Roberts</t>
  </si>
  <si>
    <t>Tablet</t>
  </si>
  <si>
    <t>Sam Stine</t>
  </si>
  <si>
    <t>I3670</t>
  </si>
  <si>
    <t>M01-F0024</t>
  </si>
  <si>
    <t>Phil Jones</t>
  </si>
  <si>
    <t>MY2J2LL</t>
  </si>
  <si>
    <t>Andy Sands</t>
  </si>
  <si>
    <t>Q526FA</t>
  </si>
  <si>
    <t>Sales SUM</t>
  </si>
  <si>
    <t>Sales SubTotal</t>
  </si>
  <si>
    <t>Sales</t>
  </si>
  <si>
    <t>G*</t>
  </si>
  <si>
    <t>Criteria</t>
  </si>
  <si>
    <t>&gt;19</t>
  </si>
  <si>
    <t>I*</t>
  </si>
  <si>
    <t>I Prods after 19</t>
  </si>
  <si>
    <t>Desktop Sales Average by 9</t>
  </si>
  <si>
    <t>Tablets Sold</t>
  </si>
  <si>
    <t>ID</t>
  </si>
  <si>
    <t>First Name</t>
  </si>
  <si>
    <t>Last Name</t>
  </si>
  <si>
    <t>Company</t>
  </si>
  <si>
    <t>Phone</t>
  </si>
  <si>
    <t>Hired</t>
  </si>
  <si>
    <t>Department</t>
  </si>
  <si>
    <t>Street</t>
  </si>
  <si>
    <t>City</t>
  </si>
  <si>
    <t>Zip</t>
  </si>
  <si>
    <t>Sam</t>
  </si>
  <si>
    <t>Malone</t>
  </si>
  <si>
    <t>Proven Supplies</t>
  </si>
  <si>
    <t>madler@icloud.com</t>
  </si>
  <si>
    <t>555-7205</t>
  </si>
  <si>
    <t>Manager</t>
  </si>
  <si>
    <t>15 Tremont St</t>
  </si>
  <si>
    <t>Wilson</t>
  </si>
  <si>
    <t>WY</t>
  </si>
  <si>
    <t>Diane</t>
  </si>
  <si>
    <t>Chambers</t>
  </si>
  <si>
    <t>Guru Supplies</t>
  </si>
  <si>
    <t>gboss@me.com</t>
  </si>
  <si>
    <t>555-6394</t>
  </si>
  <si>
    <t>103 Baxter Rd</t>
  </si>
  <si>
    <t>Clovis</t>
  </si>
  <si>
    <t>NM</t>
  </si>
  <si>
    <t>Lisa</t>
  </si>
  <si>
    <t>Pantusso</t>
  </si>
  <si>
    <t>Targeted Manufacturing</t>
  </si>
  <si>
    <t>wbarker@yahoo.com</t>
  </si>
  <si>
    <t>555-3848</t>
  </si>
  <si>
    <t>Secretary</t>
  </si>
  <si>
    <t>103 Bellevue Ave</t>
  </si>
  <si>
    <t>Ladd</t>
  </si>
  <si>
    <t>IL</t>
  </si>
  <si>
    <t>Carla</t>
  </si>
  <si>
    <t>Tortelli</t>
  </si>
  <si>
    <t>Goodlife Incorporated</t>
  </si>
  <si>
    <t>gravyface@aol.com</t>
  </si>
  <si>
    <t>555-4067</t>
  </si>
  <si>
    <t>103 Bowers St</t>
  </si>
  <si>
    <t>Columbus</t>
  </si>
  <si>
    <t>Norm</t>
  </si>
  <si>
    <t>Peterson</t>
  </si>
  <si>
    <t>Innovative Manufacturing</t>
  </si>
  <si>
    <t>dkasak@optonline.net</t>
  </si>
  <si>
    <t>555-9124</t>
  </si>
  <si>
    <t>Accounting</t>
  </si>
  <si>
    <t>103 Brooksby Village Dr</t>
  </si>
  <si>
    <t>Kennard</t>
  </si>
  <si>
    <t>IN</t>
  </si>
  <si>
    <t>Ernie</t>
  </si>
  <si>
    <t>Route Corp</t>
  </si>
  <si>
    <t>atmarks@icloud.com</t>
  </si>
  <si>
    <t>555-9144</t>
  </si>
  <si>
    <t>103 Capn Jacs Rd</t>
  </si>
  <si>
    <t>Linwood</t>
  </si>
  <si>
    <t>KS</t>
  </si>
  <si>
    <t>Cliff</t>
  </si>
  <si>
    <t>Clavin</t>
  </si>
  <si>
    <t>Impact</t>
  </si>
  <si>
    <t>ilikered@sbcglobal.net</t>
  </si>
  <si>
    <t>555-0643</t>
  </si>
  <si>
    <t>Shipping</t>
  </si>
  <si>
    <t>103 Eliot Rd</t>
  </si>
  <si>
    <t>Hampton</t>
  </si>
  <si>
    <t>VA</t>
  </si>
  <si>
    <t>Frasier</t>
  </si>
  <si>
    <t>Crane</t>
  </si>
  <si>
    <t>Byte Corp</t>
  </si>
  <si>
    <t>epeeist@optonline.net</t>
  </si>
  <si>
    <t>555-6746</t>
  </si>
  <si>
    <t>375 Broadway</t>
  </si>
  <si>
    <t>Coldwater</t>
  </si>
  <si>
    <t>MS</t>
  </si>
  <si>
    <t>Woody</t>
  </si>
  <si>
    <t>Boyd</t>
  </si>
  <si>
    <t>Manufacturing Dot</t>
  </si>
  <si>
    <t>dvdotnet@verizon.net</t>
  </si>
  <si>
    <t>555-0556</t>
  </si>
  <si>
    <t>375 Lafayette St</t>
  </si>
  <si>
    <t>Argyle</t>
  </si>
  <si>
    <t>MO</t>
  </si>
  <si>
    <t>Lilith</t>
  </si>
  <si>
    <t>Sternin</t>
  </si>
  <si>
    <t>Hip Incorporated</t>
  </si>
  <si>
    <t>tbmaddux@comcast.net</t>
  </si>
  <si>
    <t>555-1755</t>
  </si>
  <si>
    <t>376 Montague City Rd</t>
  </si>
  <si>
    <t>Boston</t>
  </si>
  <si>
    <t>MA</t>
  </si>
  <si>
    <t>Rebecca</t>
  </si>
  <si>
    <t>Howe</t>
  </si>
  <si>
    <t>Aero Corp</t>
  </si>
  <si>
    <t>jamuir@icloud.com</t>
  </si>
  <si>
    <t>555-2088</t>
  </si>
  <si>
    <t>376 Washington St</t>
  </si>
  <si>
    <t>Cicero</t>
  </si>
  <si>
    <t>Robert</t>
  </si>
  <si>
    <t>Sutton</t>
  </si>
  <si>
    <t>Launchpad Corp</t>
  </si>
  <si>
    <t>thaljef@sbcglobal.net</t>
  </si>
  <si>
    <t>555-3510</t>
  </si>
  <si>
    <t>5140 Washington St</t>
  </si>
  <si>
    <t>Marietta</t>
  </si>
  <si>
    <t>GA</t>
  </si>
  <si>
    <t>Vera</t>
  </si>
  <si>
    <t>Eureka</t>
  </si>
  <si>
    <t>hermes@msn.com</t>
  </si>
  <si>
    <t>555-0486</t>
  </si>
  <si>
    <t>Tech</t>
  </si>
  <si>
    <t>Ellston</t>
  </si>
  <si>
    <t>IA</t>
  </si>
  <si>
    <t>Eddie</t>
  </si>
  <si>
    <t>LeBec</t>
  </si>
  <si>
    <t>Essential Manufacturing</t>
  </si>
  <si>
    <t>duchamp@aol.com</t>
  </si>
  <si>
    <t>555-4242</t>
  </si>
  <si>
    <t>Janitorial</t>
  </si>
  <si>
    <t>515 Walnut St</t>
  </si>
  <si>
    <t>Broken Bow</t>
  </si>
  <si>
    <t>OK</t>
  </si>
  <si>
    <t>Nick</t>
  </si>
  <si>
    <t>Seamless</t>
  </si>
  <si>
    <t>ozawa@mac.com</t>
  </si>
  <si>
    <t>Beaver</t>
  </si>
  <si>
    <t>Loretta</t>
  </si>
  <si>
    <t>Feedback Corp</t>
  </si>
  <si>
    <t>stomv@icloud.com</t>
  </si>
  <si>
    <t>Waukesha</t>
  </si>
  <si>
    <t>WI</t>
  </si>
  <si>
    <t>Dave</t>
  </si>
  <si>
    <t>Richards</t>
  </si>
  <si>
    <t>WorryFree Incorporated</t>
  </si>
  <si>
    <t>heckerman@yahoo.com</t>
  </si>
  <si>
    <t>555-4952</t>
  </si>
  <si>
    <t>Marketing</t>
  </si>
  <si>
    <t>517 Chicopee St</t>
  </si>
  <si>
    <t>Cherry Hill</t>
  </si>
  <si>
    <t>NJ</t>
  </si>
  <si>
    <t>Andy</t>
  </si>
  <si>
    <t>Schroeder</t>
  </si>
  <si>
    <t>Lasers Edge</t>
  </si>
  <si>
    <t>chunzi@yahoo.com</t>
  </si>
  <si>
    <t>555-8654</t>
  </si>
  <si>
    <t>517 Patriots Rd</t>
  </si>
  <si>
    <t>Akutan</t>
  </si>
  <si>
    <t>AK</t>
  </si>
  <si>
    <t>Robin</t>
  </si>
  <si>
    <t>Colcord</t>
  </si>
  <si>
    <t>Supplies Shield</t>
  </si>
  <si>
    <t>schumer@yahoo.com</t>
  </si>
  <si>
    <t>555-7372</t>
  </si>
  <si>
    <t>518 Leyden Rd</t>
  </si>
  <si>
    <t>Garden City</t>
  </si>
  <si>
    <t>Evan</t>
  </si>
  <si>
    <t>Drake</t>
  </si>
  <si>
    <t>Total Solutions</t>
  </si>
  <si>
    <t>granboul@sbcglobal.net</t>
  </si>
  <si>
    <t>555-4728</t>
  </si>
  <si>
    <t>819 Main St</t>
  </si>
  <si>
    <t>Palisades</t>
  </si>
  <si>
    <t>CA</t>
  </si>
  <si>
    <t>Esther</t>
  </si>
  <si>
    <t>Hero Corp</t>
  </si>
  <si>
    <t>gator@yahoo.ca</t>
  </si>
  <si>
    <t>555-0314</t>
  </si>
  <si>
    <t>82 Brick Kiln Rd</t>
  </si>
  <si>
    <t>McIntyre</t>
  </si>
  <si>
    <t>Walter</t>
  </si>
  <si>
    <t>Gaines</t>
  </si>
  <si>
    <t>Rent and Run</t>
  </si>
  <si>
    <t>ntegrity@verizon.net</t>
  </si>
  <si>
    <t>555-1884</t>
  </si>
  <si>
    <t>82 Bridge St</t>
  </si>
  <si>
    <t>Reading</t>
  </si>
  <si>
    <t>MI</t>
  </si>
  <si>
    <t>John</t>
  </si>
  <si>
    <t>Hill</t>
  </si>
  <si>
    <t>Clarion Supplies</t>
  </si>
  <si>
    <t>grinder@verizon.net</t>
  </si>
  <si>
    <t>555-9088</t>
  </si>
  <si>
    <t>82 Day St</t>
  </si>
  <si>
    <t>Sumner</t>
  </si>
  <si>
    <t>Sloan</t>
  </si>
  <si>
    <t>Get in There Corp</t>
  </si>
  <si>
    <t>pkplex@yahoo.ca</t>
  </si>
  <si>
    <t>555-2022</t>
  </si>
  <si>
    <t>82 Gulf Rd</t>
  </si>
  <si>
    <t>Harry</t>
  </si>
  <si>
    <t>Gittes</t>
  </si>
  <si>
    <t>Bridgewater Corp</t>
  </si>
  <si>
    <t>ghost@icloud.com</t>
  </si>
  <si>
    <t>555-8617</t>
  </si>
  <si>
    <t>Legal</t>
  </si>
  <si>
    <t>82 Harriet Ave</t>
  </si>
  <si>
    <t>Paul</t>
  </si>
  <si>
    <t>Krapence</t>
  </si>
  <si>
    <t>Food for Thought</t>
  </si>
  <si>
    <t>bmorrow@comcast.net</t>
  </si>
  <si>
    <t>555-3256</t>
  </si>
  <si>
    <t>64 Bayberry Cmn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</si>
</sst>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£&quot;#,##0.00;[Red]\-&quot;£&quot;#,##0.00"/>
    <numFmt numFmtId="43" formatCode="_-* #,##0.00_-;\-* #,##0.00_-;_-* &quot;-&quot;??_-;_-@_-"/>
    <numFmt numFmtId="164" formatCode="_(* #,##0.00_);_(* \(#,##0.00\);_(* &quot;-&quot;??_);_(@_)"/>
    <numFmt numFmtId="165" formatCode="mmm\-yyyy"/>
    <numFmt numFmtId="166" formatCode="&quot;£&quot;#,##0.00"/>
    <numFmt numFmtId="167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22"/>
      <color theme="2"/>
      <name val="Calibri"/>
      <family val="2"/>
      <scheme val="minor"/>
    </font>
    <font>
      <sz val="11"/>
      <color rgb="FF006100"/>
      <name val="Comic Sans MS"/>
      <family val="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medium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medium">
        <color theme="4"/>
      </top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43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3" fillId="4" borderId="1" applyNumberFormat="0"/>
    <xf numFmtId="0" fontId="4" fillId="5" borderId="0" applyNumberFormat="0" applyBorder="0" applyAlignment="0" applyProtection="0"/>
    <xf numFmtId="0" fontId="1" fillId="7" borderId="0" applyNumberFormat="0" applyBorder="0" applyAlignment="0" applyProtection="0"/>
  </cellStyleXfs>
  <cellXfs count="48">
    <xf numFmtId="0" fontId="0" fillId="0" borderId="0" xfId="0"/>
    <xf numFmtId="17" fontId="0" fillId="0" borderId="0" xfId="0" applyNumberFormat="1"/>
    <xf numFmtId="164" fontId="1" fillId="2" borderId="0" xfId="1" applyNumberFormat="1"/>
    <xf numFmtId="0" fontId="0" fillId="0" borderId="0" xfId="0" applyAlignment="1">
      <alignment horizontal="left"/>
    </xf>
    <xf numFmtId="165" fontId="0" fillId="0" borderId="0" xfId="0" applyNumberFormat="1"/>
    <xf numFmtId="43" fontId="0" fillId="0" borderId="0" xfId="2" applyFont="1"/>
    <xf numFmtId="166" fontId="0" fillId="0" borderId="0" xfId="2" applyNumberFormat="1" applyFont="1" applyAlignment="1">
      <alignment horizontal="right"/>
    </xf>
    <xf numFmtId="166" fontId="0" fillId="0" borderId="0" xfId="2" applyNumberFormat="1" applyFont="1"/>
    <xf numFmtId="166" fontId="1" fillId="2" borderId="0" xfId="1" applyNumberFormat="1" applyAlignment="1">
      <alignment horizontal="right"/>
    </xf>
    <xf numFmtId="166" fontId="1" fillId="2" borderId="0" xfId="1" applyNumberFormat="1"/>
    <xf numFmtId="166" fontId="0" fillId="0" borderId="0" xfId="0" applyNumberFormat="1"/>
    <xf numFmtId="166" fontId="0" fillId="0" borderId="0" xfId="0" applyNumberFormat="1" applyAlignment="1">
      <alignment horizontal="right"/>
    </xf>
    <xf numFmtId="167" fontId="0" fillId="0" borderId="0" xfId="0" applyNumberFormat="1"/>
    <xf numFmtId="0" fontId="1" fillId="2" borderId="0" xfId="1" applyAlignment="1">
      <alignment horizontal="left"/>
    </xf>
    <xf numFmtId="0" fontId="1" fillId="2" borderId="0" xfId="1"/>
    <xf numFmtId="0" fontId="3" fillId="4" borderId="1" xfId="4"/>
    <xf numFmtId="0" fontId="2" fillId="3" borderId="0" xfId="3" applyFont="1"/>
    <xf numFmtId="10" fontId="0" fillId="0" borderId="0" xfId="0" applyNumberFormat="1"/>
    <xf numFmtId="8" fontId="0" fillId="0" borderId="0" xfId="0" applyNumberFormat="1" applyAlignment="1">
      <alignment horizontal="right"/>
    </xf>
    <xf numFmtId="8" fontId="0" fillId="0" borderId="0" xfId="0" applyNumberFormat="1"/>
    <xf numFmtId="8" fontId="1" fillId="2" borderId="0" xfId="1" applyNumberFormat="1" applyAlignment="1">
      <alignment horizontal="right"/>
    </xf>
    <xf numFmtId="8" fontId="0" fillId="0" borderId="0" xfId="2" applyNumberFormat="1" applyFont="1" applyAlignment="1">
      <alignment horizontal="right"/>
    </xf>
    <xf numFmtId="165" fontId="3" fillId="4" borderId="1" xfId="4" applyNumberFormat="1"/>
    <xf numFmtId="22" fontId="0" fillId="0" borderId="0" xfId="0" applyNumberFormat="1"/>
    <xf numFmtId="14" fontId="0" fillId="0" borderId="0" xfId="0" applyNumberFormat="1"/>
    <xf numFmtId="0" fontId="6" fillId="5" borderId="1" xfId="5" applyFont="1" applyBorder="1"/>
    <xf numFmtId="8" fontId="1" fillId="7" borderId="0" xfId="6" applyNumberFormat="1"/>
    <xf numFmtId="0" fontId="2" fillId="0" borderId="0" xfId="0" applyFont="1"/>
    <xf numFmtId="8" fontId="2" fillId="0" borderId="0" xfId="0" applyNumberFormat="1" applyFont="1"/>
    <xf numFmtId="8" fontId="2" fillId="7" borderId="0" xfId="6" applyNumberFormat="1" applyFont="1"/>
    <xf numFmtId="0" fontId="0" fillId="8" borderId="6" xfId="0" applyFill="1" applyBorder="1"/>
    <xf numFmtId="0" fontId="0" fillId="0" borderId="5" xfId="0" applyBorder="1"/>
    <xf numFmtId="0" fontId="0" fillId="8" borderId="5" xfId="0" applyFill="1" applyBorder="1"/>
    <xf numFmtId="0" fontId="0" fillId="8" borderId="9" xfId="0" applyFill="1" applyBorder="1"/>
    <xf numFmtId="0" fontId="0" fillId="0" borderId="8" xfId="0" applyBorder="1"/>
    <xf numFmtId="0" fontId="0" fillId="8" borderId="8" xfId="0" applyFill="1" applyBorder="1"/>
    <xf numFmtId="0" fontId="2" fillId="0" borderId="7" xfId="0" applyFont="1" applyBorder="1"/>
    <xf numFmtId="2" fontId="0" fillId="8" borderId="6" xfId="0" applyNumberFormat="1" applyFill="1" applyBorder="1"/>
    <xf numFmtId="2" fontId="0" fillId="0" borderId="5" xfId="0" applyNumberFormat="1" applyBorder="1"/>
    <xf numFmtId="2" fontId="0" fillId="8" borderId="5" xfId="0" applyNumberFormat="1" applyFill="1" applyBorder="1"/>
    <xf numFmtId="1" fontId="2" fillId="0" borderId="7" xfId="0" applyNumberFormat="1" applyFont="1" applyBorder="1"/>
    <xf numFmtId="1" fontId="0" fillId="8" borderId="7" xfId="0" applyNumberFormat="1" applyFill="1" applyBorder="1"/>
    <xf numFmtId="1" fontId="0" fillId="8" borderId="5" xfId="0" applyNumberFormat="1" applyFill="1" applyBorder="1"/>
    <xf numFmtId="1" fontId="0" fillId="0" borderId="0" xfId="0" applyNumberFormat="1"/>
    <xf numFmtId="2" fontId="0" fillId="0" borderId="0" xfId="0" applyNumberFormat="1"/>
    <xf numFmtId="0" fontId="5" fillId="6" borderId="2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</cellXfs>
  <cellStyles count="7">
    <cellStyle name="20% - Accent4" xfId="3" builtinId="42"/>
    <cellStyle name="20% - Accent5" xfId="1" builtinId="46"/>
    <cellStyle name="40% - Accent4" xfId="6" builtinId="43"/>
    <cellStyle name="Comma" xfId="2" builtinId="3"/>
    <cellStyle name="DateStyle" xfId="4" xr:uid="{012AD674-CCFB-4E8C-99A6-9C97C29D9E28}"/>
    <cellStyle name="Good" xfId="5" builtinId="26"/>
    <cellStyle name="Normal" xfId="0" builtinId="0"/>
  </cellStyles>
  <dxfs count="41"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&quot;£&quot;#,##0.0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£&quot;* #,##0.00_-;\-&quot;£&quot;* #,##0.00_-;_-&quot;£&quot;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/>
        </left>
        <right style="thin">
          <color theme="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Excel Recommended</a:t>
            </a:r>
            <a:r>
              <a:rPr lang="en-GB" baseline="0"/>
              <a:t> Chart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BUDGET!$K$22:$K$33</c:f>
              <c:strCache>
                <c:ptCount val="12"/>
                <c:pt idx="0">
                  <c:v>Phone / Internet</c:v>
                </c:pt>
                <c:pt idx="1">
                  <c:v>Electricity</c:v>
                </c:pt>
                <c:pt idx="2">
                  <c:v>Gas</c:v>
                </c:pt>
                <c:pt idx="3">
                  <c:v>Water / Sewer</c:v>
                </c:pt>
                <c:pt idx="4">
                  <c:v>Food / Supplies</c:v>
                </c:pt>
                <c:pt idx="5">
                  <c:v>Fuel</c:v>
                </c:pt>
                <c:pt idx="6">
                  <c:v>Car Insurance</c:v>
                </c:pt>
                <c:pt idx="7">
                  <c:v>Home Insurance</c:v>
                </c:pt>
                <c:pt idx="8">
                  <c:v>Streaming</c:v>
                </c:pt>
                <c:pt idx="9">
                  <c:v>Music</c:v>
                </c:pt>
                <c:pt idx="10">
                  <c:v>Movies</c:v>
                </c:pt>
                <c:pt idx="11">
                  <c:v>Restaurants</c:v>
                </c:pt>
              </c:strCache>
            </c:strRef>
          </c:cat>
          <c:val>
            <c:numRef>
              <c:f>BUDGET!$M$22:$M$33</c:f>
              <c:numCache>
                <c:formatCode>"£"#,##0.00_);[Red]\("£"#,##0.00\)</c:formatCode>
                <c:ptCount val="12"/>
                <c:pt idx="0">
                  <c:v>139.53</c:v>
                </c:pt>
                <c:pt idx="1">
                  <c:v>238.56</c:v>
                </c:pt>
                <c:pt idx="2">
                  <c:v>117.98</c:v>
                </c:pt>
                <c:pt idx="3">
                  <c:v>32.979999999999997</c:v>
                </c:pt>
                <c:pt idx="4">
                  <c:v>598.32000000000005</c:v>
                </c:pt>
                <c:pt idx="5">
                  <c:v>192.09</c:v>
                </c:pt>
                <c:pt idx="6">
                  <c:v>123.83</c:v>
                </c:pt>
                <c:pt idx="7">
                  <c:v>45</c:v>
                </c:pt>
                <c:pt idx="8">
                  <c:v>45</c:v>
                </c:pt>
                <c:pt idx="9">
                  <c:v>8.99</c:v>
                </c:pt>
                <c:pt idx="10">
                  <c:v>0</c:v>
                </c:pt>
                <c:pt idx="11">
                  <c:v>234.9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3-471C-9AD1-F4D3BD469B1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BUDGET!$K$22:$K$33</c:f>
              <c:strCache>
                <c:ptCount val="12"/>
                <c:pt idx="0">
                  <c:v>Phone / Internet</c:v>
                </c:pt>
                <c:pt idx="1">
                  <c:v>Electricity</c:v>
                </c:pt>
                <c:pt idx="2">
                  <c:v>Gas</c:v>
                </c:pt>
                <c:pt idx="3">
                  <c:v>Water / Sewer</c:v>
                </c:pt>
                <c:pt idx="4">
                  <c:v>Food / Supplies</c:v>
                </c:pt>
                <c:pt idx="5">
                  <c:v>Fuel</c:v>
                </c:pt>
                <c:pt idx="6">
                  <c:v>Car Insurance</c:v>
                </c:pt>
                <c:pt idx="7">
                  <c:v>Home Insurance</c:v>
                </c:pt>
                <c:pt idx="8">
                  <c:v>Streaming</c:v>
                </c:pt>
                <c:pt idx="9">
                  <c:v>Music</c:v>
                </c:pt>
                <c:pt idx="10">
                  <c:v>Movies</c:v>
                </c:pt>
                <c:pt idx="11">
                  <c:v>Restaurants</c:v>
                </c:pt>
              </c:strCache>
            </c:strRef>
          </c:cat>
          <c:val>
            <c:numRef>
              <c:f>BUDGET!#REF!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A3-471C-9AD1-F4D3BD469B1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BUDGET!$K$22:$K$33</c:f>
              <c:strCache>
                <c:ptCount val="12"/>
                <c:pt idx="0">
                  <c:v>Phone / Internet</c:v>
                </c:pt>
                <c:pt idx="1">
                  <c:v>Electricity</c:v>
                </c:pt>
                <c:pt idx="2">
                  <c:v>Gas</c:v>
                </c:pt>
                <c:pt idx="3">
                  <c:v>Water / Sewer</c:v>
                </c:pt>
                <c:pt idx="4">
                  <c:v>Food / Supplies</c:v>
                </c:pt>
                <c:pt idx="5">
                  <c:v>Fuel</c:v>
                </c:pt>
                <c:pt idx="6">
                  <c:v>Car Insurance</c:v>
                </c:pt>
                <c:pt idx="7">
                  <c:v>Home Insurance</c:v>
                </c:pt>
                <c:pt idx="8">
                  <c:v>Streaming</c:v>
                </c:pt>
                <c:pt idx="9">
                  <c:v>Music</c:v>
                </c:pt>
                <c:pt idx="10">
                  <c:v>Movies</c:v>
                </c:pt>
                <c:pt idx="11">
                  <c:v>Restaurants</c:v>
                </c:pt>
              </c:strCache>
            </c:strRef>
          </c:cat>
          <c:val>
            <c:numRef>
              <c:f>BUDGET!$N$22:$N$33</c:f>
              <c:numCache>
                <c:formatCode>"£"#,##0.00_);[Red]\("£"#,##0.00\)</c:formatCode>
                <c:ptCount val="12"/>
                <c:pt idx="0">
                  <c:v>139.53</c:v>
                </c:pt>
                <c:pt idx="1">
                  <c:v>227.67</c:v>
                </c:pt>
                <c:pt idx="2">
                  <c:v>98.07</c:v>
                </c:pt>
                <c:pt idx="3">
                  <c:v>33.97</c:v>
                </c:pt>
                <c:pt idx="4">
                  <c:v>604.21</c:v>
                </c:pt>
                <c:pt idx="5">
                  <c:v>178.12</c:v>
                </c:pt>
                <c:pt idx="6">
                  <c:v>123.83</c:v>
                </c:pt>
                <c:pt idx="7">
                  <c:v>45</c:v>
                </c:pt>
                <c:pt idx="8">
                  <c:v>45</c:v>
                </c:pt>
                <c:pt idx="9">
                  <c:v>8.99</c:v>
                </c:pt>
                <c:pt idx="10">
                  <c:v>63.98</c:v>
                </c:pt>
                <c:pt idx="11">
                  <c:v>298.10000000000002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A3-471C-9AD1-F4D3BD469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233951"/>
        <c:axId val="700225311"/>
      </c:barChart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BUDGET!$K$22:$K$33</c:f>
              <c:strCache>
                <c:ptCount val="12"/>
                <c:pt idx="0">
                  <c:v>Phone / Internet</c:v>
                </c:pt>
                <c:pt idx="1">
                  <c:v>Electricity</c:v>
                </c:pt>
                <c:pt idx="2">
                  <c:v>Gas</c:v>
                </c:pt>
                <c:pt idx="3">
                  <c:v>Water / Sewer</c:v>
                </c:pt>
                <c:pt idx="4">
                  <c:v>Food / Supplies</c:v>
                </c:pt>
                <c:pt idx="5">
                  <c:v>Fuel</c:v>
                </c:pt>
                <c:pt idx="6">
                  <c:v>Car Insurance</c:v>
                </c:pt>
                <c:pt idx="7">
                  <c:v>Home Insurance</c:v>
                </c:pt>
                <c:pt idx="8">
                  <c:v>Streaming</c:v>
                </c:pt>
                <c:pt idx="9">
                  <c:v>Music</c:v>
                </c:pt>
                <c:pt idx="10">
                  <c:v>Movies</c:v>
                </c:pt>
                <c:pt idx="11">
                  <c:v>Restaurants</c:v>
                </c:pt>
              </c:strCache>
            </c:strRef>
          </c:cat>
          <c:val>
            <c:numRef>
              <c:f>BUDGET!$O$22:$O$33</c:f>
              <c:numCache>
                <c:formatCode>"£"#,##0.00_);[Red]\("£"#,##0.00\)</c:formatCode>
                <c:ptCount val="12"/>
                <c:pt idx="0">
                  <c:v>279.06</c:v>
                </c:pt>
                <c:pt idx="1">
                  <c:v>466.23</c:v>
                </c:pt>
                <c:pt idx="2">
                  <c:v>216.05</c:v>
                </c:pt>
                <c:pt idx="3">
                  <c:v>66.949999999999989</c:v>
                </c:pt>
                <c:pt idx="4">
                  <c:v>1202.5300000000002</c:v>
                </c:pt>
                <c:pt idx="5">
                  <c:v>370.21000000000004</c:v>
                </c:pt>
                <c:pt idx="6">
                  <c:v>247.66</c:v>
                </c:pt>
                <c:pt idx="7">
                  <c:v>90</c:v>
                </c:pt>
                <c:pt idx="8">
                  <c:v>90</c:v>
                </c:pt>
                <c:pt idx="9">
                  <c:v>17.98</c:v>
                </c:pt>
                <c:pt idx="10">
                  <c:v>63.98</c:v>
                </c:pt>
                <c:pt idx="11">
                  <c:v>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A3-471C-9AD1-F4D3BD469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233951"/>
        <c:axId val="700225311"/>
      </c:lineChart>
      <c:catAx>
        <c:axId val="70023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225311"/>
        <c:crosses val="autoZero"/>
        <c:auto val="1"/>
        <c:lblAlgn val="ctr"/>
        <c:lblOffset val="100"/>
        <c:noMultiLvlLbl val="0"/>
      </c:catAx>
      <c:valAx>
        <c:axId val="70022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_);[Red]\(&quot;£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233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Jan 2023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6111111111111108E-2"/>
          <c:y val="0.17171296296296298"/>
          <c:w val="0.93888888888888888"/>
          <c:h val="0.52215113735783025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E40-469C-93E7-9226D12032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E40-469C-93E7-9226D120324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E40-469C-93E7-9226D120324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E40-469C-93E7-9226D120324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E40-469C-93E7-9226D120324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E40-469C-93E7-9226D120324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BE40-469C-93E7-9226D120324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BE40-469C-93E7-9226D120324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BE40-469C-93E7-9226D120324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BE40-469C-93E7-9226D120324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BE40-469C-93E7-9226D120324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BE40-469C-93E7-9226D1203243}"/>
              </c:ext>
            </c:extLst>
          </c:dPt>
          <c:cat>
            <c:strRef>
              <c:f>BUDGET!$K$22:$K$33</c:f>
              <c:strCache>
                <c:ptCount val="12"/>
                <c:pt idx="0">
                  <c:v>Phone / Internet</c:v>
                </c:pt>
                <c:pt idx="1">
                  <c:v>Electricity</c:v>
                </c:pt>
                <c:pt idx="2">
                  <c:v>Gas</c:v>
                </c:pt>
                <c:pt idx="3">
                  <c:v>Water / Sewer</c:v>
                </c:pt>
                <c:pt idx="4">
                  <c:v>Food / Supplies</c:v>
                </c:pt>
                <c:pt idx="5">
                  <c:v>Fuel</c:v>
                </c:pt>
                <c:pt idx="6">
                  <c:v>Car Insurance</c:v>
                </c:pt>
                <c:pt idx="7">
                  <c:v>Home Insurance</c:v>
                </c:pt>
                <c:pt idx="8">
                  <c:v>Streaming</c:v>
                </c:pt>
                <c:pt idx="9">
                  <c:v>Music</c:v>
                </c:pt>
                <c:pt idx="10">
                  <c:v>Movies</c:v>
                </c:pt>
                <c:pt idx="11">
                  <c:v>Restaurants</c:v>
                </c:pt>
              </c:strCache>
            </c:strRef>
          </c:cat>
          <c:val>
            <c:numRef>
              <c:f>BUDGET!$M$22:$M$33</c:f>
              <c:numCache>
                <c:formatCode>"£"#,##0.00_);[Red]\("£"#,##0.00\)</c:formatCode>
                <c:ptCount val="12"/>
                <c:pt idx="0">
                  <c:v>139.53</c:v>
                </c:pt>
                <c:pt idx="1">
                  <c:v>238.56</c:v>
                </c:pt>
                <c:pt idx="2">
                  <c:v>117.98</c:v>
                </c:pt>
                <c:pt idx="3">
                  <c:v>32.979999999999997</c:v>
                </c:pt>
                <c:pt idx="4">
                  <c:v>598.32000000000005</c:v>
                </c:pt>
                <c:pt idx="5">
                  <c:v>192.09</c:v>
                </c:pt>
                <c:pt idx="6">
                  <c:v>123.83</c:v>
                </c:pt>
                <c:pt idx="7">
                  <c:v>45</c:v>
                </c:pt>
                <c:pt idx="8">
                  <c:v>45</c:v>
                </c:pt>
                <c:pt idx="9">
                  <c:v>8.99</c:v>
                </c:pt>
                <c:pt idx="10">
                  <c:v>0</c:v>
                </c:pt>
                <c:pt idx="11">
                  <c:v>234.9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E40-469C-93E7-9226D1203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BUDGET!$A$1</c:f>
          <c:strCache>
            <c:ptCount val="1"/>
            <c:pt idx="0">
              <c:v>MONTHLY BUDGET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0.16245370370370371"/>
          <c:w val="0.87753018372703417"/>
          <c:h val="0.387552128900554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BUDGET!$K$21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BUDGET!$L$21:$O$21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AE45-4932-A58E-10D5FAFF2044}"/>
            </c:ext>
          </c:extLst>
        </c:ser>
        <c:ser>
          <c:idx val="1"/>
          <c:order val="1"/>
          <c:tx>
            <c:strRef>
              <c:f>BUDGET!$K$22</c:f>
              <c:strCache>
                <c:ptCount val="1"/>
                <c:pt idx="0">
                  <c:v>Phone / Internet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BUDGET!$M$22:$O$22</c:f>
              <c:numCache>
                <c:formatCode>"£"#,##0.00_);[Red]\("£"#,##0.00\)</c:formatCode>
                <c:ptCount val="3"/>
                <c:pt idx="0">
                  <c:v>139.53</c:v>
                </c:pt>
                <c:pt idx="1">
                  <c:v>139.53</c:v>
                </c:pt>
                <c:pt idx="2">
                  <c:v>279.06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45-4932-A58E-10D5FAFF2044}"/>
            </c:ext>
          </c:extLst>
        </c:ser>
        <c:ser>
          <c:idx val="2"/>
          <c:order val="2"/>
          <c:tx>
            <c:strRef>
              <c:f>BUDGET!$K$23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BUDGET!$M$23:$O$23</c:f>
              <c:numCache>
                <c:formatCode>"£"#,##0.00_);[Red]\("£"#,##0.00\)</c:formatCode>
                <c:ptCount val="3"/>
                <c:pt idx="0">
                  <c:v>238.56</c:v>
                </c:pt>
                <c:pt idx="1">
                  <c:v>227.67</c:v>
                </c:pt>
                <c:pt idx="2">
                  <c:v>466.23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45-4932-A58E-10D5FAFF2044}"/>
            </c:ext>
          </c:extLst>
        </c:ser>
        <c:ser>
          <c:idx val="3"/>
          <c:order val="3"/>
          <c:tx>
            <c:strRef>
              <c:f>BUDGET!$K$24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BUDGET!$M$24:$O$24</c:f>
              <c:numCache>
                <c:formatCode>"£"#,##0.00_);[Red]\("£"#,##0.00\)</c:formatCode>
                <c:ptCount val="3"/>
                <c:pt idx="0">
                  <c:v>117.98</c:v>
                </c:pt>
                <c:pt idx="1">
                  <c:v>98.07</c:v>
                </c:pt>
                <c:pt idx="2">
                  <c:v>216.05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45-4932-A58E-10D5FAFF2044}"/>
            </c:ext>
          </c:extLst>
        </c:ser>
        <c:ser>
          <c:idx val="4"/>
          <c:order val="4"/>
          <c:tx>
            <c:strRef>
              <c:f>BUDGET!$K$25</c:f>
              <c:strCache>
                <c:ptCount val="1"/>
                <c:pt idx="0">
                  <c:v>Water / Sewer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BUDGET!$M$25:$O$25</c:f>
              <c:numCache>
                <c:formatCode>"£"#,##0.00_);[Red]\("£"#,##0.00\)</c:formatCode>
                <c:ptCount val="3"/>
                <c:pt idx="0">
                  <c:v>32.979999999999997</c:v>
                </c:pt>
                <c:pt idx="1">
                  <c:v>33.97</c:v>
                </c:pt>
                <c:pt idx="2">
                  <c:v>66.949999999999989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45-4932-A58E-10D5FAFF2044}"/>
            </c:ext>
          </c:extLst>
        </c:ser>
        <c:ser>
          <c:idx val="5"/>
          <c:order val="5"/>
          <c:tx>
            <c:strRef>
              <c:f>BUDGET!$K$26</c:f>
              <c:strCache>
                <c:ptCount val="1"/>
                <c:pt idx="0">
                  <c:v>Food / Supplies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BUDGET!$M$26:$O$26</c:f>
              <c:numCache>
                <c:formatCode>"£"#,##0.00_);[Red]\("£"#,##0.00\)</c:formatCode>
                <c:ptCount val="3"/>
                <c:pt idx="0">
                  <c:v>598.32000000000005</c:v>
                </c:pt>
                <c:pt idx="1">
                  <c:v>604.21</c:v>
                </c:pt>
                <c:pt idx="2">
                  <c:v>1202.5300000000002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45-4932-A58E-10D5FAFF2044}"/>
            </c:ext>
          </c:extLst>
        </c:ser>
        <c:ser>
          <c:idx val="6"/>
          <c:order val="6"/>
          <c:tx>
            <c:strRef>
              <c:f>BUDGET!$K$27</c:f>
              <c:strCache>
                <c:ptCount val="1"/>
                <c:pt idx="0">
                  <c:v>Fuel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BUDGET!$M$27:$O$27</c:f>
              <c:numCache>
                <c:formatCode>"£"#,##0.00_);[Red]\("£"#,##0.00\)</c:formatCode>
                <c:ptCount val="3"/>
                <c:pt idx="0">
                  <c:v>192.09</c:v>
                </c:pt>
                <c:pt idx="1">
                  <c:v>178.12</c:v>
                </c:pt>
                <c:pt idx="2">
                  <c:v>370.21000000000004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45-4932-A58E-10D5FAFF2044}"/>
            </c:ext>
          </c:extLst>
        </c:ser>
        <c:ser>
          <c:idx val="7"/>
          <c:order val="7"/>
          <c:tx>
            <c:strRef>
              <c:f>BUDGET!$K$28</c:f>
              <c:strCache>
                <c:ptCount val="1"/>
                <c:pt idx="0">
                  <c:v>Car Insurance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BUDGET!$M$28:$O$28</c:f>
              <c:numCache>
                <c:formatCode>"£"#,##0.00_);[Red]\("£"#,##0.00\)</c:formatCode>
                <c:ptCount val="3"/>
                <c:pt idx="0">
                  <c:v>123.83</c:v>
                </c:pt>
                <c:pt idx="1">
                  <c:v>123.83</c:v>
                </c:pt>
                <c:pt idx="2">
                  <c:v>247.66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45-4932-A58E-10D5FAFF2044}"/>
            </c:ext>
          </c:extLst>
        </c:ser>
        <c:ser>
          <c:idx val="8"/>
          <c:order val="8"/>
          <c:tx>
            <c:strRef>
              <c:f>BUDGET!$K$29</c:f>
              <c:strCache>
                <c:ptCount val="1"/>
                <c:pt idx="0">
                  <c:v>Home Insurance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BUDGET!$M$29:$O$29</c:f>
              <c:numCache>
                <c:formatCode>"£"#,##0.00_);[Red]\("£"#,##0.00\)</c:formatCode>
                <c:ptCount val="3"/>
                <c:pt idx="0">
                  <c:v>45</c:v>
                </c:pt>
                <c:pt idx="1">
                  <c:v>45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45-4932-A58E-10D5FAFF2044}"/>
            </c:ext>
          </c:extLst>
        </c:ser>
        <c:ser>
          <c:idx val="9"/>
          <c:order val="9"/>
          <c:tx>
            <c:strRef>
              <c:f>BUDGET!$K$30</c:f>
              <c:strCache>
                <c:ptCount val="1"/>
                <c:pt idx="0">
                  <c:v>Streaming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BUDGET!$M$30:$O$30</c:f>
              <c:numCache>
                <c:formatCode>"£"#,##0.00_);[Red]\("£"#,##0.00\)</c:formatCode>
                <c:ptCount val="3"/>
                <c:pt idx="0">
                  <c:v>45</c:v>
                </c:pt>
                <c:pt idx="1">
                  <c:v>45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E45-4932-A58E-10D5FAFF2044}"/>
            </c:ext>
          </c:extLst>
        </c:ser>
        <c:ser>
          <c:idx val="10"/>
          <c:order val="10"/>
          <c:tx>
            <c:strRef>
              <c:f>BUDGET!$K$31</c:f>
              <c:strCache>
                <c:ptCount val="1"/>
                <c:pt idx="0">
                  <c:v>Music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BUDGET!$M$31:$O$31</c:f>
              <c:numCache>
                <c:formatCode>"£"#,##0.00_);[Red]\("£"#,##0.00\)</c:formatCode>
                <c:ptCount val="3"/>
                <c:pt idx="0">
                  <c:v>8.99</c:v>
                </c:pt>
                <c:pt idx="1">
                  <c:v>8.99</c:v>
                </c:pt>
                <c:pt idx="2">
                  <c:v>17.98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E45-4932-A58E-10D5FAFF2044}"/>
            </c:ext>
          </c:extLst>
        </c:ser>
        <c:ser>
          <c:idx val="11"/>
          <c:order val="11"/>
          <c:tx>
            <c:strRef>
              <c:f>BUDGET!$K$32</c:f>
              <c:strCache>
                <c:ptCount val="1"/>
                <c:pt idx="0">
                  <c:v>Movies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BUDGET!$M$32:$O$32</c:f>
              <c:numCache>
                <c:formatCode>"£"#,##0.00_);[Red]\("£"#,##0.00\)</c:formatCode>
                <c:ptCount val="3"/>
                <c:pt idx="0">
                  <c:v>0</c:v>
                </c:pt>
                <c:pt idx="1">
                  <c:v>63.98</c:v>
                </c:pt>
                <c:pt idx="2">
                  <c:v>63.98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E45-4932-A58E-10D5FAFF2044}"/>
            </c:ext>
          </c:extLst>
        </c:ser>
        <c:ser>
          <c:idx val="12"/>
          <c:order val="12"/>
          <c:tx>
            <c:strRef>
              <c:f>BUDGET!$K$33</c:f>
              <c:strCache>
                <c:ptCount val="1"/>
                <c:pt idx="0">
                  <c:v>Restaurants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BUDGET!$M$33:$O$33</c:f>
              <c:numCache>
                <c:formatCode>"£"#,##0.00_);[Red]\("£"#,##0.00\)</c:formatCode>
                <c:ptCount val="3"/>
                <c:pt idx="0">
                  <c:v>234.9</c:v>
                </c:pt>
                <c:pt idx="1">
                  <c:v>298.10000000000002</c:v>
                </c:pt>
                <c:pt idx="2">
                  <c:v>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E45-4932-A58E-10D5FAFF2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04271"/>
        <c:axId val="617199951"/>
      </c:barChart>
      <c:catAx>
        <c:axId val="61720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199951"/>
        <c:crosses val="autoZero"/>
        <c:auto val="1"/>
        <c:lblAlgn val="ctr"/>
        <c:lblOffset val="100"/>
        <c:noMultiLvlLbl val="0"/>
      </c:catAx>
      <c:valAx>
        <c:axId val="61719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EAA2F43-DFF5-4DE4-9464-B999DBF1DF06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microsoft.com/office/2017/06/relationships/model3d" Target="../media/model3d1.glb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190500</xdr:colOff>
      <xdr:row>23</xdr:row>
      <xdr:rowOff>104775</xdr:rowOff>
    </xdr:from>
    <xdr:to>
      <xdr:col>8</xdr:col>
      <xdr:colOff>447675</xdr:colOff>
      <xdr:row>28</xdr:row>
      <xdr:rowOff>66675</xdr:rowOff>
    </xdr:to>
    <xdr:pic>
      <xdr:nvPicPr>
        <xdr:cNvPr id="7" name="Graphic 6" descr="Money with solid fill">
          <a:extLst>
            <a:ext uri="{FF2B5EF4-FFF2-40B4-BE49-F238E27FC236}">
              <a16:creationId xmlns:a16="http://schemas.microsoft.com/office/drawing/2014/main" id="{C0B312F8-A619-C375-6289-DD3398CCDE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153150" y="4762500"/>
          <a:ext cx="914400" cy="914400"/>
        </a:xfrm>
        <a:prstGeom prst="rect">
          <a:avLst/>
        </a:prstGeom>
      </xdr:spPr>
    </xdr:pic>
    <xdr:clientData/>
  </xdr:twoCellAnchor>
  <xdr:twoCellAnchor>
    <xdr:from>
      <xdr:col>5</xdr:col>
      <xdr:colOff>160507</xdr:colOff>
      <xdr:row>23</xdr:row>
      <xdr:rowOff>38099</xdr:rowOff>
    </xdr:from>
    <xdr:to>
      <xdr:col>5</xdr:col>
      <xdr:colOff>1228724</xdr:colOff>
      <xdr:row>28</xdr:row>
      <xdr:rowOff>166686</xdr:rowOff>
    </xdr:to>
    <mc:AlternateContent xmlns:mc="http://schemas.openxmlformats.org/markup-compatibility/2006">
      <mc:Choice xmlns:am3d="http://schemas.microsoft.com/office/drawing/2017/model3d" Requires="am3d">
        <xdr:graphicFrame macro="">
          <xdr:nvGraphicFramePr>
            <xdr:cNvPr id="8" name="3D Model 7" descr="Fear Face">
              <a:extLst>
                <a:ext uri="{FF2B5EF4-FFF2-40B4-BE49-F238E27FC236}">
                  <a16:creationId xmlns:a16="http://schemas.microsoft.com/office/drawing/2014/main" id="{D8F36B7D-CED3-79AF-8E38-96FA76D668C8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7/model3d">
              <am3d:model3d xmlns:r="http://schemas.openxmlformats.org/officeDocument/2006/relationships" r:embed="rId3">
                <am3d:spPr>
                  <a:xfrm>
                    <a:off x="0" y="0"/>
                    <a:ext cx="1068217" cy="1081087"/>
                  </a:xfrm>
                  <a:prstGeom prst="rect">
                    <a:avLst/>
                  </a:prstGeom>
                </am3d:spPr>
                <am3d:camera>
                  <am3d:pos x="0" y="0" z="81028246"/>
                  <am3d:up dx="0" dy="36000000" dz="0"/>
                  <am3d:lookAt x="0" y="0" z="0"/>
                  <am3d:perspective fov="2700000"/>
                </am3d:camera>
                <am3d:trans>
                  <am3d:meterPerModelUnit n="60891706" d="1000000"/>
                  <am3d:preTrans dx="0" dy="33510" dz="1087834"/>
                  <am3d:scale>
                    <am3d:sx n="1000000" d="1000000"/>
                    <am3d:sy n="1000000" d="1000000"/>
                    <am3d:sz n="1000000" d="1000000"/>
                  </am3d:scale>
                  <am3d:rot ax="-343991" ay="1755140" az="-168522"/>
                  <am3d:postTrans dx="0" dy="0" dz="0"/>
                </am3d:trans>
                <am3d:raster rName="Office3DRenderer" rVer="16.0.8326">
                  <am3d:blip r:embed="rId4"/>
                </am3d:raster>
                <am3d:objViewport viewportSz="1742458"/>
                <am3d:ambientLight>
                  <am3d:clr>
                    <a:scrgbClr r="50000" g="50000" b="50000"/>
                  </am3d:clr>
                  <am3d:illuminance n="500000" d="1000000"/>
                </am3d:ambientLight>
                <am3d:ptLight rad="0">
                  <am3d:clr>
                    <a:scrgbClr r="100000" g="75000" b="50000"/>
                  </am3d:clr>
                  <am3d:intensity n="9765625" d="1000000"/>
                  <am3d:pos x="21959998" y="70920001" z="16344003"/>
                </am3d:ptLight>
                <am3d:ptLight rad="0">
                  <am3d:clr>
                    <a:scrgbClr r="40000" g="60000" b="95000"/>
                  </am3d:clr>
                  <am3d:intensity n="12250000" d="1000000"/>
                  <am3d:pos x="-37964106" y="51130435" z="57631972"/>
                </am3d:ptLight>
                <am3d:ptLight rad="0">
                  <am3d:clr>
                    <a:scrgbClr r="86837" g="72700" b="100000"/>
                  </am3d:clr>
                  <am3d:intensity n="3125000" d="1000000"/>
                  <am3d:pos x="-37739122" y="58056624" z="-34769649"/>
                </am3d:ptLight>
              </am3d:model3d>
            </a:graphicData>
          </a:graphic>
        </xdr:graphicFrame>
      </mc:Choice>
      <mc:Fallback>
        <xdr:pic>
          <xdr:nvPicPr>
            <xdr:cNvPr id="8" name="3D Model 7" descr="Fear Face">
              <a:extLst>
                <a:ext uri="{FF2B5EF4-FFF2-40B4-BE49-F238E27FC236}">
                  <a16:creationId xmlns:a16="http://schemas.microsoft.com/office/drawing/2014/main" id="{D8F36B7D-CED3-79AF-8E38-96FA76D668C8}"/>
                </a:ext>
              </a:extLst>
            </xdr:cNvPr>
            <xdr:cNvPicPr>
              <a:picLocks noGrp="1" noRot="1" noChangeAspect="1" noMove="1" noResize="1" noEditPoints="1" noAdjustHandles="1" noChangeArrowheads="1" noChangeShapeType="1" noCrop="1"/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122907" y="4695824"/>
              <a:ext cx="1068217" cy="1081087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20</xdr:col>
      <xdr:colOff>238125</xdr:colOff>
      <xdr:row>19</xdr:row>
      <xdr:rowOff>195262</xdr:rowOff>
    </xdr:from>
    <xdr:to>
      <xdr:col>27</xdr:col>
      <xdr:colOff>542925</xdr:colOff>
      <xdr:row>34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60EF73-3785-2151-AB8B-4A198EA15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2</xdr:row>
      <xdr:rowOff>0</xdr:rowOff>
    </xdr:from>
    <xdr:to>
      <xdr:col>28</xdr:col>
      <xdr:colOff>304800</xdr:colOff>
      <xdr:row>16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863716-2F57-4A1F-9F30-725B41958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342569-C406-E24B-FAA6-883B4DA88D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92CB6C-F606-428A-A3A9-89073AB7F673}" name="Table1" displayName="Table1" ref="A1:M40" totalsRowShown="0" headerRowDxfId="40" dataDxfId="39" tableBorderDxfId="38">
  <autoFilter ref="A1:M40" xr:uid="{4092CB6C-F606-428A-A3A9-89073AB7F673}"/>
  <tableColumns count="13">
    <tableColumn id="1" xr3:uid="{CC12FD5D-7C55-43EA-A9EE-6B57EC7EC453}" name="Sale ID" dataDxfId="37" totalsRowDxfId="36"/>
    <tableColumn id="2" xr3:uid="{0A906005-060A-4FF7-848F-AD793E3C640E}" name="Contact" dataDxfId="35" totalsRowDxfId="34"/>
    <tableColumn id="3" xr3:uid="{150BA5F5-F905-4FC7-9EB1-999F3BA0C830}" name="Sex" dataDxfId="33" totalsRowDxfId="32"/>
    <tableColumn id="4" xr3:uid="{5ABC46F9-2FDC-47BC-88C8-CC5C6225EB4A}" name="Age" dataDxfId="31" totalsRowDxfId="30"/>
    <tableColumn id="5" xr3:uid="{082A5315-B83F-4373-9408-2C35B34D7787}" name="State" dataDxfId="29" totalsRowDxfId="28"/>
    <tableColumn id="6" xr3:uid="{22591E85-C377-46B3-978F-69D663F77D57}" name="Product ID" dataDxfId="27" totalsRowDxfId="26"/>
    <tableColumn id="7" xr3:uid="{11D137E4-5E00-44C5-BD71-3D50886189AB}" name="Product Type" dataDxfId="25" totalsRowDxfId="24"/>
    <tableColumn id="8" xr3:uid="{C5C9EA1D-9055-43E1-8DE8-080518A340D3}" name="Sale Price" dataDxfId="23" totalsRowDxfId="22"/>
    <tableColumn id="9" xr3:uid="{10530838-6041-4050-ADF3-3937BBE6198F}" name="Profit" dataDxfId="21" totalsRowDxfId="20"/>
    <tableColumn id="10" xr3:uid="{5A9DCFF7-7417-4DE8-B7ED-01606CD27BDC}" name="Lead" dataDxfId="19" totalsRowDxfId="18"/>
    <tableColumn id="11" xr3:uid="{81EC1E1A-2F1C-4D77-B873-EE23F42A4176}" name="Month" dataDxfId="17" totalsRowDxfId="16"/>
    <tableColumn id="12" xr3:uid="{E4CD3BDE-5635-494F-8770-FA43AB1168AB}" name="Year" dataDxfId="15" totalsRowDxfId="14"/>
    <tableColumn id="13" xr3:uid="{00A8010A-9D7A-4650-9BAB-7CA34B211954}" name="Salesperson" dataDxfId="13" totalsRowDxfId="1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2A24D3-6495-4349-9793-0095EF8F42EB}" name="Table2" displayName="Table2" ref="A1:L27" totalsRowShown="0">
  <autoFilter ref="A1:L27" xr:uid="{FF2A24D3-6495-4349-9793-0095EF8F42EB}"/>
  <tableColumns count="12">
    <tableColumn id="1" xr3:uid="{FD9CEAD6-A1F7-4EBF-9382-B8A3D2C6E951}" name="ID"/>
    <tableColumn id="2" xr3:uid="{0CF58BBC-87BD-4B7B-92F7-29A52F1D4D2F}" name="First Name"/>
    <tableColumn id="3" xr3:uid="{049FF954-4CD2-43E5-A8D4-8D4B84F9AFF3}" name="Last Name"/>
    <tableColumn id="4" xr3:uid="{59425C53-D449-40D2-86AE-2BE5128F37E3}" name="Company"/>
    <tableColumn id="5" xr3:uid="{D0F8F066-E51D-4804-B7E1-CD797CD42412}" name="Email"/>
    <tableColumn id="6" xr3:uid="{15EB9785-5F00-462A-8BE4-5163CCAB52A5}" name="Phone"/>
    <tableColumn id="7" xr3:uid="{D0A02B17-0C30-481E-AC97-FAC4171BF661}" name="Hired" dataDxfId="8"/>
    <tableColumn id="8" xr3:uid="{AFA289A6-5246-498F-B77C-3E3B3BF1DA80}" name="Department"/>
    <tableColumn id="9" xr3:uid="{F973EC5F-0BBD-4AE2-8AAA-9A25F8BD6A31}" name="Street"/>
    <tableColumn id="10" xr3:uid="{985F5DB2-CFF5-445D-96FE-213C9FDEFB49}" name="City"/>
    <tableColumn id="11" xr3:uid="{6CB89BD1-5F26-49DC-9BEF-549D89848933}" name="State"/>
    <tableColumn id="12" xr3:uid="{D48801AE-59AD-464C-8C40-92D20B0793E3}" name="Zip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C1B61-92A7-4B00-ABDA-0042A133D40D}">
  <dimension ref="A1:T34"/>
  <sheetViews>
    <sheetView topLeftCell="F10" zoomScaleNormal="100" workbookViewId="0">
      <selection activeCell="P22" sqref="P22"/>
    </sheetView>
  </sheetViews>
  <sheetFormatPr defaultRowHeight="15" x14ac:dyDescent="0.25"/>
  <cols>
    <col min="1" max="1" width="20.7109375" bestFit="1" customWidth="1"/>
    <col min="2" max="4" width="9.85546875" bestFit="1" customWidth="1"/>
    <col min="6" max="6" width="20.140625" customWidth="1"/>
    <col min="7" max="9" width="9.85546875" bestFit="1" customWidth="1"/>
    <col min="10" max="10" width="6.42578125" customWidth="1"/>
    <col min="11" max="11" width="27.85546875" bestFit="1" customWidth="1"/>
    <col min="12" max="12" width="9.42578125" bestFit="1" customWidth="1"/>
    <col min="13" max="13" width="9.7109375" bestFit="1" customWidth="1"/>
    <col min="14" max="14" width="10.28515625" bestFit="1" customWidth="1"/>
    <col min="16" max="16" width="9.7109375" bestFit="1" customWidth="1"/>
    <col min="18" max="18" width="18.7109375" bestFit="1" customWidth="1"/>
    <col min="20" max="20" width="18.85546875" bestFit="1" customWidth="1"/>
  </cols>
  <sheetData>
    <row r="1" spans="1:20" ht="29.25" thickBot="1" x14ac:dyDescent="0.5">
      <c r="A1" s="45" t="s">
        <v>0</v>
      </c>
      <c r="B1" s="46"/>
      <c r="C1" s="47"/>
      <c r="R1" s="25" t="s">
        <v>44</v>
      </c>
    </row>
    <row r="2" spans="1:20" ht="15.75" thickTop="1" x14ac:dyDescent="0.25"/>
    <row r="3" spans="1:20" x14ac:dyDescent="0.25">
      <c r="B3" s="4">
        <v>44927</v>
      </c>
      <c r="C3" s="4">
        <v>44958</v>
      </c>
      <c r="D3" s="4">
        <v>44986</v>
      </c>
      <c r="E3" s="1"/>
      <c r="G3" s="4">
        <v>44927</v>
      </c>
      <c r="H3" s="4">
        <v>44958</v>
      </c>
      <c r="I3" s="4">
        <v>44986</v>
      </c>
      <c r="J3" s="1"/>
      <c r="L3" s="4">
        <v>44927</v>
      </c>
      <c r="M3" s="4">
        <v>44958</v>
      </c>
      <c r="N3" s="4">
        <v>44986</v>
      </c>
      <c r="O3" t="s">
        <v>68</v>
      </c>
      <c r="R3" t="s">
        <v>45</v>
      </c>
      <c r="T3" s="19">
        <f>AVERAGE(M26:N26)</f>
        <v>601.2650000000001</v>
      </c>
    </row>
    <row r="4" spans="1:20" ht="16.5" thickBot="1" x14ac:dyDescent="0.3">
      <c r="A4" s="15" t="s">
        <v>1</v>
      </c>
      <c r="F4" s="15" t="s">
        <v>21</v>
      </c>
      <c r="K4" s="15" t="s">
        <v>35</v>
      </c>
      <c r="R4" t="s">
        <v>46</v>
      </c>
      <c r="T4">
        <f>COUNT(M26:N26)</f>
        <v>2</v>
      </c>
    </row>
    <row r="5" spans="1:20" ht="15.75" thickTop="1" x14ac:dyDescent="0.25">
      <c r="A5" s="3" t="s">
        <v>2</v>
      </c>
      <c r="B5" s="11">
        <v>8333.24</v>
      </c>
      <c r="C5" s="10">
        <v>8333.24</v>
      </c>
      <c r="D5" s="10">
        <v>8333.24</v>
      </c>
      <c r="F5" s="3" t="s">
        <v>22</v>
      </c>
      <c r="G5" s="11">
        <v>45</v>
      </c>
      <c r="H5" s="10">
        <v>45</v>
      </c>
      <c r="I5" s="10">
        <v>45</v>
      </c>
      <c r="K5" t="s">
        <v>36</v>
      </c>
      <c r="L5" s="17">
        <f>IFERROR(B10/B7,"-")</f>
        <v>1.5648674746899256E-2</v>
      </c>
      <c r="M5" s="17">
        <f>IFERROR(C10/C7,"-")</f>
        <v>1.6157889434317538E-2</v>
      </c>
      <c r="N5" s="17">
        <f>D10/D7</f>
        <v>1.6069071787394883E-2</v>
      </c>
      <c r="O5" s="17">
        <f>AVERAGE(L5:N5)</f>
        <v>1.5958545322870558E-2</v>
      </c>
      <c r="R5" t="s">
        <v>47</v>
      </c>
      <c r="T5" s="19">
        <f>MAX(M26:N26)</f>
        <v>604.21</v>
      </c>
    </row>
    <row r="6" spans="1:20" x14ac:dyDescent="0.25">
      <c r="A6" s="3" t="s">
        <v>3</v>
      </c>
      <c r="B6" s="8">
        <v>583.16999999999996</v>
      </c>
      <c r="C6" s="9">
        <v>302.17</v>
      </c>
      <c r="D6" s="9">
        <v>349.9</v>
      </c>
      <c r="F6" s="13" t="s">
        <v>23</v>
      </c>
      <c r="G6" s="8">
        <v>8.99</v>
      </c>
      <c r="H6" s="9">
        <v>8.99</v>
      </c>
      <c r="I6" s="9">
        <v>8.99</v>
      </c>
      <c r="K6" s="14" t="s">
        <v>7</v>
      </c>
      <c r="L6" s="17">
        <f>B11/B7</f>
        <v>2.5833266976283055E-2</v>
      </c>
      <c r="M6" s="17">
        <f>C11/C7</f>
        <v>2.7625787310619879E-2</v>
      </c>
      <c r="N6" s="17">
        <f>D11/D7</f>
        <v>2.6219777638043382E-2</v>
      </c>
      <c r="O6" s="17">
        <f t="shared" ref="O6:O16" si="0">AVERAGE(L6:N6)</f>
        <v>2.6559610641648773E-2</v>
      </c>
      <c r="R6" t="s">
        <v>48</v>
      </c>
      <c r="T6" s="19">
        <f>MIN(M26:N26)</f>
        <v>598.32000000000005</v>
      </c>
    </row>
    <row r="7" spans="1:20" x14ac:dyDescent="0.25">
      <c r="A7" s="3" t="s">
        <v>4</v>
      </c>
      <c r="B7" s="10">
        <f>B5+B6</f>
        <v>8916.41</v>
      </c>
      <c r="C7" s="10">
        <f>C5+C6</f>
        <v>8635.41</v>
      </c>
      <c r="D7" s="10">
        <f>D5+D6</f>
        <v>8683.14</v>
      </c>
      <c r="F7" s="3" t="s">
        <v>24</v>
      </c>
      <c r="G7" s="6">
        <v>4.99</v>
      </c>
      <c r="H7" s="7">
        <v>0</v>
      </c>
      <c r="I7" s="7">
        <v>63.98</v>
      </c>
      <c r="K7" t="s">
        <v>8</v>
      </c>
      <c r="L7" s="17">
        <f>B12/B7</f>
        <v>1.1353223999345028E-2</v>
      </c>
      <c r="M7" s="17">
        <f>C12/C7</f>
        <v>1.3662350716410686E-2</v>
      </c>
      <c r="N7" s="17">
        <f>D12/D7</f>
        <v>1.1294301370241641E-2</v>
      </c>
      <c r="O7" s="17">
        <f t="shared" si="0"/>
        <v>1.2103292028665785E-2</v>
      </c>
      <c r="R7" t="s">
        <v>49</v>
      </c>
      <c r="T7" t="str">
        <f>IF(N26&gt;T3, "Yes", "No")</f>
        <v>Yes</v>
      </c>
    </row>
    <row r="8" spans="1:20" x14ac:dyDescent="0.25">
      <c r="F8" s="13" t="s">
        <v>25</v>
      </c>
      <c r="G8" s="8">
        <v>290.12</v>
      </c>
      <c r="H8" s="9">
        <v>234.9</v>
      </c>
      <c r="I8" s="9">
        <v>298.10000000000002</v>
      </c>
      <c r="K8" s="14" t="s">
        <v>37</v>
      </c>
      <c r="L8" s="17">
        <f>B13/B7</f>
        <v>3.4958015613907392E-3</v>
      </c>
      <c r="M8" s="17">
        <f>C13/C7</f>
        <v>3.8191585576133613E-3</v>
      </c>
      <c r="N8" s="17">
        <f>D13/D7</f>
        <v>3.9121792347008109E-3</v>
      </c>
      <c r="O8" s="17">
        <f t="shared" si="0"/>
        <v>3.7423797845683037E-3</v>
      </c>
      <c r="R8" t="s">
        <v>50</v>
      </c>
      <c r="T8" t="e">
        <f>M26&amp;"--"&amp;#REF!&amp;"--"&amp;N26</f>
        <v>#REF!</v>
      </c>
    </row>
    <row r="9" spans="1:20" x14ac:dyDescent="0.25">
      <c r="A9" s="3" t="s">
        <v>5</v>
      </c>
      <c r="F9" s="3" t="s">
        <v>13</v>
      </c>
      <c r="G9" s="6">
        <v>220.76</v>
      </c>
      <c r="H9" s="7">
        <v>0</v>
      </c>
      <c r="I9" s="7">
        <v>0</v>
      </c>
      <c r="K9" t="s">
        <v>38</v>
      </c>
      <c r="L9" s="17">
        <f>B15/B7</f>
        <v>6.2852650337972341E-2</v>
      </c>
      <c r="M9" s="17">
        <f>C15/C7</f>
        <v>6.9286808617077825E-2</v>
      </c>
      <c r="N9" s="17">
        <f>D15/D7</f>
        <v>6.9584274813028479E-2</v>
      </c>
      <c r="O9" s="17">
        <f t="shared" si="0"/>
        <v>6.7241244589359553E-2</v>
      </c>
      <c r="R9" t="s">
        <v>50</v>
      </c>
      <c r="T9" t="e">
        <f>_xlfn.CONCAT(M26,"--",#REF!,"--",N26)</f>
        <v>#REF!</v>
      </c>
    </row>
    <row r="10" spans="1:20" x14ac:dyDescent="0.25">
      <c r="A10" s="3" t="s">
        <v>6</v>
      </c>
      <c r="B10" s="6">
        <v>139.53</v>
      </c>
      <c r="C10" s="7">
        <v>139.53</v>
      </c>
      <c r="D10" s="7">
        <v>139.53</v>
      </c>
      <c r="K10" s="14" t="s">
        <v>14</v>
      </c>
      <c r="L10" s="17">
        <f>B20/B7</f>
        <v>2.0571059428626543E-2</v>
      </c>
      <c r="M10" s="17">
        <f>C20/C7</f>
        <v>2.2244456256275035E-2</v>
      </c>
      <c r="N10" s="17">
        <f>D20/D7</f>
        <v>2.051331661127196E-2</v>
      </c>
      <c r="O10" s="17">
        <f t="shared" si="0"/>
        <v>2.1109610765391178E-2</v>
      </c>
      <c r="R10" t="s">
        <v>51</v>
      </c>
      <c r="T10">
        <f>VLOOKUP(F12,F3:I21,2,)</f>
        <v>393.16</v>
      </c>
    </row>
    <row r="11" spans="1:20" x14ac:dyDescent="0.25">
      <c r="A11" s="3" t="s">
        <v>7</v>
      </c>
      <c r="B11" s="8">
        <v>230.34</v>
      </c>
      <c r="C11" s="9">
        <v>238.56</v>
      </c>
      <c r="D11" s="9">
        <v>227.67</v>
      </c>
      <c r="F11" t="s">
        <v>26</v>
      </c>
      <c r="K11" t="s">
        <v>39</v>
      </c>
      <c r="L11" s="17">
        <f>B25/B7</f>
        <v>1.3887876398685122E-2</v>
      </c>
      <c r="M11" s="17">
        <f>C25/C7</f>
        <v>1.4339793941457325E-2</v>
      </c>
      <c r="N11" s="17">
        <f>D25/D7</f>
        <v>1.4260970109891124E-2</v>
      </c>
      <c r="O11" s="17">
        <f t="shared" si="0"/>
        <v>1.4162880150011188E-2</v>
      </c>
      <c r="R11" t="s">
        <v>52</v>
      </c>
      <c r="T11">
        <f>INDEX(F5:I9,4,2)</f>
        <v>290.12</v>
      </c>
    </row>
    <row r="12" spans="1:20" x14ac:dyDescent="0.25">
      <c r="A12" s="3" t="s">
        <v>8</v>
      </c>
      <c r="B12" s="6">
        <v>101.23</v>
      </c>
      <c r="C12" s="7">
        <v>117.98</v>
      </c>
      <c r="D12" s="7">
        <v>98.07</v>
      </c>
      <c r="F12" s="3" t="s">
        <v>27</v>
      </c>
      <c r="G12" s="6">
        <v>393.16</v>
      </c>
      <c r="H12" s="7">
        <v>45.98</v>
      </c>
      <c r="I12" s="7">
        <v>32.19</v>
      </c>
      <c r="K12" s="14" t="s">
        <v>40</v>
      </c>
      <c r="L12" s="17">
        <f>B27/B7</f>
        <v>1.2224650952569477E-2</v>
      </c>
      <c r="M12" s="17">
        <f>C27/C7</f>
        <v>1.2622446415398921E-2</v>
      </c>
      <c r="N12" s="17">
        <f>D27/D7</f>
        <v>1.2553062601777699E-2</v>
      </c>
      <c r="O12" s="17">
        <f t="shared" si="0"/>
        <v>1.2466719989915366E-2</v>
      </c>
      <c r="R12" t="s">
        <v>45</v>
      </c>
      <c r="T12">
        <f>SUBTOTAL(1,M26:N26)</f>
        <v>601.2650000000001</v>
      </c>
    </row>
    <row r="13" spans="1:20" x14ac:dyDescent="0.25">
      <c r="A13" s="3" t="s">
        <v>9</v>
      </c>
      <c r="B13" s="8">
        <v>31.17</v>
      </c>
      <c r="C13" s="9">
        <v>32.979999999999997</v>
      </c>
      <c r="D13" s="9">
        <v>33.97</v>
      </c>
      <c r="K13" t="s">
        <v>22</v>
      </c>
      <c r="L13" s="17">
        <f>G5/B7</f>
        <v>5.0468742464736373E-3</v>
      </c>
      <c r="M13" s="17">
        <f>H5/C7</f>
        <v>5.2111017311279951E-3</v>
      </c>
      <c r="N13" s="17">
        <f>I5/D7</f>
        <v>5.1824570374311603E-3</v>
      </c>
      <c r="O13" s="17">
        <f t="shared" si="0"/>
        <v>5.1468110050109312E-3</v>
      </c>
      <c r="R13" t="s">
        <v>53</v>
      </c>
      <c r="T13">
        <f>MOD(5,4)</f>
        <v>1</v>
      </c>
    </row>
    <row r="14" spans="1:20" x14ac:dyDescent="0.25">
      <c r="A14" s="3" t="s">
        <v>10</v>
      </c>
      <c r="B14" s="6">
        <v>0</v>
      </c>
      <c r="C14" s="7">
        <v>0</v>
      </c>
      <c r="D14" s="7">
        <v>0</v>
      </c>
      <c r="F14" t="s">
        <v>28</v>
      </c>
      <c r="K14" s="14" t="s">
        <v>23</v>
      </c>
      <c r="L14" s="17">
        <f>G6/B7</f>
        <v>1.0082533216844E-3</v>
      </c>
      <c r="M14" s="17">
        <f>H6/C7</f>
        <v>1.0410623236186817E-3</v>
      </c>
      <c r="N14" s="17">
        <f>I6/D7</f>
        <v>1.0353397503668029E-3</v>
      </c>
      <c r="O14" s="17">
        <f t="shared" si="0"/>
        <v>1.0282184652232948E-3</v>
      </c>
      <c r="R14" t="s">
        <v>54</v>
      </c>
      <c r="T14">
        <f>POWER(5,2)</f>
        <v>25</v>
      </c>
    </row>
    <row r="15" spans="1:20" x14ac:dyDescent="0.25">
      <c r="A15" s="3" t="s">
        <v>11</v>
      </c>
      <c r="B15" s="8">
        <v>560.41999999999996</v>
      </c>
      <c r="C15" s="9">
        <v>598.32000000000005</v>
      </c>
      <c r="D15" s="9">
        <v>604.21</v>
      </c>
      <c r="F15" s="3" t="s">
        <v>32</v>
      </c>
      <c r="G15" s="5">
        <f>B7*0.08481</f>
        <v>756.20073209999998</v>
      </c>
      <c r="H15" s="5">
        <f>C7*0.08481</f>
        <v>732.36912209999991</v>
      </c>
      <c r="I15" s="5">
        <f>D7*0.08481</f>
        <v>736.41710339999997</v>
      </c>
      <c r="K15" t="s">
        <v>24</v>
      </c>
      <c r="L15" s="17">
        <f>G7/B7</f>
        <v>5.5964227755341E-4</v>
      </c>
      <c r="M15" s="17">
        <f>H7/C7</f>
        <v>0</v>
      </c>
      <c r="N15" s="17">
        <f>I7/D7</f>
        <v>7.3683022501076804E-3</v>
      </c>
      <c r="O15" s="17">
        <f t="shared" si="0"/>
        <v>2.6426481758870302E-3</v>
      </c>
      <c r="R15" t="s">
        <v>56</v>
      </c>
      <c r="T15">
        <f>CEILING(4.45,1)</f>
        <v>5</v>
      </c>
    </row>
    <row r="16" spans="1:20" x14ac:dyDescent="0.25">
      <c r="A16" s="3" t="s">
        <v>12</v>
      </c>
      <c r="B16" s="6">
        <v>0</v>
      </c>
      <c r="C16" s="7">
        <v>0</v>
      </c>
      <c r="D16" s="7">
        <v>0</v>
      </c>
      <c r="F16" s="13" t="s">
        <v>29</v>
      </c>
      <c r="G16" s="2">
        <f>B7*0.037</f>
        <v>329.90716999999995</v>
      </c>
      <c r="H16" s="2">
        <f>C7*0.037</f>
        <v>319.51016999999996</v>
      </c>
      <c r="I16" s="2">
        <f>D7*0.037</f>
        <v>321.27617999999995</v>
      </c>
      <c r="K16" s="14" t="s">
        <v>25</v>
      </c>
      <c r="L16" s="17">
        <f>G8/B7</f>
        <v>3.25377590308207E-2</v>
      </c>
      <c r="M16" s="17">
        <f>H8/C7</f>
        <v>2.7201951036488134E-2</v>
      </c>
      <c r="N16" s="17">
        <f>I8/D7</f>
        <v>3.4330898730182864E-2</v>
      </c>
      <c r="O16" s="17">
        <f t="shared" si="0"/>
        <v>3.1356869599163902E-2</v>
      </c>
      <c r="R16" t="s">
        <v>55</v>
      </c>
      <c r="T16">
        <f>CEILING(4.45,2)</f>
        <v>6</v>
      </c>
    </row>
    <row r="17" spans="1:20" x14ac:dyDescent="0.25">
      <c r="A17" s="3" t="s">
        <v>13</v>
      </c>
      <c r="B17" s="8">
        <v>0</v>
      </c>
      <c r="C17" s="9">
        <v>0</v>
      </c>
      <c r="D17" s="9">
        <v>0</v>
      </c>
      <c r="F17" s="3" t="s">
        <v>30</v>
      </c>
      <c r="G17" s="5">
        <f>B7*0.01</f>
        <v>89.164100000000005</v>
      </c>
      <c r="H17" s="5">
        <f>C7*0.01</f>
        <v>86.354100000000003</v>
      </c>
      <c r="I17" s="5">
        <f>D7*0.01</f>
        <v>86.831400000000002</v>
      </c>
      <c r="R17" t="s">
        <v>58</v>
      </c>
      <c r="T17">
        <f>FLOOR(4.45,1)</f>
        <v>4</v>
      </c>
    </row>
    <row r="18" spans="1:20" x14ac:dyDescent="0.25">
      <c r="F18" s="13" t="s">
        <v>34</v>
      </c>
      <c r="G18" s="2">
        <f>B7*0.0765</f>
        <v>682.10536500000001</v>
      </c>
      <c r="H18" s="2">
        <f>C7*0.0765</f>
        <v>660.60886499999992</v>
      </c>
      <c r="I18" s="2">
        <f>D7*0.0765</f>
        <v>664.26020999999992</v>
      </c>
      <c r="R18" t="s">
        <v>57</v>
      </c>
      <c r="T18">
        <f>FLOOR(4.45,3)</f>
        <v>3</v>
      </c>
    </row>
    <row r="19" spans="1:20" ht="16.5" thickBot="1" x14ac:dyDescent="0.3">
      <c r="A19" s="15" t="s">
        <v>16</v>
      </c>
      <c r="F19" s="3" t="s">
        <v>31</v>
      </c>
      <c r="G19" s="12">
        <f>SUM(G15:G18)</f>
        <v>1857.3773670999999</v>
      </c>
      <c r="H19" s="12">
        <f>SUM(H15:H18)</f>
        <v>1798.8422570999999</v>
      </c>
      <c r="I19" s="12">
        <f>SUM(I15:I18)</f>
        <v>1808.7848933999999</v>
      </c>
      <c r="R19" t="s">
        <v>59</v>
      </c>
      <c r="T19">
        <f>LEN("Hello World")</f>
        <v>11</v>
      </c>
    </row>
    <row r="20" spans="1:20" ht="17.25" thickTop="1" thickBot="1" x14ac:dyDescent="0.3">
      <c r="A20" s="3" t="s">
        <v>14</v>
      </c>
      <c r="B20" s="6">
        <v>183.42</v>
      </c>
      <c r="C20" s="7">
        <v>192.09</v>
      </c>
      <c r="D20" s="7">
        <v>178.12</v>
      </c>
      <c r="K20" s="15" t="s">
        <v>41</v>
      </c>
      <c r="L20" s="22">
        <v>44927</v>
      </c>
      <c r="M20" s="22">
        <v>44958</v>
      </c>
      <c r="N20" s="22">
        <v>44986</v>
      </c>
      <c r="O20" s="15" t="s">
        <v>42</v>
      </c>
      <c r="P20" s="15" t="s">
        <v>43</v>
      </c>
      <c r="R20" t="s">
        <v>60</v>
      </c>
      <c r="T20" t="str">
        <f>REPLACE(R20,3,4,"like")</f>
        <v>I like you</v>
      </c>
    </row>
    <row r="21" spans="1:20" ht="15.75" thickTop="1" x14ac:dyDescent="0.25">
      <c r="A21" s="3" t="s">
        <v>15</v>
      </c>
      <c r="B21" s="8">
        <v>0</v>
      </c>
      <c r="C21" s="9">
        <v>93.4</v>
      </c>
      <c r="D21" s="9">
        <v>0</v>
      </c>
      <c r="F21" s="16" t="s">
        <v>33</v>
      </c>
      <c r="G21" s="29">
        <f>B7-SUM(B10:B28)-SUM(G5:G18)</f>
        <v>4617.072632899999</v>
      </c>
      <c r="H21" s="29">
        <f>C7-SUM(C10:C28)-SUM(H5:H18)</f>
        <v>4856.0077428999994</v>
      </c>
      <c r="I21" s="29">
        <f>D7-SUM(D10:D28)-SUM(I5:I18)</f>
        <v>4911.6951066000001</v>
      </c>
      <c r="R21" t="s">
        <v>61</v>
      </c>
      <c r="T21" t="str">
        <f>SUBSTITUTE(R21,"He","She",1)</f>
        <v>She eats pizza</v>
      </c>
    </row>
    <row r="22" spans="1:20" x14ac:dyDescent="0.25">
      <c r="A22" s="3" t="s">
        <v>13</v>
      </c>
      <c r="B22" s="6">
        <v>0</v>
      </c>
      <c r="C22" s="7">
        <v>0</v>
      </c>
      <c r="D22" s="7">
        <v>0</v>
      </c>
      <c r="K22" t="s">
        <v>36</v>
      </c>
      <c r="L22" s="18">
        <f>B10</f>
        <v>139.53</v>
      </c>
      <c r="M22" s="18">
        <f t="shared" ref="M22:N22" si="1">C10</f>
        <v>139.53</v>
      </c>
      <c r="N22" s="18">
        <f t="shared" si="1"/>
        <v>139.53</v>
      </c>
      <c r="O22" s="19">
        <f t="shared" ref="O22:O33" si="2">SUM(M22:N22)</f>
        <v>279.06</v>
      </c>
      <c r="P22" s="17">
        <f>O22/$O$34</f>
        <v>7.658803672141945E-2</v>
      </c>
      <c r="R22" t="s">
        <v>62</v>
      </c>
      <c r="T22" t="str">
        <f>UPPER(R22)</f>
        <v>THE DOG SLEEPS</v>
      </c>
    </row>
    <row r="23" spans="1:20" x14ac:dyDescent="0.25">
      <c r="B23" s="10"/>
      <c r="C23" s="10"/>
      <c r="D23" s="10"/>
      <c r="F23" s="27" t="s">
        <v>69</v>
      </c>
      <c r="G23" s="28">
        <f>AVERAGE(G21:I21)</f>
        <v>4794.9251607999995</v>
      </c>
      <c r="I23" t="s">
        <v>70</v>
      </c>
      <c r="K23" s="14" t="s">
        <v>7</v>
      </c>
      <c r="L23" s="18">
        <f>B11</f>
        <v>230.34</v>
      </c>
      <c r="M23" s="18">
        <f t="shared" ref="M23:N23" si="3">C11</f>
        <v>238.56</v>
      </c>
      <c r="N23" s="18">
        <f t="shared" si="3"/>
        <v>227.67</v>
      </c>
      <c r="O23" s="19">
        <f t="shared" si="2"/>
        <v>466.23</v>
      </c>
      <c r="P23" s="17">
        <f t="shared" ref="P23:P33" si="4">O23/$O$34</f>
        <v>0.12795685644889054</v>
      </c>
      <c r="T23" t="str">
        <f>LOWER(R22)</f>
        <v>the dog sleeps</v>
      </c>
    </row>
    <row r="24" spans="1:20" x14ac:dyDescent="0.25">
      <c r="A24" s="3" t="s">
        <v>17</v>
      </c>
      <c r="B24" s="10"/>
      <c r="C24" s="10"/>
      <c r="D24" s="10"/>
      <c r="K24" t="s">
        <v>8</v>
      </c>
      <c r="L24" s="18">
        <f>B12</f>
        <v>101.23</v>
      </c>
      <c r="M24" s="18">
        <f t="shared" ref="M24:N24" si="5">C12</f>
        <v>117.98</v>
      </c>
      <c r="N24" s="18">
        <f t="shared" si="5"/>
        <v>98.07</v>
      </c>
      <c r="O24" s="19">
        <f t="shared" si="2"/>
        <v>216.05</v>
      </c>
      <c r="P24" s="17">
        <f t="shared" si="4"/>
        <v>5.9294937768446479E-2</v>
      </c>
      <c r="T24" t="str">
        <f>PROPER(R22)</f>
        <v>The Dog Sleeps</v>
      </c>
    </row>
    <row r="25" spans="1:20" x14ac:dyDescent="0.25">
      <c r="A25" s="3" t="s">
        <v>18</v>
      </c>
      <c r="B25" s="6">
        <v>123.83</v>
      </c>
      <c r="C25" s="7">
        <v>123.83</v>
      </c>
      <c r="D25" s="7">
        <v>123.83</v>
      </c>
      <c r="K25" s="14" t="s">
        <v>37</v>
      </c>
      <c r="L25" s="18">
        <f>B13</f>
        <v>31.17</v>
      </c>
      <c r="M25" s="18">
        <f t="shared" ref="M25:N25" si="6">C13</f>
        <v>32.979999999999997</v>
      </c>
      <c r="N25" s="18">
        <f t="shared" si="6"/>
        <v>33.97</v>
      </c>
      <c r="O25" s="19">
        <f t="shared" si="2"/>
        <v>66.949999999999989</v>
      </c>
      <c r="P25" s="17">
        <f t="shared" si="4"/>
        <v>1.8374432231416295E-2</v>
      </c>
    </row>
    <row r="26" spans="1:20" x14ac:dyDescent="0.25">
      <c r="A26" s="3" t="s">
        <v>19</v>
      </c>
      <c r="B26" s="8">
        <v>0</v>
      </c>
      <c r="C26" s="9">
        <v>0</v>
      </c>
      <c r="D26" s="9">
        <v>0</v>
      </c>
      <c r="K26" t="s">
        <v>38</v>
      </c>
      <c r="L26" s="21">
        <f>B15</f>
        <v>560.41999999999996</v>
      </c>
      <c r="M26" s="21">
        <f t="shared" ref="M26:N26" si="7">C15</f>
        <v>598.32000000000005</v>
      </c>
      <c r="N26" s="21">
        <f t="shared" si="7"/>
        <v>604.21</v>
      </c>
      <c r="O26" s="19">
        <f t="shared" si="2"/>
        <v>1202.5300000000002</v>
      </c>
      <c r="P26" s="17">
        <f t="shared" si="4"/>
        <v>0.33003444348386923</v>
      </c>
      <c r="R26" t="s">
        <v>63</v>
      </c>
      <c r="T26" s="23">
        <f ca="1">NOW()</f>
        <v>45040.881954745368</v>
      </c>
    </row>
    <row r="27" spans="1:20" x14ac:dyDescent="0.25">
      <c r="A27" s="3" t="s">
        <v>20</v>
      </c>
      <c r="B27" s="6">
        <v>109</v>
      </c>
      <c r="C27" s="7">
        <v>109</v>
      </c>
      <c r="D27" s="7">
        <v>109</v>
      </c>
      <c r="K27" s="14" t="s">
        <v>14</v>
      </c>
      <c r="L27" s="20">
        <f>B20</f>
        <v>183.42</v>
      </c>
      <c r="M27" s="20">
        <f t="shared" ref="M27:N27" si="8">C20</f>
        <v>192.09</v>
      </c>
      <c r="N27" s="20">
        <f t="shared" si="8"/>
        <v>178.12</v>
      </c>
      <c r="O27" s="19">
        <f t="shared" si="2"/>
        <v>370.21000000000004</v>
      </c>
      <c r="P27" s="17">
        <f t="shared" si="4"/>
        <v>0.10160416066307137</v>
      </c>
      <c r="R27" t="s">
        <v>64</v>
      </c>
      <c r="T27" s="24">
        <f ca="1">TODAY()</f>
        <v>45040</v>
      </c>
    </row>
    <row r="28" spans="1:20" x14ac:dyDescent="0.25">
      <c r="A28" s="3" t="s">
        <v>13</v>
      </c>
      <c r="B28" s="8">
        <v>0</v>
      </c>
      <c r="C28" s="9">
        <v>0</v>
      </c>
      <c r="D28" s="9">
        <v>0</v>
      </c>
      <c r="K28" t="s">
        <v>39</v>
      </c>
      <c r="L28" s="21">
        <f>B25</f>
        <v>123.83</v>
      </c>
      <c r="M28" s="21">
        <f t="shared" ref="M28:N28" si="9">C25</f>
        <v>123.83</v>
      </c>
      <c r="N28" s="21">
        <f t="shared" si="9"/>
        <v>123.83</v>
      </c>
      <c r="O28" s="19">
        <f t="shared" si="2"/>
        <v>247.66</v>
      </c>
      <c r="P28" s="17">
        <f t="shared" si="4"/>
        <v>6.7970304502353404E-2</v>
      </c>
      <c r="R28" t="s">
        <v>65</v>
      </c>
      <c r="T28">
        <f ca="1">DAY(TODAY())</f>
        <v>24</v>
      </c>
    </row>
    <row r="29" spans="1:20" x14ac:dyDescent="0.25">
      <c r="K29" s="14" t="s">
        <v>40</v>
      </c>
      <c r="L29" s="20">
        <f>G5</f>
        <v>45</v>
      </c>
      <c r="M29" s="20">
        <f t="shared" ref="M29:N29" si="10">H5</f>
        <v>45</v>
      </c>
      <c r="N29" s="20">
        <f t="shared" si="10"/>
        <v>45</v>
      </c>
      <c r="O29" s="19">
        <f t="shared" si="2"/>
        <v>90</v>
      </c>
      <c r="P29" s="17">
        <f t="shared" si="4"/>
        <v>2.4700506360380386E-2</v>
      </c>
      <c r="R29" t="s">
        <v>66</v>
      </c>
      <c r="T29">
        <f ca="1">MONTH(TODAY())</f>
        <v>4</v>
      </c>
    </row>
    <row r="30" spans="1:20" x14ac:dyDescent="0.25">
      <c r="K30" t="s">
        <v>22</v>
      </c>
      <c r="L30" s="21">
        <f>G5</f>
        <v>45</v>
      </c>
      <c r="M30" s="21">
        <f t="shared" ref="M30:N30" si="11">H5</f>
        <v>45</v>
      </c>
      <c r="N30" s="21">
        <f t="shared" si="11"/>
        <v>45</v>
      </c>
      <c r="O30" s="19">
        <f t="shared" si="2"/>
        <v>90</v>
      </c>
      <c r="P30" s="17">
        <f t="shared" si="4"/>
        <v>2.4700506360380386E-2</v>
      </c>
      <c r="R30" t="s">
        <v>67</v>
      </c>
      <c r="T30">
        <f ca="1">YEAR(TODAY())</f>
        <v>2023</v>
      </c>
    </row>
    <row r="31" spans="1:20" x14ac:dyDescent="0.25">
      <c r="K31" s="14" t="s">
        <v>23</v>
      </c>
      <c r="L31" s="20">
        <f>G6</f>
        <v>8.99</v>
      </c>
      <c r="M31" s="20">
        <f t="shared" ref="M31:N31" si="12">H6</f>
        <v>8.99</v>
      </c>
      <c r="N31" s="20">
        <f t="shared" si="12"/>
        <v>8.99</v>
      </c>
      <c r="O31" s="19">
        <f t="shared" si="2"/>
        <v>17.98</v>
      </c>
      <c r="P31" s="17">
        <f t="shared" si="4"/>
        <v>4.9346122706626595E-3</v>
      </c>
    </row>
    <row r="32" spans="1:20" x14ac:dyDescent="0.25">
      <c r="K32" t="s">
        <v>24</v>
      </c>
      <c r="L32" s="21">
        <f>G7</f>
        <v>4.99</v>
      </c>
      <c r="M32" s="21">
        <f t="shared" ref="M32:N32" si="13">H7</f>
        <v>0</v>
      </c>
      <c r="N32" s="21">
        <f t="shared" si="13"/>
        <v>63.98</v>
      </c>
      <c r="O32" s="19">
        <f t="shared" si="2"/>
        <v>63.98</v>
      </c>
      <c r="P32" s="17">
        <f t="shared" si="4"/>
        <v>1.7559315521523747E-2</v>
      </c>
    </row>
    <row r="33" spans="11:16" x14ac:dyDescent="0.25">
      <c r="K33" s="14" t="s">
        <v>25</v>
      </c>
      <c r="L33" s="20">
        <f>G8</f>
        <v>290.12</v>
      </c>
      <c r="M33" s="20">
        <f t="shared" ref="M33:N33" si="14">H8</f>
        <v>234.9</v>
      </c>
      <c r="N33" s="20">
        <f t="shared" si="14"/>
        <v>298.10000000000002</v>
      </c>
      <c r="O33" s="19">
        <f t="shared" si="2"/>
        <v>533</v>
      </c>
      <c r="P33" s="17">
        <f t="shared" si="4"/>
        <v>0.14628188766758607</v>
      </c>
    </row>
    <row r="34" spans="11:16" x14ac:dyDescent="0.25">
      <c r="K34" s="16" t="s">
        <v>42</v>
      </c>
      <c r="L34" s="26">
        <f>SUM(L22:L33)</f>
        <v>1764.04</v>
      </c>
      <c r="M34" s="26">
        <f>SUM(M22:M33)</f>
        <v>1777.18</v>
      </c>
      <c r="N34" s="26">
        <f>SUM(N22:N33)</f>
        <v>1866.4700000000003</v>
      </c>
      <c r="O34" s="26">
        <f>SUM(O22:O33)</f>
        <v>3643.65</v>
      </c>
      <c r="P34" s="19"/>
    </row>
  </sheetData>
  <mergeCells count="1">
    <mergeCell ref="A1:C1"/>
  </mergeCells>
  <conditionalFormatting sqref="L5:N16">
    <cfRule type="cellIs" dxfId="11" priority="1" operator="greaterThan">
      <formula>0.0275</formula>
    </cfRule>
    <cfRule type="cellIs" dxfId="10" priority="2" operator="greaterThan">
      <formula>0.275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3F418-4E5F-4926-A3FD-4F760ED0B666}">
  <dimension ref="A1:R40"/>
  <sheetViews>
    <sheetView topLeftCell="E1" workbookViewId="0">
      <selection activeCell="K10" sqref="K10"/>
    </sheetView>
  </sheetViews>
  <sheetFormatPr defaultRowHeight="15" x14ac:dyDescent="0.25"/>
  <cols>
    <col min="1" max="1" width="11.140625" bestFit="1" customWidth="1"/>
    <col min="2" max="2" width="15.5703125" bestFit="1" customWidth="1"/>
    <col min="3" max="3" width="11.140625" bestFit="1" customWidth="1"/>
    <col min="4" max="4" width="11.140625" style="43" bestFit="1" customWidth="1"/>
    <col min="5" max="5" width="11.140625" bestFit="1" customWidth="1"/>
    <col min="6" max="6" width="12.28515625" customWidth="1"/>
    <col min="7" max="7" width="14.7109375" customWidth="1"/>
    <col min="8" max="8" width="11.7109375" customWidth="1"/>
    <col min="9" max="9" width="9.140625" bestFit="1" customWidth="1"/>
    <col min="10" max="11" width="12.140625" bestFit="1" customWidth="1"/>
    <col min="12" max="12" width="7.140625" customWidth="1"/>
    <col min="13" max="13" width="13.85546875" customWidth="1"/>
    <col min="15" max="15" width="25.5703125" bestFit="1" customWidth="1"/>
    <col min="16" max="16" width="14.28515625" bestFit="1" customWidth="1"/>
    <col min="17" max="17" width="13.85546875" bestFit="1" customWidth="1"/>
  </cols>
  <sheetData>
    <row r="1" spans="1:18" ht="15.75" thickBot="1" x14ac:dyDescent="0.3">
      <c r="A1" s="27" t="s">
        <v>71</v>
      </c>
      <c r="B1" s="36" t="s">
        <v>72</v>
      </c>
      <c r="C1" s="36" t="s">
        <v>73</v>
      </c>
      <c r="D1" s="40" t="s">
        <v>74</v>
      </c>
      <c r="E1" s="36" t="s">
        <v>29</v>
      </c>
      <c r="F1" s="36" t="s">
        <v>75</v>
      </c>
      <c r="G1" s="36" t="s">
        <v>76</v>
      </c>
      <c r="H1" s="36" t="s">
        <v>77</v>
      </c>
      <c r="I1" s="36" t="s">
        <v>78</v>
      </c>
      <c r="J1" s="36" t="s">
        <v>79</v>
      </c>
      <c r="K1" s="36" t="s">
        <v>66</v>
      </c>
      <c r="L1" s="36" t="s">
        <v>67</v>
      </c>
      <c r="M1" s="36" t="s">
        <v>80</v>
      </c>
      <c r="O1" t="s">
        <v>131</v>
      </c>
      <c r="P1" s="44">
        <f>SUM(Table1[Sale Price])</f>
        <v>32649.610000000026</v>
      </c>
      <c r="Q1" t="s">
        <v>132</v>
      </c>
      <c r="R1">
        <f>SUBTOTAL(9,Table1[Sale Price])</f>
        <v>32649.610000000026</v>
      </c>
    </row>
    <row r="2" spans="1:18" ht="16.5" thickBot="1" x14ac:dyDescent="0.3">
      <c r="A2" s="33">
        <v>1</v>
      </c>
      <c r="B2" s="30" t="s">
        <v>104</v>
      </c>
      <c r="C2" s="30" t="s">
        <v>93</v>
      </c>
      <c r="D2" s="41">
        <v>43</v>
      </c>
      <c r="E2" s="30" t="s">
        <v>89</v>
      </c>
      <c r="F2" s="30" t="s">
        <v>126</v>
      </c>
      <c r="G2" s="30" t="s">
        <v>115</v>
      </c>
      <c r="H2" s="37">
        <v>479.99</v>
      </c>
      <c r="I2" s="37">
        <v>143.38999999999999</v>
      </c>
      <c r="J2" s="30" t="s">
        <v>102</v>
      </c>
      <c r="K2" s="30" t="s">
        <v>114</v>
      </c>
      <c r="L2" s="30">
        <v>2018</v>
      </c>
      <c r="M2" s="30">
        <v>9</v>
      </c>
      <c r="O2" s="15" t="s">
        <v>76</v>
      </c>
      <c r="P2" s="15" t="s">
        <v>133</v>
      </c>
      <c r="Q2" s="15" t="s">
        <v>78</v>
      </c>
    </row>
    <row r="3" spans="1:18" ht="15.75" thickTop="1" x14ac:dyDescent="0.25">
      <c r="A3" s="34">
        <v>2</v>
      </c>
      <c r="B3" s="31" t="s">
        <v>116</v>
      </c>
      <c r="C3" s="31" t="s">
        <v>82</v>
      </c>
      <c r="D3" s="42">
        <v>37</v>
      </c>
      <c r="E3" s="31" t="s">
        <v>117</v>
      </c>
      <c r="F3" s="31" t="s">
        <v>118</v>
      </c>
      <c r="G3" s="31" t="s">
        <v>115</v>
      </c>
      <c r="H3" s="38">
        <v>1249.99</v>
      </c>
      <c r="I3" s="38">
        <v>230.89</v>
      </c>
      <c r="J3" s="31" t="s">
        <v>86</v>
      </c>
      <c r="K3" s="31" t="s">
        <v>114</v>
      </c>
      <c r="L3" s="31">
        <v>2018</v>
      </c>
      <c r="M3" s="31">
        <v>13</v>
      </c>
      <c r="O3" t="s">
        <v>85</v>
      </c>
      <c r="P3">
        <f>DSUM(Table1[#All],Table1[[#Headers],[Sale Price]],O2:O3)</f>
        <v>19299.770000000004</v>
      </c>
      <c r="Q3">
        <f>DSUM(Table1[#All],Table1[[#Headers],[Profit]],O2:O3)</f>
        <v>2875.8200000000006</v>
      </c>
    </row>
    <row r="4" spans="1:18" x14ac:dyDescent="0.25">
      <c r="A4" s="34">
        <v>3</v>
      </c>
      <c r="B4" s="31" t="s">
        <v>124</v>
      </c>
      <c r="C4" s="31" t="s">
        <v>93</v>
      </c>
      <c r="D4" s="42">
        <v>26</v>
      </c>
      <c r="E4" s="31" t="s">
        <v>83</v>
      </c>
      <c r="F4" s="31" t="s">
        <v>125</v>
      </c>
      <c r="G4" s="31" t="s">
        <v>115</v>
      </c>
      <c r="H4" s="38">
        <v>649.99</v>
      </c>
      <c r="I4" s="38">
        <v>118.64</v>
      </c>
      <c r="J4" s="31" t="s">
        <v>102</v>
      </c>
      <c r="K4" s="31" t="s">
        <v>91</v>
      </c>
      <c r="L4" s="31">
        <v>2018</v>
      </c>
      <c r="M4" s="31">
        <v>25</v>
      </c>
    </row>
    <row r="5" spans="1:18" ht="16.5" thickBot="1" x14ac:dyDescent="0.3">
      <c r="A5" s="34">
        <v>4</v>
      </c>
      <c r="B5" s="31" t="s">
        <v>92</v>
      </c>
      <c r="C5" s="31" t="s">
        <v>93</v>
      </c>
      <c r="D5" s="42">
        <v>35</v>
      </c>
      <c r="E5" s="31" t="s">
        <v>83</v>
      </c>
      <c r="F5" s="31" t="s">
        <v>120</v>
      </c>
      <c r="G5" s="31" t="s">
        <v>85</v>
      </c>
      <c r="H5" s="38">
        <v>399.99</v>
      </c>
      <c r="I5" s="38">
        <v>72.09</v>
      </c>
      <c r="J5" s="31" t="s">
        <v>102</v>
      </c>
      <c r="K5" s="31" t="s">
        <v>87</v>
      </c>
      <c r="L5" s="31">
        <v>2018</v>
      </c>
      <c r="M5" s="31">
        <v>11</v>
      </c>
      <c r="O5" s="15" t="s">
        <v>75</v>
      </c>
      <c r="P5" s="15" t="s">
        <v>133</v>
      </c>
    </row>
    <row r="6" spans="1:18" ht="15.75" thickTop="1" x14ac:dyDescent="0.25">
      <c r="A6" s="35">
        <v>5</v>
      </c>
      <c r="B6" s="32" t="s">
        <v>81</v>
      </c>
      <c r="C6" s="32" t="s">
        <v>82</v>
      </c>
      <c r="D6" s="42">
        <v>55</v>
      </c>
      <c r="E6" s="32" t="s">
        <v>83</v>
      </c>
      <c r="F6" s="32" t="s">
        <v>84</v>
      </c>
      <c r="G6" s="32" t="s">
        <v>85</v>
      </c>
      <c r="H6" s="39">
        <v>699.99</v>
      </c>
      <c r="I6" s="39">
        <v>98.09</v>
      </c>
      <c r="J6" s="32" t="s">
        <v>86</v>
      </c>
      <c r="K6" s="32" t="s">
        <v>87</v>
      </c>
      <c r="L6" s="32">
        <v>2018</v>
      </c>
      <c r="M6" s="32">
        <v>10</v>
      </c>
      <c r="O6" t="s">
        <v>134</v>
      </c>
      <c r="P6">
        <f>DSUM(Table1[#All],Table1[[#Headers],[Sale Price]],O5:O6)</f>
        <v>13099.9</v>
      </c>
    </row>
    <row r="7" spans="1:18" x14ac:dyDescent="0.25">
      <c r="A7" s="34">
        <v>6</v>
      </c>
      <c r="B7" s="31" t="s">
        <v>100</v>
      </c>
      <c r="C7" s="31" t="s">
        <v>82</v>
      </c>
      <c r="D7" s="42">
        <v>45</v>
      </c>
      <c r="E7" s="31" t="s">
        <v>83</v>
      </c>
      <c r="F7" s="31" t="s">
        <v>118</v>
      </c>
      <c r="G7" s="31" t="s">
        <v>115</v>
      </c>
      <c r="H7" s="38">
        <v>1249.99</v>
      </c>
      <c r="I7" s="38">
        <v>230.89</v>
      </c>
      <c r="J7" s="31" t="s">
        <v>112</v>
      </c>
      <c r="K7" s="31" t="s">
        <v>103</v>
      </c>
      <c r="L7" s="31">
        <v>2018</v>
      </c>
      <c r="M7" s="31">
        <v>23</v>
      </c>
    </row>
    <row r="8" spans="1:18" ht="16.5" thickBot="1" x14ac:dyDescent="0.3">
      <c r="A8" s="35">
        <v>7</v>
      </c>
      <c r="B8" s="32" t="s">
        <v>106</v>
      </c>
      <c r="C8" s="32" t="s">
        <v>82</v>
      </c>
      <c r="D8" s="42">
        <v>46</v>
      </c>
      <c r="E8" s="32" t="s">
        <v>89</v>
      </c>
      <c r="F8" s="32" t="s">
        <v>107</v>
      </c>
      <c r="G8" s="32" t="s">
        <v>85</v>
      </c>
      <c r="H8" s="39">
        <v>1349.99</v>
      </c>
      <c r="I8" s="39">
        <v>180.34</v>
      </c>
      <c r="J8" s="32" t="s">
        <v>90</v>
      </c>
      <c r="K8" s="32" t="s">
        <v>108</v>
      </c>
      <c r="L8" s="32">
        <v>2018</v>
      </c>
      <c r="M8" s="32">
        <v>24</v>
      </c>
      <c r="O8" s="15" t="s">
        <v>135</v>
      </c>
      <c r="P8" s="15"/>
    </row>
    <row r="9" spans="1:18" ht="17.25" thickTop="1" thickBot="1" x14ac:dyDescent="0.3">
      <c r="A9" s="34">
        <v>8</v>
      </c>
      <c r="B9" s="31" t="s">
        <v>122</v>
      </c>
      <c r="C9" s="31" t="s">
        <v>93</v>
      </c>
      <c r="D9" s="42">
        <v>23</v>
      </c>
      <c r="E9" s="31" t="s">
        <v>89</v>
      </c>
      <c r="F9" s="31" t="s">
        <v>128</v>
      </c>
      <c r="G9" s="31" t="s">
        <v>123</v>
      </c>
      <c r="H9" s="38">
        <v>999.99</v>
      </c>
      <c r="I9" s="38">
        <v>146.69</v>
      </c>
      <c r="J9" s="31" t="s">
        <v>102</v>
      </c>
      <c r="K9" s="31" t="s">
        <v>97</v>
      </c>
      <c r="L9" s="31">
        <v>2018</v>
      </c>
      <c r="M9" s="31">
        <v>13</v>
      </c>
      <c r="O9" s="15" t="s">
        <v>71</v>
      </c>
      <c r="P9" s="15" t="s">
        <v>75</v>
      </c>
    </row>
    <row r="10" spans="1:18" ht="15.75" thickTop="1" x14ac:dyDescent="0.25">
      <c r="A10" s="35">
        <v>9</v>
      </c>
      <c r="B10" s="32" t="s">
        <v>95</v>
      </c>
      <c r="C10" s="32" t="s">
        <v>93</v>
      </c>
      <c r="D10" s="42">
        <v>52</v>
      </c>
      <c r="E10" s="32" t="s">
        <v>89</v>
      </c>
      <c r="F10" s="32" t="s">
        <v>96</v>
      </c>
      <c r="G10" s="32" t="s">
        <v>85</v>
      </c>
      <c r="H10" s="39">
        <v>649.99</v>
      </c>
      <c r="I10" s="39">
        <v>122.34</v>
      </c>
      <c r="J10" s="32" t="s">
        <v>90</v>
      </c>
      <c r="K10" s="32" t="s">
        <v>97</v>
      </c>
      <c r="L10" s="32">
        <v>2018</v>
      </c>
      <c r="M10" s="32">
        <v>20</v>
      </c>
      <c r="O10" t="s">
        <v>136</v>
      </c>
      <c r="P10" t="s">
        <v>137</v>
      </c>
    </row>
    <row r="11" spans="1:18" x14ac:dyDescent="0.25">
      <c r="A11" s="34">
        <v>10</v>
      </c>
      <c r="B11" s="31" t="s">
        <v>127</v>
      </c>
      <c r="C11" s="31" t="s">
        <v>93</v>
      </c>
      <c r="D11" s="42">
        <v>56</v>
      </c>
      <c r="E11" s="31" t="s">
        <v>117</v>
      </c>
      <c r="F11" s="31" t="s">
        <v>126</v>
      </c>
      <c r="G11" s="31" t="s">
        <v>115</v>
      </c>
      <c r="H11" s="38">
        <v>479.99</v>
      </c>
      <c r="I11" s="38">
        <v>143.38999999999999</v>
      </c>
      <c r="J11" s="31" t="s">
        <v>112</v>
      </c>
      <c r="K11" s="31" t="s">
        <v>105</v>
      </c>
      <c r="L11" s="31">
        <v>2018</v>
      </c>
      <c r="M11" s="31">
        <v>20</v>
      </c>
    </row>
    <row r="12" spans="1:18" x14ac:dyDescent="0.25">
      <c r="A12" s="35">
        <v>11</v>
      </c>
      <c r="B12" s="32" t="s">
        <v>109</v>
      </c>
      <c r="C12" s="32" t="s">
        <v>93</v>
      </c>
      <c r="D12" s="42">
        <v>49</v>
      </c>
      <c r="E12" s="32" t="s">
        <v>83</v>
      </c>
      <c r="F12" s="32" t="s">
        <v>107</v>
      </c>
      <c r="G12" s="32" t="s">
        <v>85</v>
      </c>
      <c r="H12" s="39">
        <v>1349.99</v>
      </c>
      <c r="I12" s="39">
        <v>180.34</v>
      </c>
      <c r="J12" s="32" t="s">
        <v>110</v>
      </c>
      <c r="K12" s="32" t="s">
        <v>99</v>
      </c>
      <c r="L12" s="32">
        <v>2018</v>
      </c>
      <c r="M12" s="32">
        <v>9</v>
      </c>
      <c r="O12" t="s">
        <v>138</v>
      </c>
      <c r="P12">
        <f>DSUM(Table1[#All],Table1[[#Headers],[Sale Price]],O9:P10)</f>
        <v>1449.97</v>
      </c>
    </row>
    <row r="13" spans="1:18" x14ac:dyDescent="0.25">
      <c r="A13" s="34">
        <v>12</v>
      </c>
      <c r="B13" s="31" t="s">
        <v>119</v>
      </c>
      <c r="C13" s="31" t="s">
        <v>82</v>
      </c>
      <c r="D13" s="42">
        <v>54</v>
      </c>
      <c r="E13" s="31" t="s">
        <v>89</v>
      </c>
      <c r="F13" s="31" t="s">
        <v>118</v>
      </c>
      <c r="G13" s="31" t="s">
        <v>115</v>
      </c>
      <c r="H13" s="38">
        <v>1249.99</v>
      </c>
      <c r="I13" s="38">
        <v>230.89</v>
      </c>
      <c r="J13" s="31" t="s">
        <v>112</v>
      </c>
      <c r="K13" s="31" t="s">
        <v>99</v>
      </c>
      <c r="L13" s="31">
        <v>2018</v>
      </c>
      <c r="M13" s="31">
        <v>13</v>
      </c>
    </row>
    <row r="14" spans="1:18" ht="16.5" thickBot="1" x14ac:dyDescent="0.3">
      <c r="A14" s="34">
        <v>13</v>
      </c>
      <c r="B14" s="31" t="s">
        <v>98</v>
      </c>
      <c r="C14" s="31" t="s">
        <v>93</v>
      </c>
      <c r="D14" s="42">
        <v>57</v>
      </c>
      <c r="E14" s="31" t="s">
        <v>83</v>
      </c>
      <c r="F14" s="31" t="s">
        <v>96</v>
      </c>
      <c r="G14" s="31" t="s">
        <v>85</v>
      </c>
      <c r="H14" s="38">
        <v>649.99</v>
      </c>
      <c r="I14" s="38">
        <v>122.34</v>
      </c>
      <c r="J14" s="31" t="s">
        <v>90</v>
      </c>
      <c r="K14" s="31" t="s">
        <v>99</v>
      </c>
      <c r="L14" s="31">
        <v>2018</v>
      </c>
      <c r="M14" s="31">
        <v>24</v>
      </c>
      <c r="O14" s="15" t="s">
        <v>76</v>
      </c>
      <c r="P14" s="15" t="s">
        <v>133</v>
      </c>
    </row>
    <row r="15" spans="1:18" ht="15.75" thickTop="1" x14ac:dyDescent="0.25">
      <c r="A15" s="34">
        <v>14</v>
      </c>
      <c r="B15" s="31" t="s">
        <v>111</v>
      </c>
      <c r="C15" s="31" t="s">
        <v>93</v>
      </c>
      <c r="D15" s="42">
        <v>51</v>
      </c>
      <c r="E15" s="31" t="s">
        <v>83</v>
      </c>
      <c r="F15" s="31" t="s">
        <v>125</v>
      </c>
      <c r="G15" s="31" t="s">
        <v>115</v>
      </c>
      <c r="H15" s="38">
        <v>649.99</v>
      </c>
      <c r="I15" s="38">
        <v>118.64</v>
      </c>
      <c r="J15" s="31" t="s">
        <v>102</v>
      </c>
      <c r="K15" s="31" t="s">
        <v>94</v>
      </c>
      <c r="L15" s="31">
        <v>2018</v>
      </c>
      <c r="M15" s="31">
        <v>11</v>
      </c>
      <c r="O15" t="s">
        <v>115</v>
      </c>
      <c r="P15">
        <f>DSUM(Table1[#All],Table1[[#Headers],[Sale Price]],O14:O16)</f>
        <v>28649.65000000002</v>
      </c>
    </row>
    <row r="16" spans="1:18" x14ac:dyDescent="0.25">
      <c r="A16" s="34">
        <v>15</v>
      </c>
      <c r="B16" s="31" t="s">
        <v>129</v>
      </c>
      <c r="C16" s="31" t="s">
        <v>93</v>
      </c>
      <c r="D16" s="42">
        <v>56</v>
      </c>
      <c r="E16" s="31" t="s">
        <v>89</v>
      </c>
      <c r="F16" s="31" t="s">
        <v>128</v>
      </c>
      <c r="G16" s="31" t="s">
        <v>123</v>
      </c>
      <c r="H16" s="38">
        <v>999.99</v>
      </c>
      <c r="I16" s="38">
        <v>146.69</v>
      </c>
      <c r="J16" s="31" t="s">
        <v>113</v>
      </c>
      <c r="K16" s="31" t="s">
        <v>94</v>
      </c>
      <c r="L16" s="31">
        <v>2018</v>
      </c>
      <c r="M16" s="31">
        <v>9</v>
      </c>
      <c r="O16" t="s">
        <v>85</v>
      </c>
    </row>
    <row r="17" spans="1:16" x14ac:dyDescent="0.25">
      <c r="A17" s="35">
        <v>16</v>
      </c>
      <c r="B17" s="32" t="s">
        <v>121</v>
      </c>
      <c r="C17" s="32" t="s">
        <v>82</v>
      </c>
      <c r="D17" s="42">
        <v>49</v>
      </c>
      <c r="E17" s="32" t="s">
        <v>83</v>
      </c>
      <c r="F17" s="32" t="s">
        <v>120</v>
      </c>
      <c r="G17" s="32" t="s">
        <v>85</v>
      </c>
      <c r="H17" s="39">
        <v>399.99</v>
      </c>
      <c r="I17" s="39">
        <v>72.09</v>
      </c>
      <c r="J17" s="32" t="s">
        <v>112</v>
      </c>
      <c r="K17" s="32" t="s">
        <v>114</v>
      </c>
      <c r="L17" s="32">
        <v>2019</v>
      </c>
      <c r="M17" s="32">
        <v>11</v>
      </c>
    </row>
    <row r="18" spans="1:16" ht="16.5" thickBot="1" x14ac:dyDescent="0.3">
      <c r="A18" s="34">
        <v>17</v>
      </c>
      <c r="B18" s="31" t="s">
        <v>88</v>
      </c>
      <c r="C18" s="31" t="s">
        <v>82</v>
      </c>
      <c r="D18" s="42">
        <v>46</v>
      </c>
      <c r="E18" s="31" t="s">
        <v>89</v>
      </c>
      <c r="F18" s="31" t="s">
        <v>84</v>
      </c>
      <c r="G18" s="31" t="s">
        <v>85</v>
      </c>
      <c r="H18" s="38">
        <v>699.99</v>
      </c>
      <c r="I18" s="38">
        <v>98.09</v>
      </c>
      <c r="J18" s="31" t="s">
        <v>90</v>
      </c>
      <c r="K18" s="31" t="s">
        <v>91</v>
      </c>
      <c r="L18" s="31">
        <v>2019</v>
      </c>
      <c r="M18" s="31">
        <v>23</v>
      </c>
      <c r="O18" s="15" t="s">
        <v>135</v>
      </c>
      <c r="P18" s="15"/>
    </row>
    <row r="19" spans="1:16" ht="17.25" thickTop="1" thickBot="1" x14ac:dyDescent="0.3">
      <c r="A19" s="34">
        <v>18</v>
      </c>
      <c r="B19" s="31" t="s">
        <v>106</v>
      </c>
      <c r="C19" s="31" t="s">
        <v>82</v>
      </c>
      <c r="D19" s="42">
        <v>46</v>
      </c>
      <c r="E19" s="31" t="s">
        <v>101</v>
      </c>
      <c r="F19" s="31" t="s">
        <v>128</v>
      </c>
      <c r="G19" s="31" t="s">
        <v>123</v>
      </c>
      <c r="H19" s="38">
        <v>999.99</v>
      </c>
      <c r="I19" s="38">
        <v>146.69</v>
      </c>
      <c r="J19" s="31" t="s">
        <v>102</v>
      </c>
      <c r="K19" s="31" t="s">
        <v>87</v>
      </c>
      <c r="L19" s="31">
        <v>2019</v>
      </c>
      <c r="M19" s="31">
        <v>25</v>
      </c>
      <c r="O19" s="15" t="s">
        <v>80</v>
      </c>
      <c r="P19" s="15" t="s">
        <v>76</v>
      </c>
    </row>
    <row r="20" spans="1:16" ht="15.75" thickTop="1" x14ac:dyDescent="0.25">
      <c r="A20" s="34">
        <v>19</v>
      </c>
      <c r="B20" s="31" t="s">
        <v>122</v>
      </c>
      <c r="C20" s="31" t="s">
        <v>93</v>
      </c>
      <c r="D20" s="42">
        <v>23</v>
      </c>
      <c r="E20" s="31" t="s">
        <v>83</v>
      </c>
      <c r="F20" s="31" t="s">
        <v>120</v>
      </c>
      <c r="G20" s="31" t="s">
        <v>85</v>
      </c>
      <c r="H20" s="38">
        <v>399.99</v>
      </c>
      <c r="I20" s="38">
        <v>72.09</v>
      </c>
      <c r="J20" s="31" t="s">
        <v>86</v>
      </c>
      <c r="K20" s="31" t="s">
        <v>87</v>
      </c>
      <c r="L20" s="31">
        <v>2019</v>
      </c>
      <c r="M20" s="31">
        <v>9</v>
      </c>
      <c r="O20">
        <v>9</v>
      </c>
      <c r="P20" t="s">
        <v>115</v>
      </c>
    </row>
    <row r="21" spans="1:16" x14ac:dyDescent="0.25">
      <c r="A21" s="34">
        <v>20</v>
      </c>
      <c r="B21" s="31" t="s">
        <v>100</v>
      </c>
      <c r="C21" s="31" t="s">
        <v>82</v>
      </c>
      <c r="D21" s="42">
        <v>45</v>
      </c>
      <c r="E21" s="31" t="s">
        <v>101</v>
      </c>
      <c r="F21" s="31" t="s">
        <v>96</v>
      </c>
      <c r="G21" s="31" t="s">
        <v>85</v>
      </c>
      <c r="H21" s="38">
        <v>649.99</v>
      </c>
      <c r="I21" s="38">
        <v>122.34</v>
      </c>
      <c r="J21" s="31" t="s">
        <v>102</v>
      </c>
      <c r="K21" s="31" t="s">
        <v>103</v>
      </c>
      <c r="L21" s="31">
        <v>2019</v>
      </c>
      <c r="M21" s="31">
        <v>10</v>
      </c>
    </row>
    <row r="22" spans="1:16" x14ac:dyDescent="0.25">
      <c r="A22" s="34">
        <v>21</v>
      </c>
      <c r="B22" s="31" t="s">
        <v>98</v>
      </c>
      <c r="C22" s="31" t="s">
        <v>93</v>
      </c>
      <c r="D22" s="42">
        <v>57</v>
      </c>
      <c r="E22" s="31" t="s">
        <v>83</v>
      </c>
      <c r="F22" s="31" t="s">
        <v>126</v>
      </c>
      <c r="G22" s="31" t="s">
        <v>115</v>
      </c>
      <c r="H22" s="38">
        <v>479.99</v>
      </c>
      <c r="I22" s="38">
        <v>143.38999999999999</v>
      </c>
      <c r="J22" s="31" t="s">
        <v>86</v>
      </c>
      <c r="K22" s="31" t="s">
        <v>108</v>
      </c>
      <c r="L22" s="31">
        <v>2019</v>
      </c>
      <c r="M22" s="31">
        <v>9</v>
      </c>
      <c r="O22" t="s">
        <v>139</v>
      </c>
      <c r="P22">
        <f>DAVERAGE(Table1[#All],Table1[[#Headers],[Sale Price]],O19:P20)</f>
        <v>479.99</v>
      </c>
    </row>
    <row r="23" spans="1:16" x14ac:dyDescent="0.25">
      <c r="A23" s="34">
        <v>22</v>
      </c>
      <c r="B23" s="31" t="s">
        <v>111</v>
      </c>
      <c r="C23" s="31" t="s">
        <v>93</v>
      </c>
      <c r="D23" s="42">
        <v>51</v>
      </c>
      <c r="E23" s="31" t="s">
        <v>83</v>
      </c>
      <c r="F23" s="31" t="s">
        <v>107</v>
      </c>
      <c r="G23" s="31" t="s">
        <v>85</v>
      </c>
      <c r="H23" s="38">
        <v>1349.99</v>
      </c>
      <c r="I23" s="38">
        <v>180.34</v>
      </c>
      <c r="J23" s="31" t="s">
        <v>102</v>
      </c>
      <c r="K23" s="31" t="s">
        <v>105</v>
      </c>
      <c r="L23" s="31">
        <v>2019</v>
      </c>
      <c r="M23" s="31">
        <v>13</v>
      </c>
    </row>
    <row r="24" spans="1:16" ht="16.5" thickBot="1" x14ac:dyDescent="0.3">
      <c r="A24" s="35">
        <v>23</v>
      </c>
      <c r="B24" s="32" t="s">
        <v>104</v>
      </c>
      <c r="C24" s="32" t="s">
        <v>93</v>
      </c>
      <c r="D24" s="42">
        <v>43</v>
      </c>
      <c r="E24" s="32" t="s">
        <v>89</v>
      </c>
      <c r="F24" s="32" t="s">
        <v>96</v>
      </c>
      <c r="G24" s="32" t="s">
        <v>85</v>
      </c>
      <c r="H24" s="39">
        <v>649.99</v>
      </c>
      <c r="I24" s="39">
        <v>122.34</v>
      </c>
      <c r="J24" s="32" t="s">
        <v>102</v>
      </c>
      <c r="K24" s="32" t="s">
        <v>105</v>
      </c>
      <c r="L24" s="32">
        <v>2019</v>
      </c>
      <c r="M24" s="32">
        <v>13</v>
      </c>
      <c r="O24" s="15" t="s">
        <v>76</v>
      </c>
      <c r="P24" s="15" t="s">
        <v>140</v>
      </c>
    </row>
    <row r="25" spans="1:16" ht="15.75" thickTop="1" x14ac:dyDescent="0.25">
      <c r="A25" s="35">
        <v>24</v>
      </c>
      <c r="B25" s="32" t="s">
        <v>116</v>
      </c>
      <c r="C25" s="32" t="s">
        <v>82</v>
      </c>
      <c r="D25" s="42">
        <v>37</v>
      </c>
      <c r="E25" s="32" t="s">
        <v>117</v>
      </c>
      <c r="F25" s="32" t="s">
        <v>130</v>
      </c>
      <c r="G25" s="32" t="s">
        <v>85</v>
      </c>
      <c r="H25" s="39">
        <v>1049.99</v>
      </c>
      <c r="I25" s="39">
        <v>143.09</v>
      </c>
      <c r="J25" s="32" t="s">
        <v>86</v>
      </c>
      <c r="K25" s="32" t="s">
        <v>99</v>
      </c>
      <c r="L25" s="32">
        <v>2019</v>
      </c>
      <c r="M25" s="32">
        <v>20</v>
      </c>
      <c r="O25" t="s">
        <v>123</v>
      </c>
      <c r="P25">
        <f>DCOUNT(Table1[#All],Table1[[#Headers],[Sale Price]],O24:O25)</f>
        <v>4</v>
      </c>
    </row>
    <row r="26" spans="1:16" x14ac:dyDescent="0.25">
      <c r="A26" s="35">
        <v>25</v>
      </c>
      <c r="B26" s="32" t="s">
        <v>106</v>
      </c>
      <c r="C26" s="32" t="s">
        <v>82</v>
      </c>
      <c r="D26" s="42">
        <v>46</v>
      </c>
      <c r="E26" s="32" t="s">
        <v>101</v>
      </c>
      <c r="F26" s="32" t="s">
        <v>125</v>
      </c>
      <c r="G26" s="32" t="s">
        <v>115</v>
      </c>
      <c r="H26" s="39">
        <v>649.99</v>
      </c>
      <c r="I26" s="39">
        <v>118.64</v>
      </c>
      <c r="J26" s="32" t="s">
        <v>112</v>
      </c>
      <c r="K26" s="32" t="s">
        <v>99</v>
      </c>
      <c r="L26" s="32">
        <v>2019</v>
      </c>
      <c r="M26" s="32">
        <v>10</v>
      </c>
    </row>
    <row r="27" spans="1:16" x14ac:dyDescent="0.25">
      <c r="A27" s="34">
        <v>26</v>
      </c>
      <c r="B27" s="31" t="s">
        <v>122</v>
      </c>
      <c r="C27" s="31" t="s">
        <v>93</v>
      </c>
      <c r="D27" s="42">
        <v>23</v>
      </c>
      <c r="E27" s="31" t="s">
        <v>83</v>
      </c>
      <c r="F27" s="31" t="s">
        <v>130</v>
      </c>
      <c r="G27" s="31" t="s">
        <v>85</v>
      </c>
      <c r="H27" s="38">
        <v>1049.99</v>
      </c>
      <c r="I27" s="38">
        <v>143.09</v>
      </c>
      <c r="J27" s="31" t="s">
        <v>90</v>
      </c>
      <c r="K27" s="31" t="s">
        <v>99</v>
      </c>
      <c r="L27" s="31">
        <v>2019</v>
      </c>
      <c r="M27" s="31">
        <v>10</v>
      </c>
    </row>
    <row r="28" spans="1:16" x14ac:dyDescent="0.25">
      <c r="A28" s="35">
        <v>27</v>
      </c>
      <c r="B28" s="32" t="s">
        <v>95</v>
      </c>
      <c r="C28" s="32" t="s">
        <v>93</v>
      </c>
      <c r="D28" s="42">
        <v>52</v>
      </c>
      <c r="E28" s="32" t="s">
        <v>89</v>
      </c>
      <c r="F28" s="32" t="s">
        <v>130</v>
      </c>
      <c r="G28" s="32" t="s">
        <v>85</v>
      </c>
      <c r="H28" s="39">
        <v>1049.99</v>
      </c>
      <c r="I28" s="39">
        <v>143.09</v>
      </c>
      <c r="J28" s="32" t="s">
        <v>102</v>
      </c>
      <c r="K28" s="32" t="s">
        <v>94</v>
      </c>
      <c r="L28" s="32">
        <v>2019</v>
      </c>
      <c r="M28" s="32">
        <v>9</v>
      </c>
    </row>
    <row r="29" spans="1:16" x14ac:dyDescent="0.25">
      <c r="A29" s="35">
        <v>28</v>
      </c>
      <c r="B29" s="32" t="s">
        <v>92</v>
      </c>
      <c r="C29" s="32" t="s">
        <v>93</v>
      </c>
      <c r="D29" s="42">
        <v>35</v>
      </c>
      <c r="E29" s="32" t="s">
        <v>83</v>
      </c>
      <c r="F29" s="32" t="s">
        <v>84</v>
      </c>
      <c r="G29" s="32" t="s">
        <v>85</v>
      </c>
      <c r="H29" s="39">
        <v>699.99</v>
      </c>
      <c r="I29" s="39">
        <v>98.09</v>
      </c>
      <c r="J29" s="32" t="s">
        <v>90</v>
      </c>
      <c r="K29" s="32" t="s">
        <v>94</v>
      </c>
      <c r="L29" s="32">
        <v>2019</v>
      </c>
      <c r="M29" s="32">
        <v>11</v>
      </c>
    </row>
    <row r="30" spans="1:16" x14ac:dyDescent="0.25">
      <c r="A30" s="35">
        <v>29</v>
      </c>
      <c r="B30" s="32" t="s">
        <v>81</v>
      </c>
      <c r="C30" s="32" t="s">
        <v>82</v>
      </c>
      <c r="D30" s="42">
        <v>55</v>
      </c>
      <c r="E30" s="32" t="s">
        <v>83</v>
      </c>
      <c r="F30" s="32" t="s">
        <v>107</v>
      </c>
      <c r="G30" s="32" t="s">
        <v>85</v>
      </c>
      <c r="H30" s="39">
        <v>1349.99</v>
      </c>
      <c r="I30" s="39">
        <v>180.34</v>
      </c>
      <c r="J30" s="32" t="s">
        <v>112</v>
      </c>
      <c r="K30" s="32" t="s">
        <v>94</v>
      </c>
      <c r="L30" s="32">
        <v>2019</v>
      </c>
      <c r="M30" s="32">
        <v>20</v>
      </c>
    </row>
    <row r="31" spans="1:16" x14ac:dyDescent="0.25">
      <c r="A31" s="34">
        <v>30</v>
      </c>
      <c r="B31" s="31" t="s">
        <v>127</v>
      </c>
      <c r="C31" s="31" t="s">
        <v>93</v>
      </c>
      <c r="D31" s="42">
        <v>56</v>
      </c>
      <c r="E31" s="31" t="s">
        <v>117</v>
      </c>
      <c r="F31" s="31" t="s">
        <v>126</v>
      </c>
      <c r="G31" s="31" t="s">
        <v>115</v>
      </c>
      <c r="H31" s="38">
        <v>479.99</v>
      </c>
      <c r="I31" s="38">
        <v>143.38999999999999</v>
      </c>
      <c r="J31" s="31" t="s">
        <v>112</v>
      </c>
      <c r="K31" s="31" t="s">
        <v>114</v>
      </c>
      <c r="L31" s="31">
        <v>2020</v>
      </c>
      <c r="M31" s="31">
        <v>9</v>
      </c>
    </row>
    <row r="32" spans="1:16" x14ac:dyDescent="0.25">
      <c r="A32" s="35">
        <v>31</v>
      </c>
      <c r="B32" s="32" t="s">
        <v>109</v>
      </c>
      <c r="C32" s="32" t="s">
        <v>93</v>
      </c>
      <c r="D32" s="42">
        <v>49</v>
      </c>
      <c r="E32" s="32" t="s">
        <v>83</v>
      </c>
      <c r="F32" s="32" t="s">
        <v>107</v>
      </c>
      <c r="G32" s="32" t="s">
        <v>85</v>
      </c>
      <c r="H32" s="39">
        <v>1349.99</v>
      </c>
      <c r="I32" s="39">
        <v>180.34</v>
      </c>
      <c r="J32" s="32" t="s">
        <v>113</v>
      </c>
      <c r="K32" s="32" t="s">
        <v>114</v>
      </c>
      <c r="L32" s="32">
        <v>2020</v>
      </c>
      <c r="M32" s="32">
        <v>23</v>
      </c>
    </row>
    <row r="33" spans="1:13" x14ac:dyDescent="0.25">
      <c r="A33" s="35">
        <v>32</v>
      </c>
      <c r="B33" s="32" t="s">
        <v>119</v>
      </c>
      <c r="C33" s="32" t="s">
        <v>82</v>
      </c>
      <c r="D33" s="42">
        <v>54</v>
      </c>
      <c r="E33" s="32" t="s">
        <v>89</v>
      </c>
      <c r="F33" s="32" t="s">
        <v>118</v>
      </c>
      <c r="G33" s="32" t="s">
        <v>115</v>
      </c>
      <c r="H33" s="39">
        <v>1249.99</v>
      </c>
      <c r="I33" s="39">
        <v>230.89</v>
      </c>
      <c r="J33" s="32" t="s">
        <v>112</v>
      </c>
      <c r="K33" s="32" t="s">
        <v>91</v>
      </c>
      <c r="L33" s="32">
        <v>2020</v>
      </c>
      <c r="M33" s="32">
        <v>24</v>
      </c>
    </row>
    <row r="34" spans="1:13" x14ac:dyDescent="0.25">
      <c r="A34" s="35">
        <v>33</v>
      </c>
      <c r="B34" s="32" t="s">
        <v>121</v>
      </c>
      <c r="C34" s="32" t="s">
        <v>82</v>
      </c>
      <c r="D34" s="42">
        <v>49</v>
      </c>
      <c r="E34" s="32" t="s">
        <v>83</v>
      </c>
      <c r="F34" s="32" t="s">
        <v>120</v>
      </c>
      <c r="G34" s="32" t="s">
        <v>85</v>
      </c>
      <c r="H34" s="39">
        <v>399.99</v>
      </c>
      <c r="I34" s="39">
        <v>72.09</v>
      </c>
      <c r="J34" s="32" t="s">
        <v>112</v>
      </c>
      <c r="K34" s="32" t="s">
        <v>87</v>
      </c>
      <c r="L34" s="32">
        <v>2020</v>
      </c>
      <c r="M34" s="32">
        <v>9</v>
      </c>
    </row>
    <row r="35" spans="1:13" x14ac:dyDescent="0.25">
      <c r="A35" s="35">
        <v>34</v>
      </c>
      <c r="B35" s="32" t="s">
        <v>88</v>
      </c>
      <c r="C35" s="32" t="s">
        <v>82</v>
      </c>
      <c r="D35" s="42">
        <v>46</v>
      </c>
      <c r="E35" s="32" t="s">
        <v>89</v>
      </c>
      <c r="F35" s="32" t="s">
        <v>84</v>
      </c>
      <c r="G35" s="32" t="s">
        <v>85</v>
      </c>
      <c r="H35" s="39">
        <v>699.99</v>
      </c>
      <c r="I35" s="39">
        <v>98.09</v>
      </c>
      <c r="J35" s="32" t="s">
        <v>90</v>
      </c>
      <c r="K35" s="32" t="s">
        <v>87</v>
      </c>
      <c r="L35" s="32">
        <v>2020</v>
      </c>
      <c r="M35" s="32">
        <v>13</v>
      </c>
    </row>
    <row r="36" spans="1:13" x14ac:dyDescent="0.25">
      <c r="A36" s="35">
        <v>35</v>
      </c>
      <c r="B36" s="32" t="s">
        <v>106</v>
      </c>
      <c r="C36" s="32" t="s">
        <v>82</v>
      </c>
      <c r="D36" s="42">
        <v>46</v>
      </c>
      <c r="E36" s="32" t="s">
        <v>101</v>
      </c>
      <c r="F36" s="32" t="s">
        <v>128</v>
      </c>
      <c r="G36" s="32" t="s">
        <v>123</v>
      </c>
      <c r="H36" s="39">
        <v>999.99</v>
      </c>
      <c r="I36" s="39">
        <v>146.69</v>
      </c>
      <c r="J36" s="32" t="s">
        <v>102</v>
      </c>
      <c r="K36" s="32" t="s">
        <v>103</v>
      </c>
      <c r="L36" s="32">
        <v>2020</v>
      </c>
      <c r="M36" s="32">
        <v>13</v>
      </c>
    </row>
    <row r="37" spans="1:13" x14ac:dyDescent="0.25">
      <c r="A37" s="35">
        <v>36</v>
      </c>
      <c r="B37" s="32" t="s">
        <v>100</v>
      </c>
      <c r="C37" s="32" t="s">
        <v>82</v>
      </c>
      <c r="D37" s="42">
        <v>45</v>
      </c>
      <c r="E37" s="32" t="s">
        <v>101</v>
      </c>
      <c r="F37" s="32" t="s">
        <v>96</v>
      </c>
      <c r="G37" s="32" t="s">
        <v>85</v>
      </c>
      <c r="H37" s="39">
        <v>649.99</v>
      </c>
      <c r="I37" s="39">
        <v>122.34</v>
      </c>
      <c r="J37" s="32" t="s">
        <v>102</v>
      </c>
      <c r="K37" s="32" t="s">
        <v>103</v>
      </c>
      <c r="L37" s="32">
        <v>2020</v>
      </c>
      <c r="M37" s="32">
        <v>9</v>
      </c>
    </row>
    <row r="38" spans="1:13" x14ac:dyDescent="0.25">
      <c r="A38" s="35">
        <v>37</v>
      </c>
      <c r="B38" s="32" t="s">
        <v>98</v>
      </c>
      <c r="C38" s="32" t="s">
        <v>93</v>
      </c>
      <c r="D38" s="42">
        <v>57</v>
      </c>
      <c r="E38" s="32" t="s">
        <v>83</v>
      </c>
      <c r="F38" s="32" t="s">
        <v>126</v>
      </c>
      <c r="G38" s="32" t="s">
        <v>115</v>
      </c>
      <c r="H38" s="39">
        <v>479.99</v>
      </c>
      <c r="I38" s="39">
        <v>143.38999999999999</v>
      </c>
      <c r="J38" s="32" t="s">
        <v>86</v>
      </c>
      <c r="K38" s="32" t="s">
        <v>103</v>
      </c>
      <c r="L38" s="32">
        <v>2020</v>
      </c>
      <c r="M38" s="32">
        <v>24</v>
      </c>
    </row>
    <row r="39" spans="1:13" x14ac:dyDescent="0.25">
      <c r="A39" s="35">
        <v>38</v>
      </c>
      <c r="B39" s="32" t="s">
        <v>111</v>
      </c>
      <c r="C39" s="32" t="s">
        <v>93</v>
      </c>
      <c r="D39" s="42">
        <v>51</v>
      </c>
      <c r="E39" s="32" t="s">
        <v>83</v>
      </c>
      <c r="F39" s="32" t="s">
        <v>107</v>
      </c>
      <c r="G39" s="32" t="s">
        <v>85</v>
      </c>
      <c r="H39" s="39">
        <v>1349.99</v>
      </c>
      <c r="I39" s="39">
        <v>180.34</v>
      </c>
      <c r="J39" s="32" t="s">
        <v>102</v>
      </c>
      <c r="K39" s="32" t="s">
        <v>108</v>
      </c>
      <c r="L39" s="32">
        <v>2020</v>
      </c>
      <c r="M39" s="32">
        <v>10</v>
      </c>
    </row>
    <row r="40" spans="1:13" x14ac:dyDescent="0.25">
      <c r="A40" s="34">
        <v>39</v>
      </c>
      <c r="B40" s="31" t="s">
        <v>92</v>
      </c>
      <c r="C40" s="31" t="s">
        <v>93</v>
      </c>
      <c r="D40" s="42">
        <v>35</v>
      </c>
      <c r="E40" s="31" t="s">
        <v>83</v>
      </c>
      <c r="F40" s="31" t="s">
        <v>120</v>
      </c>
      <c r="G40" s="31" t="s">
        <v>85</v>
      </c>
      <c r="H40" s="38">
        <v>399.99</v>
      </c>
      <c r="I40" s="38">
        <v>72.09</v>
      </c>
      <c r="J40" s="31" t="s">
        <v>102</v>
      </c>
      <c r="K40" s="31" t="s">
        <v>108</v>
      </c>
      <c r="L40" s="31">
        <v>2020</v>
      </c>
      <c r="M40" s="31">
        <v>10</v>
      </c>
    </row>
  </sheetData>
  <sortState xmlns:xlrd2="http://schemas.microsoft.com/office/spreadsheetml/2017/richdata2" ref="A2:M40">
    <sortCondition ref="A1:A40"/>
  </sortState>
  <conditionalFormatting sqref="A1:A40">
    <cfRule type="duplicateValues" dxfId="9" priority="4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C5A8B-FE31-4DD0-8635-0D34B8AB4DFB}">
  <dimension ref="A1:L27"/>
  <sheetViews>
    <sheetView tabSelected="1" topLeftCell="B1" workbookViewId="0">
      <selection activeCell="E10" sqref="E10"/>
    </sheetView>
  </sheetViews>
  <sheetFormatPr defaultRowHeight="15" x14ac:dyDescent="0.25"/>
  <cols>
    <col min="1" max="1" width="5" customWidth="1"/>
    <col min="2" max="2" width="12.7109375" customWidth="1"/>
    <col min="3" max="3" width="12.28515625" customWidth="1"/>
    <col min="4" max="4" width="24.140625" bestFit="1" customWidth="1"/>
    <col min="5" max="5" width="23" bestFit="1" customWidth="1"/>
    <col min="6" max="6" width="8.85546875" customWidth="1"/>
    <col min="7" max="7" width="10.7109375" bestFit="1" customWidth="1"/>
    <col min="8" max="8" width="13.85546875" customWidth="1"/>
    <col min="9" max="9" width="22" bestFit="1" customWidth="1"/>
    <col min="10" max="10" width="11.5703125" bestFit="1" customWidth="1"/>
    <col min="11" max="11" width="7.7109375" customWidth="1"/>
    <col min="12" max="12" width="6" bestFit="1" customWidth="1"/>
  </cols>
  <sheetData>
    <row r="1" spans="1:12" x14ac:dyDescent="0.25">
      <c r="A1" t="s">
        <v>141</v>
      </c>
      <c r="B1" t="s">
        <v>142</v>
      </c>
      <c r="C1" t="s">
        <v>143</v>
      </c>
      <c r="D1" t="s">
        <v>144</v>
      </c>
      <c r="E1" t="s">
        <v>90</v>
      </c>
      <c r="F1" t="s">
        <v>145</v>
      </c>
      <c r="G1" t="s">
        <v>146</v>
      </c>
      <c r="H1" t="s">
        <v>147</v>
      </c>
      <c r="I1" t="s">
        <v>148</v>
      </c>
      <c r="J1" t="s">
        <v>149</v>
      </c>
      <c r="K1" t="s">
        <v>29</v>
      </c>
      <c r="L1" t="s">
        <v>150</v>
      </c>
    </row>
    <row r="2" spans="1:12" x14ac:dyDescent="0.25">
      <c r="A2">
        <v>1</v>
      </c>
      <c r="B2" t="s">
        <v>151</v>
      </c>
      <c r="C2" t="s">
        <v>152</v>
      </c>
      <c r="D2" t="s">
        <v>153</v>
      </c>
      <c r="E2" t="s">
        <v>154</v>
      </c>
      <c r="F2" t="s">
        <v>155</v>
      </c>
      <c r="G2" s="24">
        <v>30224</v>
      </c>
      <c r="H2" t="s">
        <v>156</v>
      </c>
      <c r="I2" t="s">
        <v>157</v>
      </c>
      <c r="J2" t="s">
        <v>158</v>
      </c>
      <c r="K2" t="s">
        <v>159</v>
      </c>
      <c r="L2">
        <v>83014</v>
      </c>
    </row>
    <row r="3" spans="1:12" x14ac:dyDescent="0.25">
      <c r="A3">
        <v>2</v>
      </c>
      <c r="B3" t="s">
        <v>160</v>
      </c>
      <c r="C3" t="s">
        <v>161</v>
      </c>
      <c r="D3" t="s">
        <v>162</v>
      </c>
      <c r="E3" t="s">
        <v>163</v>
      </c>
      <c r="F3" t="s">
        <v>164</v>
      </c>
      <c r="G3" s="24">
        <v>30224</v>
      </c>
      <c r="H3" t="s">
        <v>156</v>
      </c>
      <c r="I3" t="s">
        <v>165</v>
      </c>
      <c r="J3" t="s">
        <v>166</v>
      </c>
      <c r="K3" t="s">
        <v>167</v>
      </c>
      <c r="L3">
        <v>88101</v>
      </c>
    </row>
    <row r="4" spans="1:12" x14ac:dyDescent="0.25">
      <c r="A4">
        <v>3</v>
      </c>
      <c r="B4" t="s">
        <v>168</v>
      </c>
      <c r="C4" t="s">
        <v>169</v>
      </c>
      <c r="D4" t="s">
        <v>170</v>
      </c>
      <c r="E4" t="s">
        <v>171</v>
      </c>
      <c r="F4" t="s">
        <v>172</v>
      </c>
      <c r="G4" s="24">
        <v>30243</v>
      </c>
      <c r="H4" t="s">
        <v>173</v>
      </c>
      <c r="I4" t="s">
        <v>174</v>
      </c>
      <c r="J4" t="s">
        <v>175</v>
      </c>
      <c r="K4" t="s">
        <v>176</v>
      </c>
      <c r="L4">
        <v>61329</v>
      </c>
    </row>
    <row r="5" spans="1:12" x14ac:dyDescent="0.25">
      <c r="A5">
        <v>4</v>
      </c>
      <c r="B5" t="s">
        <v>177</v>
      </c>
      <c r="C5" t="s">
        <v>178</v>
      </c>
      <c r="D5" t="s">
        <v>179</v>
      </c>
      <c r="E5" t="s">
        <v>180</v>
      </c>
      <c r="F5" t="s">
        <v>181</v>
      </c>
      <c r="G5" s="24">
        <v>30224</v>
      </c>
      <c r="H5" t="s">
        <v>173</v>
      </c>
      <c r="I5" t="s">
        <v>182</v>
      </c>
      <c r="J5" t="s">
        <v>183</v>
      </c>
      <c r="K5" t="s">
        <v>89</v>
      </c>
      <c r="L5">
        <v>43240</v>
      </c>
    </row>
    <row r="6" spans="1:12" x14ac:dyDescent="0.25">
      <c r="A6">
        <v>5</v>
      </c>
      <c r="B6" t="s">
        <v>184</v>
      </c>
      <c r="C6" t="s">
        <v>185</v>
      </c>
      <c r="D6" t="s">
        <v>186</v>
      </c>
      <c r="E6" t="s">
        <v>187</v>
      </c>
      <c r="F6" t="s">
        <v>188</v>
      </c>
      <c r="G6" s="24">
        <v>30306</v>
      </c>
      <c r="H6" t="s">
        <v>189</v>
      </c>
      <c r="I6" t="s">
        <v>190</v>
      </c>
      <c r="J6" t="s">
        <v>191</v>
      </c>
      <c r="K6" t="s">
        <v>192</v>
      </c>
      <c r="L6">
        <v>47351</v>
      </c>
    </row>
    <row r="7" spans="1:12" x14ac:dyDescent="0.25">
      <c r="A7">
        <v>6</v>
      </c>
      <c r="B7" t="s">
        <v>193</v>
      </c>
      <c r="C7" t="s">
        <v>169</v>
      </c>
      <c r="D7" t="s">
        <v>194</v>
      </c>
      <c r="E7" t="s">
        <v>195</v>
      </c>
      <c r="F7" t="s">
        <v>196</v>
      </c>
      <c r="G7" s="24">
        <v>30224</v>
      </c>
      <c r="H7" t="s">
        <v>156</v>
      </c>
      <c r="I7" t="s">
        <v>197</v>
      </c>
      <c r="J7" t="s">
        <v>198</v>
      </c>
      <c r="K7" t="s">
        <v>199</v>
      </c>
      <c r="L7">
        <v>66052</v>
      </c>
    </row>
    <row r="8" spans="1:12" x14ac:dyDescent="0.25">
      <c r="A8">
        <v>7</v>
      </c>
      <c r="B8" t="s">
        <v>200</v>
      </c>
      <c r="C8" t="s">
        <v>201</v>
      </c>
      <c r="D8" t="s">
        <v>202</v>
      </c>
      <c r="E8" t="s">
        <v>203</v>
      </c>
      <c r="F8" t="s">
        <v>204</v>
      </c>
      <c r="G8" s="24">
        <v>30306</v>
      </c>
      <c r="H8" t="s">
        <v>205</v>
      </c>
      <c r="I8" t="s">
        <v>206</v>
      </c>
      <c r="J8" t="s">
        <v>207</v>
      </c>
      <c r="K8" t="s">
        <v>208</v>
      </c>
      <c r="L8">
        <v>23669</v>
      </c>
    </row>
    <row r="9" spans="1:12" x14ac:dyDescent="0.25">
      <c r="A9">
        <v>8</v>
      </c>
      <c r="B9" t="s">
        <v>209</v>
      </c>
      <c r="C9" t="s">
        <v>210</v>
      </c>
      <c r="D9" t="s">
        <v>211</v>
      </c>
      <c r="E9" t="s">
        <v>212</v>
      </c>
      <c r="F9" t="s">
        <v>213</v>
      </c>
      <c r="G9" s="24">
        <v>30306</v>
      </c>
      <c r="H9" t="s">
        <v>133</v>
      </c>
      <c r="I9" t="s">
        <v>214</v>
      </c>
      <c r="J9" t="s">
        <v>215</v>
      </c>
      <c r="K9" t="s">
        <v>216</v>
      </c>
      <c r="L9">
        <v>38618</v>
      </c>
    </row>
    <row r="10" spans="1:12" x14ac:dyDescent="0.25">
      <c r="A10">
        <v>9</v>
      </c>
      <c r="B10" t="s">
        <v>217</v>
      </c>
      <c r="C10" t="s">
        <v>218</v>
      </c>
      <c r="D10" t="s">
        <v>219</v>
      </c>
      <c r="E10" t="s">
        <v>220</v>
      </c>
      <c r="F10" t="s">
        <v>221</v>
      </c>
      <c r="G10" s="24">
        <v>30306</v>
      </c>
      <c r="H10" t="s">
        <v>133</v>
      </c>
      <c r="I10" t="s">
        <v>222</v>
      </c>
      <c r="J10" t="s">
        <v>223</v>
      </c>
      <c r="K10" t="s">
        <v>224</v>
      </c>
      <c r="L10">
        <v>65001</v>
      </c>
    </row>
    <row r="11" spans="1:12" x14ac:dyDescent="0.25">
      <c r="A11">
        <v>10</v>
      </c>
      <c r="B11" t="s">
        <v>225</v>
      </c>
      <c r="C11" t="s">
        <v>226</v>
      </c>
      <c r="D11" t="s">
        <v>227</v>
      </c>
      <c r="E11" t="s">
        <v>228</v>
      </c>
      <c r="F11" t="s">
        <v>229</v>
      </c>
      <c r="G11" s="24">
        <v>30329</v>
      </c>
      <c r="H11" t="s">
        <v>133</v>
      </c>
      <c r="I11" t="s">
        <v>230</v>
      </c>
      <c r="J11" t="s">
        <v>231</v>
      </c>
      <c r="K11" t="s">
        <v>232</v>
      </c>
      <c r="L11">
        <v>2108</v>
      </c>
    </row>
    <row r="12" spans="1:12" x14ac:dyDescent="0.25">
      <c r="A12">
        <v>11</v>
      </c>
      <c r="B12" t="s">
        <v>233</v>
      </c>
      <c r="C12" t="s">
        <v>234</v>
      </c>
      <c r="D12" t="s">
        <v>235</v>
      </c>
      <c r="E12" t="s">
        <v>236</v>
      </c>
      <c r="F12" t="s">
        <v>237</v>
      </c>
      <c r="G12" s="24">
        <v>30336</v>
      </c>
      <c r="H12" t="s">
        <v>156</v>
      </c>
      <c r="I12" t="s">
        <v>238</v>
      </c>
      <c r="J12" t="s">
        <v>239</v>
      </c>
      <c r="K12" t="s">
        <v>176</v>
      </c>
      <c r="L12">
        <v>60804</v>
      </c>
    </row>
    <row r="13" spans="1:12" x14ac:dyDescent="0.25">
      <c r="A13">
        <v>12</v>
      </c>
      <c r="B13" t="s">
        <v>240</v>
      </c>
      <c r="C13" t="s">
        <v>241</v>
      </c>
      <c r="D13" t="s">
        <v>242</v>
      </c>
      <c r="E13" t="s">
        <v>243</v>
      </c>
      <c r="F13" t="s">
        <v>244</v>
      </c>
      <c r="G13" s="24">
        <v>30844</v>
      </c>
      <c r="H13" t="s">
        <v>133</v>
      </c>
      <c r="I13" t="s">
        <v>245</v>
      </c>
      <c r="J13" t="s">
        <v>246</v>
      </c>
      <c r="K13" t="s">
        <v>247</v>
      </c>
      <c r="L13">
        <v>30008</v>
      </c>
    </row>
    <row r="14" spans="1:12" x14ac:dyDescent="0.25">
      <c r="A14">
        <v>13</v>
      </c>
      <c r="B14" t="s">
        <v>248</v>
      </c>
      <c r="C14" t="s">
        <v>185</v>
      </c>
      <c r="D14" t="s">
        <v>249</v>
      </c>
      <c r="E14" t="s">
        <v>250</v>
      </c>
      <c r="F14" t="s">
        <v>251</v>
      </c>
      <c r="G14" s="24">
        <v>30886</v>
      </c>
      <c r="H14" t="s">
        <v>252</v>
      </c>
      <c r="I14" t="s">
        <v>190</v>
      </c>
      <c r="J14" t="s">
        <v>253</v>
      </c>
      <c r="K14" t="s">
        <v>254</v>
      </c>
      <c r="L14">
        <v>50074</v>
      </c>
    </row>
    <row r="15" spans="1:12" x14ac:dyDescent="0.25">
      <c r="A15">
        <v>14</v>
      </c>
      <c r="B15" t="s">
        <v>255</v>
      </c>
      <c r="C15" t="s">
        <v>256</v>
      </c>
      <c r="D15" t="s">
        <v>257</v>
      </c>
      <c r="E15" t="s">
        <v>258</v>
      </c>
      <c r="F15" t="s">
        <v>259</v>
      </c>
      <c r="G15" s="24">
        <v>30890</v>
      </c>
      <c r="H15" t="s">
        <v>260</v>
      </c>
      <c r="I15" t="s">
        <v>261</v>
      </c>
      <c r="J15" t="s">
        <v>262</v>
      </c>
      <c r="K15" t="s">
        <v>263</v>
      </c>
      <c r="L15">
        <v>74728</v>
      </c>
    </row>
    <row r="16" spans="1:12" x14ac:dyDescent="0.25">
      <c r="A16">
        <v>15</v>
      </c>
      <c r="B16" t="s">
        <v>264</v>
      </c>
      <c r="C16" t="s">
        <v>178</v>
      </c>
      <c r="D16" t="s">
        <v>265</v>
      </c>
      <c r="E16" t="s">
        <v>266</v>
      </c>
      <c r="F16" t="s">
        <v>181</v>
      </c>
      <c r="G16" s="24">
        <v>30945</v>
      </c>
      <c r="H16" t="s">
        <v>205</v>
      </c>
      <c r="I16" t="s">
        <v>182</v>
      </c>
      <c r="J16" t="s">
        <v>267</v>
      </c>
      <c r="K16" t="s">
        <v>83</v>
      </c>
      <c r="L16">
        <v>18216</v>
      </c>
    </row>
    <row r="17" spans="1:12" x14ac:dyDescent="0.25">
      <c r="A17">
        <v>16</v>
      </c>
      <c r="B17" t="s">
        <v>268</v>
      </c>
      <c r="C17" t="s">
        <v>178</v>
      </c>
      <c r="D17" t="s">
        <v>269</v>
      </c>
      <c r="E17" t="s">
        <v>270</v>
      </c>
      <c r="F17" t="s">
        <v>181</v>
      </c>
      <c r="G17" s="24">
        <v>30972</v>
      </c>
      <c r="H17" t="s">
        <v>173</v>
      </c>
      <c r="I17" t="s">
        <v>182</v>
      </c>
      <c r="J17" t="s">
        <v>271</v>
      </c>
      <c r="K17" t="s">
        <v>272</v>
      </c>
      <c r="L17">
        <v>53186</v>
      </c>
    </row>
    <row r="18" spans="1:12" x14ac:dyDescent="0.25">
      <c r="A18">
        <v>17</v>
      </c>
      <c r="B18" t="s">
        <v>273</v>
      </c>
      <c r="C18" t="s">
        <v>274</v>
      </c>
      <c r="D18" t="s">
        <v>275</v>
      </c>
      <c r="E18" t="s">
        <v>276</v>
      </c>
      <c r="F18" t="s">
        <v>277</v>
      </c>
      <c r="G18" s="24">
        <v>31031</v>
      </c>
      <c r="H18" t="s">
        <v>278</v>
      </c>
      <c r="I18" t="s">
        <v>279</v>
      </c>
      <c r="J18" t="s">
        <v>280</v>
      </c>
      <c r="K18" t="s">
        <v>281</v>
      </c>
      <c r="L18">
        <v>8003</v>
      </c>
    </row>
    <row r="19" spans="1:12" x14ac:dyDescent="0.25">
      <c r="A19">
        <v>18</v>
      </c>
      <c r="B19" t="s">
        <v>282</v>
      </c>
      <c r="C19" t="s">
        <v>283</v>
      </c>
      <c r="D19" t="s">
        <v>284</v>
      </c>
      <c r="E19" t="s">
        <v>285</v>
      </c>
      <c r="F19" t="s">
        <v>286</v>
      </c>
      <c r="G19" s="24">
        <v>31051</v>
      </c>
      <c r="H19" t="s">
        <v>205</v>
      </c>
      <c r="I19" t="s">
        <v>287</v>
      </c>
      <c r="J19" t="s">
        <v>288</v>
      </c>
      <c r="K19" t="s">
        <v>289</v>
      </c>
      <c r="L19">
        <v>99553</v>
      </c>
    </row>
    <row r="20" spans="1:12" x14ac:dyDescent="0.25">
      <c r="A20">
        <v>19</v>
      </c>
      <c r="B20" t="s">
        <v>290</v>
      </c>
      <c r="C20" t="s">
        <v>291</v>
      </c>
      <c r="D20" t="s">
        <v>292</v>
      </c>
      <c r="E20" t="s">
        <v>293</v>
      </c>
      <c r="F20" t="s">
        <v>294</v>
      </c>
      <c r="G20" s="24">
        <v>31120</v>
      </c>
      <c r="H20" t="s">
        <v>133</v>
      </c>
      <c r="I20" t="s">
        <v>295</v>
      </c>
      <c r="J20" t="s">
        <v>296</v>
      </c>
      <c r="K20" t="s">
        <v>141</v>
      </c>
      <c r="L20">
        <v>83714</v>
      </c>
    </row>
    <row r="21" spans="1:12" x14ac:dyDescent="0.25">
      <c r="A21">
        <v>20</v>
      </c>
      <c r="B21" t="s">
        <v>297</v>
      </c>
      <c r="C21" t="s">
        <v>298</v>
      </c>
      <c r="D21" t="s">
        <v>299</v>
      </c>
      <c r="E21" t="s">
        <v>300</v>
      </c>
      <c r="F21" t="s">
        <v>301</v>
      </c>
      <c r="G21" s="24">
        <v>31210</v>
      </c>
      <c r="H21" t="s">
        <v>278</v>
      </c>
      <c r="I21" t="s">
        <v>302</v>
      </c>
      <c r="J21" t="s">
        <v>303</v>
      </c>
      <c r="K21" t="s">
        <v>304</v>
      </c>
      <c r="L21">
        <v>90272</v>
      </c>
    </row>
    <row r="22" spans="1:12" x14ac:dyDescent="0.25">
      <c r="A22">
        <v>21</v>
      </c>
      <c r="B22" t="s">
        <v>305</v>
      </c>
      <c r="C22" t="s">
        <v>201</v>
      </c>
      <c r="D22" t="s">
        <v>306</v>
      </c>
      <c r="E22" t="s">
        <v>307</v>
      </c>
      <c r="F22" t="s">
        <v>308</v>
      </c>
      <c r="G22" s="24">
        <v>31301</v>
      </c>
      <c r="H22" t="s">
        <v>173</v>
      </c>
      <c r="I22" t="s">
        <v>309</v>
      </c>
      <c r="J22" t="s">
        <v>310</v>
      </c>
      <c r="K22" t="s">
        <v>247</v>
      </c>
      <c r="L22">
        <v>31054</v>
      </c>
    </row>
    <row r="23" spans="1:12" x14ac:dyDescent="0.25">
      <c r="A23">
        <v>22</v>
      </c>
      <c r="B23" t="s">
        <v>311</v>
      </c>
      <c r="C23" t="s">
        <v>312</v>
      </c>
      <c r="D23" t="s">
        <v>313</v>
      </c>
      <c r="E23" t="s">
        <v>314</v>
      </c>
      <c r="F23" t="s">
        <v>315</v>
      </c>
      <c r="G23" s="24">
        <v>31370</v>
      </c>
      <c r="H23" t="s">
        <v>133</v>
      </c>
      <c r="I23" t="s">
        <v>316</v>
      </c>
      <c r="J23" t="s">
        <v>317</v>
      </c>
      <c r="K23" t="s">
        <v>318</v>
      </c>
      <c r="L23">
        <v>49274</v>
      </c>
    </row>
    <row r="24" spans="1:12" x14ac:dyDescent="0.25">
      <c r="A24">
        <v>23</v>
      </c>
      <c r="B24" t="s">
        <v>319</v>
      </c>
      <c r="C24" t="s">
        <v>320</v>
      </c>
      <c r="D24" t="s">
        <v>321</v>
      </c>
      <c r="E24" t="s">
        <v>322</v>
      </c>
      <c r="F24" t="s">
        <v>323</v>
      </c>
      <c r="G24" s="24">
        <v>31572</v>
      </c>
      <c r="H24" t="s">
        <v>133</v>
      </c>
      <c r="I24" t="s">
        <v>324</v>
      </c>
      <c r="J24" t="s">
        <v>239</v>
      </c>
      <c r="K24" t="s">
        <v>176</v>
      </c>
      <c r="L24">
        <v>60804</v>
      </c>
    </row>
    <row r="25" spans="1:12" x14ac:dyDescent="0.25">
      <c r="A25">
        <v>24</v>
      </c>
      <c r="B25" t="s">
        <v>325</v>
      </c>
      <c r="C25" t="s">
        <v>326</v>
      </c>
      <c r="D25" t="s">
        <v>327</v>
      </c>
      <c r="E25" t="s">
        <v>328</v>
      </c>
      <c r="F25" t="s">
        <v>329</v>
      </c>
      <c r="G25" s="24">
        <v>31920</v>
      </c>
      <c r="H25" t="s">
        <v>133</v>
      </c>
      <c r="I25" t="s">
        <v>330</v>
      </c>
      <c r="J25" t="s">
        <v>198</v>
      </c>
      <c r="K25" t="s">
        <v>199</v>
      </c>
      <c r="L25">
        <v>66052</v>
      </c>
    </row>
    <row r="26" spans="1:12" x14ac:dyDescent="0.25">
      <c r="A26">
        <v>25</v>
      </c>
      <c r="B26" t="s">
        <v>331</v>
      </c>
      <c r="C26" t="s">
        <v>332</v>
      </c>
      <c r="D26" t="s">
        <v>333</v>
      </c>
      <c r="E26" t="s">
        <v>334</v>
      </c>
      <c r="F26" t="s">
        <v>335</v>
      </c>
      <c r="G26" s="24">
        <v>32367</v>
      </c>
      <c r="H26" t="s">
        <v>336</v>
      </c>
      <c r="I26" t="s">
        <v>337</v>
      </c>
      <c r="J26" t="s">
        <v>175</v>
      </c>
      <c r="K26" t="s">
        <v>176</v>
      </c>
      <c r="L26">
        <v>61329</v>
      </c>
    </row>
    <row r="27" spans="1:12" x14ac:dyDescent="0.25">
      <c r="A27">
        <v>26</v>
      </c>
      <c r="B27" t="s">
        <v>338</v>
      </c>
      <c r="C27" t="s">
        <v>339</v>
      </c>
      <c r="D27" t="s">
        <v>340</v>
      </c>
      <c r="E27" t="s">
        <v>341</v>
      </c>
      <c r="F27" t="s">
        <v>342</v>
      </c>
      <c r="G27" s="24">
        <v>32506</v>
      </c>
      <c r="H27" t="s">
        <v>205</v>
      </c>
      <c r="I27" t="s">
        <v>343</v>
      </c>
      <c r="J27" t="s">
        <v>223</v>
      </c>
      <c r="K27" t="s">
        <v>224</v>
      </c>
      <c r="L27">
        <v>65001</v>
      </c>
    </row>
  </sheetData>
  <conditionalFormatting sqref="B2:B27">
    <cfRule type="expression" dxfId="3" priority="10">
      <formula>LEN(B2)&lt;2</formula>
    </cfRule>
  </conditionalFormatting>
  <conditionalFormatting sqref="E2:E27">
    <cfRule type="expression" dxfId="2" priority="1">
      <formula>NOT(ISNUMBER(MATCH("*@*",E2,0)))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k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u a M 3 W K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0 1 T M y M d Y z s N G H C d r 4 Z u Y h F B g B H Q y S R R K 0 c S 7 N K S k t S r V L z d N 1 d 7 L R h 3 F t 9 K F + s A M A A A D / / w M A U E s D B B Q A A g A I A A A A I Q B N h i 6 A K A E A A O 8 C A A A T A A A A R m 9 y b X V s Y X M v U 2 V j d G l v b j E u b X S R Q W v C M B T H 7 w W / w y O 7 K I T S 6 H R u 0 l N 1 t w 2 2 9 j Z 3 q P G p g T S R J B V F + t 0 X K d s Y 7 O W S 5 P f P y 8 u P e J R B W Q N l P 4 t F k v h D 7 X A L d 6 y w z b E N 6 K C s N X o G O W g M g w T i K G 3 r J E Z S + F O 6 t L J t 0 I T h s 9 K Y F t a E u P F D t n p a l y q g X 7 8 o 6 a y 3 u w C r s 0 Q N 7 3 h S H m G c j S f r v 0 1 S 6 U 9 s x D + W q F U T a 1 3 O O O N Q W N 0 2 x u d i z m F l p N 0 q s 8 9 n 0 y w T H N 5 a G 7 A M F 4 3 5 7 z J 9 t Q Y / R 7 x / b V Q 5 1 G Y f p a r L E W 8 i V b 2 J h y p X G 7 + z r u n v v 4 V + 2 K v x 6 5 X 1 V M T + I S Y Q 8 B w 6 D t 9 8 T P A J w e 8 J P i X 4 j O A P B J 8 T / J H g I q M C y l h Q y o J y F p S 0 o K w F p S 0 o b / E j b t p m g 6 7 r R o N E m X 9 / f v E F A A D / / w M A U E s B A i 0 A F A A G A A g A A A A h A C r d q k D S A A A A N w E A A B M A A A A A A A A A A A A A A A A A A A A A A F t D b 2 5 0 Z W 5 0 X 1 R 5 c G V z X S 5 4 b W x Q S w E C L Q A U A A I A C A A A A C E A u a M 3 W K 0 A A A D 3 A A A A E g A A A A A A A A A A A A A A A A A L A w A A Q 2 9 u Z m l n L 1 B h Y 2 t h Z 2 U u e G 1 s U E s B A i 0 A F A A C A A g A A A A h A E 2 G L o A o A Q A A 7 w I A A B M A A A A A A A A A A A A A A A A A 6 A M A A E Z v c m 1 1 b G F z L 1 N l Y 3 R p b 2 4 x L m 1 Q S w U G A A A A A A M A A w D C A A A A Q Q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k S A A A A A A A A B x I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D b 2 1 w d X R l c i U y M F N h b G V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N C 0 y M V Q x M z o y N T o w N y 4 2 N j k x N z k z W i I v P j x F b n R y e S B U e X B l P S J G a W x s Q 2 9 s d W 1 u V H l w Z X M i I F Z h b H V l P S J z Q m d Z R 0 J n W U d C Z 1 l H Q m d Z R 0 J n W U d C Z 1 l G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c H V 0 Z X I g U 2 F s Z X M v Q X V 0 b 1 J l b W 9 2 Z W R D b 2 x 1 b W 5 z M S 5 7 Q 2 9 s d W 1 u M S w w f S Z x d W 9 0 O y w m c X V v d D t T Z W N 0 a W 9 u M S 9 D b 2 1 w d X R l c i B T Y W x l c y 9 B d X R v U m V t b 3 Z l Z E N v b H V t b n M x L n t D b 2 x 1 b W 4 y L D F 9 J n F 1 b 3 Q 7 L C Z x d W 9 0 O 1 N l Y 3 R p b 2 4 x L 0 N v b X B 1 d G V y I F N h b G V z L 0 F 1 d G 9 S Z W 1 v d m V k Q 2 9 s d W 1 u c z E u e 0 N v b H V t b j M s M n 0 m c X V v d D s s J n F 1 b 3 Q 7 U 2 V j d G l v b j E v Q 2 9 t c H V 0 Z X I g U 2 F s Z X M v Q X V 0 b 1 J l b W 9 2 Z W R D b 2 x 1 b W 5 z M S 5 7 Q 2 9 s d W 1 u N C w z f S Z x d W 9 0 O y w m c X V v d D t T Z W N 0 a W 9 u M S 9 D b 2 1 w d X R l c i B T Y W x l c y 9 B d X R v U m V t b 3 Z l Z E N v b H V t b n M x L n t D b 2 x 1 b W 4 1 L D R 9 J n F 1 b 3 Q 7 L C Z x d W 9 0 O 1 N l Y 3 R p b 2 4 x L 0 N v b X B 1 d G V y I F N h b G V z L 0 F 1 d G 9 S Z W 1 v d m V k Q 2 9 s d W 1 u c z E u e 0 N v b H V t b j Y s N X 0 m c X V v d D s s J n F 1 b 3 Q 7 U 2 V j d G l v b j E v Q 2 9 t c H V 0 Z X I g U 2 F s Z X M v Q X V 0 b 1 J l b W 9 2 Z W R D b 2 x 1 b W 5 z M S 5 7 Q 2 9 s d W 1 u N y w 2 f S Z x d W 9 0 O y w m c X V v d D t T Z W N 0 a W 9 u M S 9 D b 2 1 w d X R l c i B T Y W x l c y 9 B d X R v U m V t b 3 Z l Z E N v b H V t b n M x L n t D b 2 x 1 b W 4 4 L D d 9 J n F 1 b 3 Q 7 L C Z x d W 9 0 O 1 N l Y 3 R p b 2 4 x L 0 N v b X B 1 d G V y I F N h b G V z L 0 F 1 d G 9 S Z W 1 v d m V k Q 2 9 s d W 1 u c z E u e 0 N v b H V t b j k s O H 0 m c X V v d D s s J n F 1 b 3 Q 7 U 2 V j d G l v b j E v Q 2 9 t c H V 0 Z X I g U 2 F s Z X M v Q X V 0 b 1 J l b W 9 2 Z W R D b 2 x 1 b W 5 z M S 5 7 Q 2 9 s d W 1 u M T A s O X 0 m c X V v d D s s J n F 1 b 3 Q 7 U 2 V j d G l v b j E v Q 2 9 t c H V 0 Z X I g U 2 F s Z X M v Q X V 0 b 1 J l b W 9 2 Z W R D b 2 x 1 b W 5 z M S 5 7 Q 2 9 s d W 1 u M T E s M T B 9 J n F 1 b 3 Q 7 L C Z x d W 9 0 O 1 N l Y 3 R p b 2 4 x L 0 N v b X B 1 d G V y I F N h b G V z L 0 F 1 d G 9 S Z W 1 v d m V k Q 2 9 s d W 1 u c z E u e 0 N v b H V t b j E y L D E x f S Z x d W 9 0 O y w m c X V v d D t T Z W N 0 a W 9 u M S 9 D b 2 1 w d X R l c i B T Y W x l c y 9 B d X R v U m V t b 3 Z l Z E N v b H V t b n M x L n t D b 2 x 1 b W 4 x M y w x M n 0 m c X V v d D s s J n F 1 b 3 Q 7 U 2 V j d G l v b j E v Q 2 9 t c H V 0 Z X I g U 2 F s Z X M v Q X V 0 b 1 J l b W 9 2 Z W R D b 2 x 1 b W 5 z M S 5 7 Q 2 9 s d W 1 u M T Q s M T N 9 J n F 1 b 3 Q 7 L C Z x d W 9 0 O 1 N l Y 3 R p b 2 4 x L 0 N v b X B 1 d G V y I F N h b G V z L 0 F 1 d G 9 S Z W 1 v d m V k Q 2 9 s d W 1 u c z E u e 0 N v b H V t b j E 1 L D E 0 f S Z x d W 9 0 O y w m c X V v d D t T Z W N 0 a W 9 u M S 9 D b 2 1 w d X R l c i B T Y W x l c y 9 B d X R v U m V t b 3 Z l Z E N v b H V t b n M x L n t D b 2 x 1 b W 4 x N i w x N X 0 m c X V v d D s s J n F 1 b 3 Q 7 U 2 V j d G l v b j E v Q 2 9 t c H V 0 Z X I g U 2 F s Z X M v Q X V 0 b 1 J l b W 9 2 Z W R D b 2 x 1 b W 5 z M S 5 7 Q 2 9 s d W 1 u M T c s M T Z 9 J n F 1 b 3 Q 7 L C Z x d W 9 0 O 1 N l Y 3 R p b 2 4 x L 0 N v b X B 1 d G V y I F N h b G V z L 0 F 1 d G 9 S Z W 1 v d m V k Q 2 9 s d W 1 u c z E u e 0 N v b H V t b j E 4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Q 2 9 t c H V 0 Z X I g U 2 F s Z X M v Q X V 0 b 1 J l b W 9 2 Z W R D b 2 x 1 b W 5 z M S 5 7 Q 2 9 s d W 1 u M S w w f S Z x d W 9 0 O y w m c X V v d D t T Z W N 0 a W 9 u M S 9 D b 2 1 w d X R l c i B T Y W x l c y 9 B d X R v U m V t b 3 Z l Z E N v b H V t b n M x L n t D b 2 x 1 b W 4 y L D F 9 J n F 1 b 3 Q 7 L C Z x d W 9 0 O 1 N l Y 3 R p b 2 4 x L 0 N v b X B 1 d G V y I F N h b G V z L 0 F 1 d G 9 S Z W 1 v d m V k Q 2 9 s d W 1 u c z E u e 0 N v b H V t b j M s M n 0 m c X V v d D s s J n F 1 b 3 Q 7 U 2 V j d G l v b j E v Q 2 9 t c H V 0 Z X I g U 2 F s Z X M v Q X V 0 b 1 J l b W 9 2 Z W R D b 2 x 1 b W 5 z M S 5 7 Q 2 9 s d W 1 u N C w z f S Z x d W 9 0 O y w m c X V v d D t T Z W N 0 a W 9 u M S 9 D b 2 1 w d X R l c i B T Y W x l c y 9 B d X R v U m V t b 3 Z l Z E N v b H V t b n M x L n t D b 2 x 1 b W 4 1 L D R 9 J n F 1 b 3 Q 7 L C Z x d W 9 0 O 1 N l Y 3 R p b 2 4 x L 0 N v b X B 1 d G V y I F N h b G V z L 0 F 1 d G 9 S Z W 1 v d m V k Q 2 9 s d W 1 u c z E u e 0 N v b H V t b j Y s N X 0 m c X V v d D s s J n F 1 b 3 Q 7 U 2 V j d G l v b j E v Q 2 9 t c H V 0 Z X I g U 2 F s Z X M v Q X V 0 b 1 J l b W 9 2 Z W R D b 2 x 1 b W 5 z M S 5 7 Q 2 9 s d W 1 u N y w 2 f S Z x d W 9 0 O y w m c X V v d D t T Z W N 0 a W 9 u M S 9 D b 2 1 w d X R l c i B T Y W x l c y 9 B d X R v U m V t b 3 Z l Z E N v b H V t b n M x L n t D b 2 x 1 b W 4 4 L D d 9 J n F 1 b 3 Q 7 L C Z x d W 9 0 O 1 N l Y 3 R p b 2 4 x L 0 N v b X B 1 d G V y I F N h b G V z L 0 F 1 d G 9 S Z W 1 v d m V k Q 2 9 s d W 1 u c z E u e 0 N v b H V t b j k s O H 0 m c X V v d D s s J n F 1 b 3 Q 7 U 2 V j d G l v b j E v Q 2 9 t c H V 0 Z X I g U 2 F s Z X M v Q X V 0 b 1 J l b W 9 2 Z W R D b 2 x 1 b W 5 z M S 5 7 Q 2 9 s d W 1 u M T A s O X 0 m c X V v d D s s J n F 1 b 3 Q 7 U 2 V j d G l v b j E v Q 2 9 t c H V 0 Z X I g U 2 F s Z X M v Q X V 0 b 1 J l b W 9 2 Z W R D b 2 x 1 b W 5 z M S 5 7 Q 2 9 s d W 1 u M T E s M T B 9 J n F 1 b 3 Q 7 L C Z x d W 9 0 O 1 N l Y 3 R p b 2 4 x L 0 N v b X B 1 d G V y I F N h b G V z L 0 F 1 d G 9 S Z W 1 v d m V k Q 2 9 s d W 1 u c z E u e 0 N v b H V t b j E y L D E x f S Z x d W 9 0 O y w m c X V v d D t T Z W N 0 a W 9 u M S 9 D b 2 1 w d X R l c i B T Y W x l c y 9 B d X R v U m V t b 3 Z l Z E N v b H V t b n M x L n t D b 2 x 1 b W 4 x M y w x M n 0 m c X V v d D s s J n F 1 b 3 Q 7 U 2 V j d G l v b j E v Q 2 9 t c H V 0 Z X I g U 2 F s Z X M v Q X V 0 b 1 J l b W 9 2 Z W R D b 2 x 1 b W 5 z M S 5 7 Q 2 9 s d W 1 u M T Q s M T N 9 J n F 1 b 3 Q 7 L C Z x d W 9 0 O 1 N l Y 3 R p b 2 4 x L 0 N v b X B 1 d G V y I F N h b G V z L 0 F 1 d G 9 S Z W 1 v d m V k Q 2 9 s d W 1 u c z E u e 0 N v b H V t b j E 1 L D E 0 f S Z x d W 9 0 O y w m c X V v d D t T Z W N 0 a W 9 u M S 9 D b 2 1 w d X R l c i B T Y W x l c y 9 B d X R v U m V t b 3 Z l Z E N v b H V t b n M x L n t D b 2 x 1 b W 4 x N i w x N X 0 m c X V v d D s s J n F 1 b 3 Q 7 U 2 V j d G l v b j E v Q 2 9 t c H V 0 Z X I g U 2 F s Z X M v Q X V 0 b 1 J l b W 9 2 Z W R D b 2 x 1 b W 5 z M S 5 7 Q 2 9 s d W 1 u M T c s M T Z 9 J n F 1 b 3 Q 7 L C Z x d W 9 0 O 1 N l Y 3 R p b 2 4 x L 0 N v b X B 1 d G V y I F N h b G V z L 0 F 1 d G 9 S Z W 1 v d m V k Q 2 9 s d W 1 u c z E u e 0 N v b H V t b j E 4 L D E 3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Q 2 9 t c H V 0 Z X I l M j B T Y W x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v b X B 1 d G V y J T I w U 2 F s Z X M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D f I Y C p f v C N T a R J + C n / m w 3 3 A A A A A A I A A A A A A B B m A A A A A Q A A I A A A A G 0 W S r N a N B e m q z z 3 s t f l b 7 5 w b J V M 4 j y s v 6 B c 5 r B r 8 S E c A A A A A A 6 A A A A A A g A A I A A A A H i 4 L 6 0 O E U p 6 s 5 / j P S Q l S P v m r d a f K h r i Z l a p v / h G Z O 3 z U A A A A G l O + y e N H n G D M a s x s P + m O G g o N b 9 O H a N N O M 9 D a 6 L 2 j 5 T v k 6 E W t D 1 4 n 2 n f Q 6 0 t I j 7 M b f Q C Z D x 5 m 8 Y k p e Q h b b O 7 Z T / I T P M 1 y N o / Z a n 6 f + / w y O t X Q A A A A E c 7 T f E 5 t 4 0 O c J 5 k S f 9 3 8 e f c N L g q N 6 S H G N W 7 K r x K j c b b 8 n 0 2 G g 6 q O u b e l T G d I j 6 6 a m U Q o W E a q t a q 3 q l P + P R a g T o = < / D a t a M a s h u p > 
</file>

<file path=customXml/itemProps1.xml><?xml version="1.0" encoding="utf-8"?>
<ds:datastoreItem xmlns:ds="http://schemas.openxmlformats.org/officeDocument/2006/customXml" ds:itemID="{A24278EE-5FEB-436D-9E7C-E3CD9CC0CB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BUDGET</vt:lpstr>
      <vt:lpstr>SALES</vt:lpstr>
      <vt:lpstr>CUSTOMERS</vt:lpstr>
      <vt:lpstr>Bar Chart Buget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2023-04-17T07:30:17Z</dcterms:created>
  <dcterms:modified xsi:type="dcterms:W3CDTF">2023-04-24T20:10:02Z</dcterms:modified>
</cp:coreProperties>
</file>