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RD\NIHR HTA Anti-VEGF Drugs Diabetic Retinopathy\Meta-analysis\Published data\Data\"/>
    </mc:Choice>
  </mc:AlternateContent>
  <xr:revisionPtr revIDLastSave="0" documentId="13_ncr:1_{DED2AA6E-C631-4E1C-B0E3-D9B521AB1671}" xr6:coauthVersionLast="47" xr6:coauthVersionMax="47" xr10:uidLastSave="{00000000-0000-0000-0000-000000000000}"/>
  <bookViews>
    <workbookView xWindow="3900" yWindow="1095" windowWidth="19710" windowHeight="14310" xr2:uid="{C638B6B0-2275-4A36-A41F-2A356755E4B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1" i="1" l="1"/>
  <c r="N110" i="1"/>
  <c r="N109" i="1"/>
  <c r="O111" i="1"/>
  <c r="O108" i="1"/>
  <c r="N108" i="1" s="1"/>
  <c r="M108" i="1"/>
  <c r="M111" i="1"/>
  <c r="O110" i="1"/>
  <c r="M110" i="1"/>
  <c r="O109" i="1"/>
  <c r="M109" i="1"/>
  <c r="J111" i="1"/>
  <c r="I111" i="1"/>
  <c r="H111" i="1"/>
  <c r="G111" i="1"/>
  <c r="J110" i="1"/>
  <c r="I110" i="1"/>
  <c r="H110" i="1"/>
  <c r="G110" i="1"/>
  <c r="J109" i="1"/>
  <c r="I109" i="1"/>
  <c r="H109" i="1"/>
  <c r="G109" i="1"/>
  <c r="J108" i="1"/>
  <c r="I108" i="1"/>
  <c r="H108" i="1"/>
  <c r="G108" i="1"/>
  <c r="J107" i="1"/>
  <c r="I107" i="1"/>
  <c r="H107" i="1"/>
  <c r="G107" i="1"/>
  <c r="I106" i="1"/>
  <c r="H106" i="1"/>
  <c r="G106" i="1"/>
  <c r="J106" i="1"/>
  <c r="W110" i="1"/>
  <c r="W111" i="1"/>
  <c r="Y111" i="1"/>
  <c r="X111" i="1" s="1"/>
  <c r="Y110" i="1"/>
  <c r="X110" i="1" s="1"/>
  <c r="Y109" i="1"/>
  <c r="X109" i="1"/>
  <c r="W109" i="1"/>
  <c r="Y108" i="1"/>
  <c r="X108" i="1" s="1"/>
  <c r="W108" i="1"/>
  <c r="U111" i="1"/>
  <c r="T111" i="1"/>
  <c r="U110" i="1"/>
  <c r="T110" i="1"/>
  <c r="U109" i="1"/>
  <c r="T109" i="1"/>
  <c r="U108" i="1"/>
  <c r="T108" i="1"/>
  <c r="U107" i="1"/>
  <c r="T107" i="1"/>
  <c r="U106" i="1"/>
  <c r="T106" i="1"/>
  <c r="S111" i="1"/>
  <c r="S110" i="1"/>
  <c r="S109" i="1"/>
  <c r="S108" i="1"/>
  <c r="S107" i="1"/>
  <c r="S106" i="1"/>
  <c r="Q101" i="1"/>
  <c r="Q104" i="1"/>
  <c r="W104" i="1" s="1"/>
  <c r="U103" i="1"/>
  <c r="Q103" i="1"/>
  <c r="T102" i="1"/>
  <c r="Q102" i="1"/>
  <c r="W102" i="1" s="1"/>
  <c r="O104" i="1"/>
  <c r="N104" i="1" s="1"/>
  <c r="O102" i="1"/>
  <c r="N102" i="1" s="1"/>
  <c r="I101" i="1"/>
  <c r="T101" i="1" s="1"/>
  <c r="J104" i="1"/>
  <c r="U104" i="1" s="1"/>
  <c r="S104" i="1" s="1"/>
  <c r="R104" i="1" s="1"/>
  <c r="I104" i="1"/>
  <c r="T104" i="1" s="1"/>
  <c r="J103" i="1"/>
  <c r="I103" i="1"/>
  <c r="T103" i="1" s="1"/>
  <c r="J102" i="1"/>
  <c r="U102" i="1" s="1"/>
  <c r="S102" i="1" s="1"/>
  <c r="R102" i="1" s="1"/>
  <c r="I102" i="1"/>
  <c r="J101" i="1"/>
  <c r="U101" i="1" s="1"/>
  <c r="S101" i="1" s="1"/>
  <c r="W58" i="1"/>
  <c r="W57" i="1"/>
  <c r="G55" i="1"/>
  <c r="G13" i="1"/>
  <c r="Q13" i="1" s="1"/>
  <c r="G11" i="1"/>
  <c r="J11" i="1" s="1"/>
  <c r="U11" i="1" s="1"/>
  <c r="W77" i="1"/>
  <c r="Q74" i="1"/>
  <c r="T77" i="1"/>
  <c r="Q77" i="1"/>
  <c r="U76" i="1"/>
  <c r="T76" i="1"/>
  <c r="Q76" i="1"/>
  <c r="W76" i="1" s="1"/>
  <c r="Q75" i="1"/>
  <c r="O76" i="1"/>
  <c r="N76" i="1" s="1"/>
  <c r="I76" i="1"/>
  <c r="J77" i="1"/>
  <c r="U77" i="1" s="1"/>
  <c r="S77" i="1" s="1"/>
  <c r="I77" i="1"/>
  <c r="J76" i="1"/>
  <c r="W41" i="1"/>
  <c r="W40" i="1"/>
  <c r="T38" i="1"/>
  <c r="J38" i="1" s="1"/>
  <c r="U39" i="1"/>
  <c r="I39" i="1" s="1"/>
  <c r="H39" i="1" s="1"/>
  <c r="T39" i="1"/>
  <c r="J39" i="1" s="1"/>
  <c r="S41" i="1"/>
  <c r="T41" i="1" s="1"/>
  <c r="J41" i="1" s="1"/>
  <c r="S40" i="1"/>
  <c r="T40" i="1" s="1"/>
  <c r="J40" i="1" s="1"/>
  <c r="S39" i="1"/>
  <c r="S38" i="1"/>
  <c r="U38" i="1" s="1"/>
  <c r="I38" i="1" s="1"/>
  <c r="H38" i="1" s="1"/>
  <c r="G39" i="1"/>
  <c r="G38" i="1"/>
  <c r="O36" i="1"/>
  <c r="O34" i="1"/>
  <c r="O32" i="1"/>
  <c r="O8" i="1"/>
  <c r="O7" i="1"/>
  <c r="O5" i="1"/>
  <c r="O4" i="1"/>
  <c r="G98" i="1"/>
  <c r="G96" i="1"/>
  <c r="G92" i="1"/>
  <c r="T99" i="1"/>
  <c r="J99" i="1" s="1"/>
  <c r="U98" i="1"/>
  <c r="I98" i="1" s="1"/>
  <c r="U97" i="1"/>
  <c r="I97" i="1" s="1"/>
  <c r="Q99" i="1"/>
  <c r="G99" i="1" s="1"/>
  <c r="Q98" i="1"/>
  <c r="T98" i="1" s="1"/>
  <c r="J98" i="1" s="1"/>
  <c r="H98" i="1" s="1"/>
  <c r="Q97" i="1"/>
  <c r="G97" i="1" s="1"/>
  <c r="Q95" i="1"/>
  <c r="U95" i="1" s="1"/>
  <c r="I95" i="1" s="1"/>
  <c r="Q94" i="1"/>
  <c r="T94" i="1" s="1"/>
  <c r="J94" i="1" s="1"/>
  <c r="Q93" i="1"/>
  <c r="U93" i="1" s="1"/>
  <c r="I93" i="1" s="1"/>
  <c r="S96" i="1"/>
  <c r="T96" i="1" s="1"/>
  <c r="J96" i="1" s="1"/>
  <c r="S92" i="1"/>
  <c r="U92" i="1" s="1"/>
  <c r="I92" i="1" s="1"/>
  <c r="S103" i="1" l="1"/>
  <c r="R77" i="1"/>
  <c r="R101" i="1"/>
  <c r="Y102" i="1"/>
  <c r="X102" i="1" s="1"/>
  <c r="S11" i="1"/>
  <c r="R11" i="1" s="1"/>
  <c r="Y40" i="1"/>
  <c r="X40" i="1" s="1"/>
  <c r="M98" i="1"/>
  <c r="S76" i="1"/>
  <c r="J13" i="1"/>
  <c r="U13" i="1" s="1"/>
  <c r="S13" i="1" s="1"/>
  <c r="R13" i="1" s="1"/>
  <c r="U40" i="1"/>
  <c r="I40" i="1" s="1"/>
  <c r="H40" i="1" s="1"/>
  <c r="O40" i="1" s="1"/>
  <c r="N40" i="1" s="1"/>
  <c r="Q11" i="1"/>
  <c r="Y41" i="1"/>
  <c r="X41" i="1" s="1"/>
  <c r="U41" i="1"/>
  <c r="I41" i="1" s="1"/>
  <c r="H41" i="1" s="1"/>
  <c r="O41" i="1" s="1"/>
  <c r="N41" i="1" s="1"/>
  <c r="I11" i="1"/>
  <c r="T11" i="1" s="1"/>
  <c r="I13" i="1"/>
  <c r="T13" i="1" s="1"/>
  <c r="M97" i="1"/>
  <c r="M99" i="1"/>
  <c r="T92" i="1"/>
  <c r="J92" i="1" s="1"/>
  <c r="U96" i="1"/>
  <c r="I96" i="1" s="1"/>
  <c r="H96" i="1" s="1"/>
  <c r="O98" i="1" s="1"/>
  <c r="N98" i="1" s="1"/>
  <c r="U99" i="1"/>
  <c r="I99" i="1" s="1"/>
  <c r="H99" i="1" s="1"/>
  <c r="T93" i="1"/>
  <c r="J93" i="1" s="1"/>
  <c r="H93" i="1" s="1"/>
  <c r="G93" i="1"/>
  <c r="M93" i="1" s="1"/>
  <c r="G94" i="1"/>
  <c r="M94" i="1" s="1"/>
  <c r="U94" i="1"/>
  <c r="I94" i="1" s="1"/>
  <c r="H94" i="1" s="1"/>
  <c r="H92" i="1"/>
  <c r="T95" i="1"/>
  <c r="J95" i="1" s="1"/>
  <c r="H95" i="1" s="1"/>
  <c r="O95" i="1" s="1"/>
  <c r="N95" i="1" s="1"/>
  <c r="G95" i="1"/>
  <c r="M95" i="1" s="1"/>
  <c r="T97" i="1"/>
  <c r="J97" i="1" s="1"/>
  <c r="H97" i="1"/>
  <c r="Y99" i="1"/>
  <c r="Y98" i="1"/>
  <c r="Y97" i="1"/>
  <c r="Y95" i="1"/>
  <c r="Y94" i="1"/>
  <c r="Y93" i="1"/>
  <c r="G90" i="1"/>
  <c r="G89" i="1"/>
  <c r="G88" i="1"/>
  <c r="M88" i="1" s="1"/>
  <c r="G87" i="1"/>
  <c r="G86" i="1"/>
  <c r="G85" i="1"/>
  <c r="M85" i="1" s="1"/>
  <c r="G84" i="1"/>
  <c r="G83" i="1"/>
  <c r="G82" i="1"/>
  <c r="G81" i="1"/>
  <c r="G80" i="1"/>
  <c r="G79" i="1"/>
  <c r="W90" i="1"/>
  <c r="W89" i="1"/>
  <c r="W88" i="1"/>
  <c r="W87" i="1"/>
  <c r="W86" i="1"/>
  <c r="W85" i="1"/>
  <c r="W84" i="1"/>
  <c r="W83" i="1"/>
  <c r="W82" i="1"/>
  <c r="U83" i="1"/>
  <c r="I83" i="1" s="1"/>
  <c r="S90" i="1"/>
  <c r="S89" i="1"/>
  <c r="S88" i="1"/>
  <c r="U88" i="1" s="1"/>
  <c r="I88" i="1" s="1"/>
  <c r="S87" i="1"/>
  <c r="S86" i="1"/>
  <c r="S85" i="1"/>
  <c r="S84" i="1"/>
  <c r="U84" i="1" s="1"/>
  <c r="I84" i="1" s="1"/>
  <c r="S83" i="1"/>
  <c r="T83" i="1" s="1"/>
  <c r="J83" i="1" s="1"/>
  <c r="S82" i="1"/>
  <c r="T82" i="1" s="1"/>
  <c r="J82" i="1" s="1"/>
  <c r="S81" i="1"/>
  <c r="U81" i="1" s="1"/>
  <c r="I81" i="1" s="1"/>
  <c r="S80" i="1"/>
  <c r="U80" i="1" s="1"/>
  <c r="I80" i="1" s="1"/>
  <c r="S79" i="1"/>
  <c r="U79" i="1" s="1"/>
  <c r="I79" i="1" s="1"/>
  <c r="Q28" i="1"/>
  <c r="Q30" i="1"/>
  <c r="Q29" i="1"/>
  <c r="J30" i="1"/>
  <c r="U30" i="1" s="1"/>
  <c r="I30" i="1"/>
  <c r="T30" i="1" s="1"/>
  <c r="J29" i="1"/>
  <c r="U29" i="1" s="1"/>
  <c r="I29" i="1"/>
  <c r="T29" i="1" s="1"/>
  <c r="J28" i="1"/>
  <c r="U28" i="1" s="1"/>
  <c r="I28" i="1"/>
  <c r="T28" i="1" s="1"/>
  <c r="J17" i="1"/>
  <c r="U17" i="1" s="1"/>
  <c r="I17" i="1"/>
  <c r="T17" i="1" s="1"/>
  <c r="J16" i="1"/>
  <c r="U16" i="1" s="1"/>
  <c r="I16" i="1"/>
  <c r="T16" i="1" s="1"/>
  <c r="J15" i="1"/>
  <c r="U15" i="1" s="1"/>
  <c r="I15" i="1"/>
  <c r="T15" i="1" s="1"/>
  <c r="Q15" i="1"/>
  <c r="Q17" i="1"/>
  <c r="Q16" i="1"/>
  <c r="Q3" i="1"/>
  <c r="G36" i="1"/>
  <c r="J36" i="1" s="1"/>
  <c r="U36" i="1" s="1"/>
  <c r="G34" i="1"/>
  <c r="J34" i="1" s="1"/>
  <c r="U34" i="1" s="1"/>
  <c r="G32" i="1"/>
  <c r="J32" i="1" s="1"/>
  <c r="U32" i="1" s="1"/>
  <c r="N26" i="1"/>
  <c r="N25" i="1"/>
  <c r="N23" i="1"/>
  <c r="N22" i="1"/>
  <c r="N20" i="1"/>
  <c r="N19" i="1"/>
  <c r="G26" i="1"/>
  <c r="J26" i="1" s="1"/>
  <c r="U26" i="1" s="1"/>
  <c r="G25" i="1"/>
  <c r="I25" i="1" s="1"/>
  <c r="T25" i="1" s="1"/>
  <c r="G23" i="1"/>
  <c r="J23" i="1" s="1"/>
  <c r="U23" i="1" s="1"/>
  <c r="G22" i="1"/>
  <c r="Q22" i="1" s="1"/>
  <c r="G20" i="1"/>
  <c r="Q20" i="1" s="1"/>
  <c r="G19" i="1"/>
  <c r="Q19" i="1" s="1"/>
  <c r="R103" i="1" l="1"/>
  <c r="Y104" i="1"/>
  <c r="X104" i="1" s="1"/>
  <c r="Y88" i="1"/>
  <c r="X88" i="1" s="1"/>
  <c r="M82" i="1"/>
  <c r="R76" i="1"/>
  <c r="Y89" i="1"/>
  <c r="X89" i="1" s="1"/>
  <c r="O94" i="1"/>
  <c r="N94" i="1" s="1"/>
  <c r="O99" i="1"/>
  <c r="N99" i="1" s="1"/>
  <c r="M86" i="1"/>
  <c r="O97" i="1"/>
  <c r="N97" i="1" s="1"/>
  <c r="M89" i="1"/>
  <c r="O93" i="1"/>
  <c r="N93" i="1" s="1"/>
  <c r="M87" i="1"/>
  <c r="M90" i="1"/>
  <c r="Y85" i="1"/>
  <c r="X85" i="1" s="1"/>
  <c r="Y86" i="1"/>
  <c r="X86" i="1" s="1"/>
  <c r="Y90" i="1"/>
  <c r="X90" i="1" s="1"/>
  <c r="W22" i="1"/>
  <c r="Y87" i="1"/>
  <c r="X87" i="1" s="1"/>
  <c r="M84" i="1"/>
  <c r="T79" i="1"/>
  <c r="J79" i="1" s="1"/>
  <c r="H79" i="1" s="1"/>
  <c r="T80" i="1"/>
  <c r="Y82" i="1"/>
  <c r="X82" i="1" s="1"/>
  <c r="Y83" i="1"/>
  <c r="X83" i="1" s="1"/>
  <c r="M83" i="1"/>
  <c r="H83" i="1"/>
  <c r="T85" i="1"/>
  <c r="J85" i="1" s="1"/>
  <c r="Y84" i="1"/>
  <c r="X84" i="1" s="1"/>
  <c r="T87" i="1"/>
  <c r="J87" i="1" s="1"/>
  <c r="T86" i="1"/>
  <c r="J86" i="1" s="1"/>
  <c r="U86" i="1"/>
  <c r="I86" i="1" s="1"/>
  <c r="U87" i="1"/>
  <c r="I87" i="1" s="1"/>
  <c r="T88" i="1"/>
  <c r="T84" i="1"/>
  <c r="U85" i="1"/>
  <c r="I85" i="1" s="1"/>
  <c r="Q36" i="1"/>
  <c r="W36" i="1" s="1"/>
  <c r="T81" i="1"/>
  <c r="T89" i="1"/>
  <c r="J89" i="1" s="1"/>
  <c r="U89" i="1"/>
  <c r="I89" i="1" s="1"/>
  <c r="T90" i="1"/>
  <c r="J90" i="1" s="1"/>
  <c r="U82" i="1"/>
  <c r="I82" i="1" s="1"/>
  <c r="H82" i="1" s="1"/>
  <c r="U90" i="1"/>
  <c r="I90" i="1" s="1"/>
  <c r="Q32" i="1"/>
  <c r="W32" i="1" s="1"/>
  <c r="W19" i="1"/>
  <c r="W20" i="1"/>
  <c r="Q34" i="1"/>
  <c r="W34" i="1" s="1"/>
  <c r="S29" i="1"/>
  <c r="R29" i="1" s="1"/>
  <c r="S28" i="1"/>
  <c r="S15" i="1"/>
  <c r="S30" i="1"/>
  <c r="S16" i="1"/>
  <c r="S17" i="1"/>
  <c r="I32" i="1"/>
  <c r="T32" i="1" s="1"/>
  <c r="S32" i="1" s="1"/>
  <c r="R32" i="1" s="1"/>
  <c r="I36" i="1"/>
  <c r="T36" i="1" s="1"/>
  <c r="S36" i="1" s="1"/>
  <c r="R36" i="1" s="1"/>
  <c r="I34" i="1"/>
  <c r="T34" i="1" s="1"/>
  <c r="S34" i="1" s="1"/>
  <c r="R34" i="1" s="1"/>
  <c r="I20" i="1"/>
  <c r="T20" i="1" s="1"/>
  <c r="J20" i="1"/>
  <c r="U20" i="1" s="1"/>
  <c r="Q23" i="1"/>
  <c r="W23" i="1" s="1"/>
  <c r="J25" i="1"/>
  <c r="U25" i="1" s="1"/>
  <c r="S25" i="1" s="1"/>
  <c r="R25" i="1" s="1"/>
  <c r="I19" i="1"/>
  <c r="T19" i="1" s="1"/>
  <c r="Q25" i="1"/>
  <c r="W25" i="1" s="1"/>
  <c r="J19" i="1"/>
  <c r="U19" i="1" s="1"/>
  <c r="I23" i="1"/>
  <c r="T23" i="1" s="1"/>
  <c r="S23" i="1" s="1"/>
  <c r="R23" i="1" s="1"/>
  <c r="Q26" i="1"/>
  <c r="W26" i="1" s="1"/>
  <c r="I26" i="1"/>
  <c r="T26" i="1" s="1"/>
  <c r="S26" i="1" s="1"/>
  <c r="R26" i="1" s="1"/>
  <c r="I22" i="1"/>
  <c r="T22" i="1" s="1"/>
  <c r="J22" i="1"/>
  <c r="U22" i="1" s="1"/>
  <c r="S22" i="1" s="1"/>
  <c r="J80" i="1" l="1"/>
  <c r="H80" i="1" s="1"/>
  <c r="O83" i="1" s="1"/>
  <c r="N83" i="1" s="1"/>
  <c r="J81" i="1"/>
  <c r="H81" i="1" s="1"/>
  <c r="J84" i="1"/>
  <c r="H84" i="1" s="1"/>
  <c r="O84" i="1" s="1"/>
  <c r="N84" i="1" s="1"/>
  <c r="J88" i="1"/>
  <c r="H88" i="1" s="1"/>
  <c r="O88" i="1" s="1"/>
  <c r="N88" i="1" s="1"/>
  <c r="O82" i="1"/>
  <c r="N82" i="1" s="1"/>
  <c r="H89" i="1"/>
  <c r="H87" i="1"/>
  <c r="H85" i="1"/>
  <c r="O85" i="1" s="1"/>
  <c r="N85" i="1" s="1"/>
  <c r="H86" i="1"/>
  <c r="H90" i="1"/>
  <c r="S20" i="1"/>
  <c r="R20" i="1" s="1"/>
  <c r="R22" i="1"/>
  <c r="Y22" i="1"/>
  <c r="X22" i="1" s="1"/>
  <c r="R17" i="1"/>
  <c r="Y26" i="1"/>
  <c r="X26" i="1" s="1"/>
  <c r="Y25" i="1"/>
  <c r="X25" i="1" s="1"/>
  <c r="R15" i="1"/>
  <c r="Y32" i="1"/>
  <c r="X32" i="1" s="1"/>
  <c r="R28" i="1"/>
  <c r="R16" i="1"/>
  <c r="Y23" i="1"/>
  <c r="X23" i="1" s="1"/>
  <c r="Y34" i="1"/>
  <c r="X34" i="1" s="1"/>
  <c r="R30" i="1"/>
  <c r="Y36" i="1"/>
  <c r="X36" i="1" s="1"/>
  <c r="S19" i="1"/>
  <c r="R19" i="1" s="1"/>
  <c r="Y20" i="1" l="1"/>
  <c r="X20" i="1" s="1"/>
  <c r="O89" i="1"/>
  <c r="N89" i="1" s="1"/>
  <c r="O86" i="1"/>
  <c r="N86" i="1" s="1"/>
  <c r="O87" i="1"/>
  <c r="N87" i="1" s="1"/>
  <c r="O90" i="1"/>
  <c r="N90" i="1" s="1"/>
  <c r="Y19" i="1"/>
  <c r="X19" i="1" s="1"/>
  <c r="W67" i="1" l="1"/>
  <c r="W66" i="1"/>
  <c r="W65" i="1"/>
  <c r="W64" i="1"/>
  <c r="W63" i="1"/>
  <c r="W62" i="1"/>
  <c r="Y72" i="1"/>
  <c r="X72" i="1" s="1"/>
  <c r="Y71" i="1"/>
  <c r="X71" i="1" s="1"/>
  <c r="Y67" i="1"/>
  <c r="X67" i="1" s="1"/>
  <c r="Y66" i="1"/>
  <c r="X66" i="1" s="1"/>
  <c r="Y65" i="1"/>
  <c r="X65" i="1" s="1"/>
  <c r="Y64" i="1"/>
  <c r="X64" i="1" s="1"/>
  <c r="Y63" i="1"/>
  <c r="X63" i="1" s="1"/>
  <c r="Y62" i="1"/>
  <c r="X62" i="1" s="1"/>
  <c r="Y58" i="1"/>
  <c r="X58" i="1" s="1"/>
  <c r="Y57" i="1"/>
  <c r="X57" i="1" s="1"/>
  <c r="Q51" i="1"/>
  <c r="Q50" i="1"/>
  <c r="U72" i="1"/>
  <c r="I72" i="1" s="1"/>
  <c r="T72" i="1"/>
  <c r="J72" i="1" s="1"/>
  <c r="U71" i="1"/>
  <c r="I71" i="1" s="1"/>
  <c r="T71" i="1"/>
  <c r="J71" i="1" s="1"/>
  <c r="U70" i="1"/>
  <c r="I70" i="1" s="1"/>
  <c r="T70" i="1"/>
  <c r="U69" i="1"/>
  <c r="I69" i="1" s="1"/>
  <c r="T69" i="1"/>
  <c r="J69" i="1" s="1"/>
  <c r="U67" i="1"/>
  <c r="I67" i="1" s="1"/>
  <c r="T67" i="1"/>
  <c r="J67" i="1" s="1"/>
  <c r="U66" i="1"/>
  <c r="I66" i="1" s="1"/>
  <c r="T66" i="1"/>
  <c r="J66" i="1" s="1"/>
  <c r="U65" i="1"/>
  <c r="I65" i="1" s="1"/>
  <c r="T65" i="1"/>
  <c r="J65" i="1" s="1"/>
  <c r="U64" i="1"/>
  <c r="I64" i="1" s="1"/>
  <c r="T64" i="1"/>
  <c r="J64" i="1" s="1"/>
  <c r="U63" i="1"/>
  <c r="I63" i="1" s="1"/>
  <c r="T63" i="1"/>
  <c r="J63" i="1" s="1"/>
  <c r="U62" i="1"/>
  <c r="I62" i="1" s="1"/>
  <c r="T62" i="1"/>
  <c r="J62" i="1" s="1"/>
  <c r="U61" i="1"/>
  <c r="I61" i="1" s="1"/>
  <c r="T61" i="1"/>
  <c r="U60" i="1"/>
  <c r="I60" i="1" s="1"/>
  <c r="T60" i="1"/>
  <c r="J60" i="1" s="1"/>
  <c r="U58" i="1"/>
  <c r="I58" i="1" s="1"/>
  <c r="T58" i="1"/>
  <c r="J58" i="1" s="1"/>
  <c r="U57" i="1"/>
  <c r="I57" i="1" s="1"/>
  <c r="T57" i="1"/>
  <c r="J57" i="1" s="1"/>
  <c r="U56" i="1"/>
  <c r="I56" i="1" s="1"/>
  <c r="T56" i="1"/>
  <c r="J56" i="1" s="1"/>
  <c r="U55" i="1"/>
  <c r="I55" i="1" s="1"/>
  <c r="T55" i="1"/>
  <c r="J55" i="1" s="1"/>
  <c r="R72" i="1"/>
  <c r="R71" i="1"/>
  <c r="R70" i="1"/>
  <c r="R69" i="1"/>
  <c r="R67" i="1"/>
  <c r="R66" i="1"/>
  <c r="R65" i="1"/>
  <c r="R64" i="1"/>
  <c r="R63" i="1"/>
  <c r="R62" i="1"/>
  <c r="R61" i="1"/>
  <c r="R60" i="1"/>
  <c r="R58" i="1"/>
  <c r="R57" i="1"/>
  <c r="R56" i="1"/>
  <c r="R55" i="1"/>
  <c r="J75" i="1"/>
  <c r="U75" i="1" s="1"/>
  <c r="S75" i="1" s="1"/>
  <c r="I75" i="1"/>
  <c r="T75" i="1" s="1"/>
  <c r="J74" i="1"/>
  <c r="U74" i="1" s="1"/>
  <c r="I74" i="1"/>
  <c r="T74" i="1" s="1"/>
  <c r="J48" i="1"/>
  <c r="U48" i="1" s="1"/>
  <c r="I48" i="1"/>
  <c r="T48" i="1" s="1"/>
  <c r="J47" i="1"/>
  <c r="U47" i="1" s="1"/>
  <c r="I47" i="1"/>
  <c r="T47" i="1" s="1"/>
  <c r="J46" i="1"/>
  <c r="U46" i="1" s="1"/>
  <c r="I46" i="1"/>
  <c r="T46" i="1" s="1"/>
  <c r="J45" i="1"/>
  <c r="U45" i="1" s="1"/>
  <c r="I45" i="1"/>
  <c r="T45" i="1" s="1"/>
  <c r="J44" i="1"/>
  <c r="U44" i="1" s="1"/>
  <c r="I44" i="1"/>
  <c r="T44" i="1" s="1"/>
  <c r="J43" i="1"/>
  <c r="U43" i="1" s="1"/>
  <c r="I43" i="1"/>
  <c r="T43" i="1" s="1"/>
  <c r="J12" i="1"/>
  <c r="U12" i="1" s="1"/>
  <c r="I12" i="1"/>
  <c r="T12" i="1" s="1"/>
  <c r="J10" i="1"/>
  <c r="U10" i="1" s="1"/>
  <c r="I10" i="1"/>
  <c r="T10" i="1" s="1"/>
  <c r="J8" i="1"/>
  <c r="U8" i="1" s="1"/>
  <c r="I8" i="1"/>
  <c r="T8" i="1" s="1"/>
  <c r="J7" i="1"/>
  <c r="U7" i="1" s="1"/>
  <c r="I7" i="1"/>
  <c r="T7" i="1" s="1"/>
  <c r="J6" i="1"/>
  <c r="U6" i="1" s="1"/>
  <c r="I6" i="1"/>
  <c r="T6" i="1" s="1"/>
  <c r="J5" i="1"/>
  <c r="U5" i="1" s="1"/>
  <c r="I5" i="1"/>
  <c r="T5" i="1" s="1"/>
  <c r="J4" i="1"/>
  <c r="U4" i="1" s="1"/>
  <c r="I4" i="1"/>
  <c r="T4" i="1" s="1"/>
  <c r="J3" i="1"/>
  <c r="U3" i="1" s="1"/>
  <c r="I3" i="1"/>
  <c r="T3" i="1" s="1"/>
  <c r="G72" i="1"/>
  <c r="G71" i="1"/>
  <c r="G70" i="1"/>
  <c r="G69" i="1"/>
  <c r="G67" i="1"/>
  <c r="G66" i="1"/>
  <c r="G65" i="1"/>
  <c r="G64" i="1"/>
  <c r="G63" i="1"/>
  <c r="G62" i="1"/>
  <c r="G61" i="1"/>
  <c r="G60" i="1"/>
  <c r="G58" i="1"/>
  <c r="G57" i="1"/>
  <c r="M57" i="1" s="1"/>
  <c r="G56" i="1"/>
  <c r="G41" i="1"/>
  <c r="M41" i="1" s="1"/>
  <c r="G40" i="1"/>
  <c r="M40" i="1" s="1"/>
  <c r="Q53" i="1"/>
  <c r="W53" i="1" s="1"/>
  <c r="Q52" i="1"/>
  <c r="W52" i="1" s="1"/>
  <c r="Q48" i="1"/>
  <c r="Q47" i="1"/>
  <c r="Q46" i="1"/>
  <c r="Q45" i="1"/>
  <c r="Q44" i="1"/>
  <c r="Q43" i="1"/>
  <c r="Q12" i="1"/>
  <c r="W13" i="1" s="1"/>
  <c r="Q10" i="1"/>
  <c r="W11" i="1" s="1"/>
  <c r="Q8" i="1"/>
  <c r="Q7" i="1"/>
  <c r="Q6" i="1"/>
  <c r="Q5" i="1"/>
  <c r="W5" i="1" s="1"/>
  <c r="Q4" i="1"/>
  <c r="W4" i="1" s="1"/>
  <c r="O77" i="1"/>
  <c r="N77" i="1" s="1"/>
  <c r="W72" i="1"/>
  <c r="W71" i="1"/>
  <c r="K53" i="1"/>
  <c r="H53" i="1" s="1"/>
  <c r="O53" i="1" s="1"/>
  <c r="N53" i="1" s="1"/>
  <c r="K52" i="1"/>
  <c r="H52" i="1" s="1"/>
  <c r="O52" i="1" s="1"/>
  <c r="N52" i="1" s="1"/>
  <c r="N13" i="1"/>
  <c r="N11" i="1"/>
  <c r="N48" i="1"/>
  <c r="N47" i="1"/>
  <c r="N46" i="1"/>
  <c r="O46" i="1" s="1"/>
  <c r="N45" i="1"/>
  <c r="O45" i="1" s="1"/>
  <c r="S74" i="1" l="1"/>
  <c r="R75" i="1"/>
  <c r="Y77" i="1"/>
  <c r="X77" i="1" s="1"/>
  <c r="J61" i="1"/>
  <c r="H61" i="1" s="1"/>
  <c r="J70" i="1"/>
  <c r="H70" i="1" s="1"/>
  <c r="M67" i="1"/>
  <c r="H56" i="1"/>
  <c r="H65" i="1"/>
  <c r="H57" i="1"/>
  <c r="M62" i="1"/>
  <c r="M64" i="1"/>
  <c r="M71" i="1"/>
  <c r="M72" i="1"/>
  <c r="H64" i="1"/>
  <c r="H66" i="1"/>
  <c r="M63" i="1"/>
  <c r="H58" i="1"/>
  <c r="H67" i="1"/>
  <c r="M65" i="1"/>
  <c r="H60" i="1"/>
  <c r="H63" i="1"/>
  <c r="H72" i="1"/>
  <c r="W8" i="1"/>
  <c r="M58" i="1"/>
  <c r="W45" i="1"/>
  <c r="W46" i="1"/>
  <c r="M66" i="1"/>
  <c r="W47" i="1"/>
  <c r="H55" i="1"/>
  <c r="W48" i="1"/>
  <c r="H62" i="1"/>
  <c r="H71" i="1"/>
  <c r="H69" i="1"/>
  <c r="W7" i="1"/>
  <c r="S7" i="1"/>
  <c r="R7" i="1" s="1"/>
  <c r="S5" i="1"/>
  <c r="R5" i="1" s="1"/>
  <c r="S44" i="1"/>
  <c r="R44" i="1" s="1"/>
  <c r="S45" i="1"/>
  <c r="S43" i="1"/>
  <c r="R43" i="1" s="1"/>
  <c r="S3" i="1"/>
  <c r="S48" i="1"/>
  <c r="S10" i="1"/>
  <c r="S12" i="1"/>
  <c r="S8" i="1"/>
  <c r="R8" i="1" s="1"/>
  <c r="S4" i="1"/>
  <c r="R4" i="1" s="1"/>
  <c r="S46" i="1"/>
  <c r="S47" i="1"/>
  <c r="R47" i="1" s="1"/>
  <c r="S6" i="1"/>
  <c r="I52" i="1"/>
  <c r="T52" i="1" s="1"/>
  <c r="J52" i="1"/>
  <c r="I53" i="1"/>
  <c r="T53" i="1" s="1"/>
  <c r="J53" i="1"/>
  <c r="R12" i="1" l="1"/>
  <c r="Y13" i="1"/>
  <c r="X13" i="1" s="1"/>
  <c r="R10" i="1"/>
  <c r="Y11" i="1"/>
  <c r="X11" i="1" s="1"/>
  <c r="R74" i="1"/>
  <c r="Y76" i="1"/>
  <c r="X76" i="1" s="1"/>
  <c r="O57" i="1"/>
  <c r="N57" i="1" s="1"/>
  <c r="O65" i="1"/>
  <c r="N65" i="1" s="1"/>
  <c r="O72" i="1"/>
  <c r="N72" i="1" s="1"/>
  <c r="O63" i="1"/>
  <c r="N63" i="1" s="1"/>
  <c r="O67" i="1"/>
  <c r="N67" i="1" s="1"/>
  <c r="O58" i="1"/>
  <c r="N58" i="1" s="1"/>
  <c r="O62" i="1"/>
  <c r="N62" i="1" s="1"/>
  <c r="O71" i="1"/>
  <c r="N71" i="1" s="1"/>
  <c r="O64" i="1"/>
  <c r="N64" i="1" s="1"/>
  <c r="O66" i="1"/>
  <c r="N66" i="1" s="1"/>
  <c r="Y47" i="1"/>
  <c r="X47" i="1" s="1"/>
  <c r="R6" i="1"/>
  <c r="Y8" i="1"/>
  <c r="X8" i="1" s="1"/>
  <c r="Y7" i="1"/>
  <c r="X7" i="1" s="1"/>
  <c r="R46" i="1"/>
  <c r="Y46" i="1"/>
  <c r="X46" i="1" s="1"/>
  <c r="R48" i="1"/>
  <c r="Y48" i="1"/>
  <c r="X48" i="1" s="1"/>
  <c r="R3" i="1"/>
  <c r="Y5" i="1"/>
  <c r="X5" i="1" s="1"/>
  <c r="Y4" i="1"/>
  <c r="X4" i="1" s="1"/>
  <c r="R45" i="1"/>
  <c r="Y45" i="1"/>
  <c r="X45" i="1" s="1"/>
  <c r="U53" i="1"/>
  <c r="S53" i="1" s="1"/>
  <c r="U52" i="1"/>
  <c r="S52" i="1" s="1"/>
  <c r="R53" i="1" l="1"/>
  <c r="Y53" i="1"/>
  <c r="X53" i="1" s="1"/>
  <c r="R52" i="1"/>
  <c r="Y52" i="1"/>
  <c r="X5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Ruth Walker</author>
    <author>tc={83ED57EE-B5C5-4659-AAE4-E3AAC0FA2AE7}</author>
    <author>Alexis Llewellyn</author>
    <author>tc={C87907E8-5B1E-4315-BB88-3DF9B8AA7914}</author>
    <author>tc={D9478FA3-9084-4C1E-9530-49C655287E3C}</author>
    <author>tc={08A7442C-8AFB-4166-917F-749A85123907}</author>
    <author>tc={F1CA08FC-0ED0-4E94-886C-A705D72DC9DE}</author>
  </authors>
  <commentList>
    <comment ref="D7" authorId="0" shapeId="0" xr:uid="{23454551-A5E6-4970-9EAB-E3C3D3DF39CD}">
      <text>
        <r>
          <rPr>
            <b/>
            <sz val="9"/>
            <color indexed="81"/>
            <rFont val="Tahoma"/>
            <family val="2"/>
          </rPr>
          <t>Ruth Walker:</t>
        </r>
        <r>
          <rPr>
            <sz val="9"/>
            <color indexed="81"/>
            <rFont val="Tahoma"/>
            <family val="2"/>
          </rPr>
          <t xml:space="preserve">
ITT</t>
        </r>
      </text>
    </comment>
    <comment ref="M18" authorId="0" shapeId="0" xr:uid="{BCEF86D9-CB68-41F2-98EB-8D5DE6E69F3E}">
      <text>
        <r>
          <rPr>
            <b/>
            <sz val="9"/>
            <color indexed="81"/>
            <rFont val="Tahoma"/>
            <family val="2"/>
          </rPr>
          <t>Ruth Walker:</t>
        </r>
        <r>
          <rPr>
            <sz val="9"/>
            <color indexed="81"/>
            <rFont val="Tahoma"/>
            <family val="2"/>
          </rPr>
          <t xml:space="preserve">
reported only At week 52 and 100</t>
        </r>
      </text>
    </comment>
    <comment ref="N34" authorId="1" shapeId="0" xr:uid="{83ED57EE-B5C5-4659-AAE4-E3AAC0FA2AE7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17.1 is typo for 7.1</t>
      </text>
    </comment>
    <comment ref="H45" authorId="2" shapeId="0" xr:uid="{ED9201F7-FDDD-49A9-84B1-2FFDD0ABED0A}">
      <text>
        <r>
          <rPr>
            <b/>
            <sz val="9"/>
            <color indexed="81"/>
            <rFont val="Tahoma"/>
            <family val="2"/>
          </rPr>
          <t>Alexis Llewellyn:</t>
        </r>
        <r>
          <rPr>
            <sz val="9"/>
            <color indexed="81"/>
            <rFont val="Tahoma"/>
            <family val="2"/>
          </rPr>
          <t xml:space="preserve">
appendix e10</t>
        </r>
      </text>
    </comment>
    <comment ref="K52" authorId="3" shapeId="0" xr:uid="{C87907E8-5B1E-4315-BB88-3DF9B8AA7914}">
      <text>
        <t>[Threaded comment]
Your version of Excel allows you to read this threaded comment; however, any edits to it will get removed if the file is opened in a newer version of Excel. Learn more: https://go.microsoft.com/fwlink/?linkid=870924
Comment:
    SEM estimated from CI</t>
      </text>
    </comment>
    <comment ref="M52" authorId="2" shapeId="0" xr:uid="{6EBE0309-D0B4-41C1-BB74-A48C5F00A25E}">
      <text>
        <r>
          <rPr>
            <b/>
            <sz val="9"/>
            <color indexed="81"/>
            <rFont val="Tahoma"/>
            <family val="2"/>
          </rPr>
          <t>Alexis Llewellyn:</t>
        </r>
        <r>
          <rPr>
            <sz val="9"/>
            <color indexed="81"/>
            <rFont val="Tahoma"/>
            <family val="2"/>
          </rPr>
          <t xml:space="preserve">
changed from 0.4 and 0.11</t>
        </r>
      </text>
    </comment>
    <comment ref="O52" authorId="4" shapeId="0" xr:uid="{D9478FA3-9084-4C1E-9530-49C655287E3C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from 20 month data</t>
      </text>
    </comment>
    <comment ref="O53" authorId="5" shapeId="0" xr:uid="{08A7442C-8AFB-4166-917F-749A8512390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from 20 month data</t>
      </text>
    </comment>
    <comment ref="B60" authorId="2" shapeId="0" xr:uid="{80170FEB-CF8D-4130-9B58-CA4E34FCF6D7}">
      <text>
        <r>
          <rPr>
            <b/>
            <sz val="9"/>
            <color indexed="81"/>
            <rFont val="Tahoma"/>
            <family val="2"/>
          </rPr>
          <t>Alexis Llewellyn:</t>
        </r>
        <r>
          <rPr>
            <sz val="9"/>
            <color indexed="81"/>
            <rFont val="Tahoma"/>
            <family val="2"/>
          </rPr>
          <t xml:space="preserve">
arms swapped</t>
        </r>
      </text>
    </comment>
    <comment ref="B62" authorId="2" shapeId="0" xr:uid="{A6F6E67A-4E25-4C54-94C3-BE862C79780E}">
      <text>
        <r>
          <rPr>
            <b/>
            <sz val="9"/>
            <color indexed="81"/>
            <rFont val="Tahoma"/>
            <family val="2"/>
          </rPr>
          <t>Alexis Llewellyn:</t>
        </r>
        <r>
          <rPr>
            <sz val="9"/>
            <color indexed="81"/>
            <rFont val="Tahoma"/>
            <family val="2"/>
          </rPr>
          <t xml:space="preserve">
arms swapped</t>
        </r>
      </text>
    </comment>
    <comment ref="D71" authorId="0" shapeId="0" xr:uid="{1050D814-5061-4802-8D9C-34670E05A9FF}">
      <text>
        <r>
          <rPr>
            <b/>
            <sz val="9"/>
            <color indexed="81"/>
            <rFont val="Tahoma"/>
            <family val="2"/>
          </rPr>
          <t>Ruth Walker:</t>
        </r>
        <r>
          <rPr>
            <sz val="9"/>
            <color indexed="81"/>
            <rFont val="Tahoma"/>
            <family val="2"/>
          </rPr>
          <t xml:space="preserve">
reported as final *</t>
        </r>
      </text>
    </comment>
    <comment ref="G76" authorId="2" shapeId="0" xr:uid="{B2527730-21F1-431F-9D0F-F7EB2E3F8F25}">
      <text>
        <r>
          <rPr>
            <b/>
            <sz val="9"/>
            <color indexed="81"/>
            <rFont val="Tahoma"/>
            <family val="2"/>
          </rPr>
          <t>Alexis Llewellyn:</t>
        </r>
        <r>
          <rPr>
            <sz val="9"/>
            <color indexed="81"/>
            <rFont val="Tahoma"/>
            <family val="2"/>
          </rPr>
          <t xml:space="preserve">
from 52.1</t>
        </r>
      </text>
    </comment>
    <comment ref="O76" authorId="6" shapeId="0" xr:uid="{F1CA08FC-0ED0-4E94-886C-A705D72DC9DE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from baseline sd</t>
      </text>
    </comment>
  </commentList>
</comments>
</file>

<file path=xl/sharedStrings.xml><?xml version="1.0" encoding="utf-8"?>
<sst xmlns="http://schemas.openxmlformats.org/spreadsheetml/2006/main" count="328" uniqueCount="73">
  <si>
    <t>Arm</t>
  </si>
  <si>
    <t>CLARITY</t>
  </si>
  <si>
    <t>Aflibercept</t>
  </si>
  <si>
    <t>PRP</t>
  </si>
  <si>
    <t xml:space="preserve">PANORAMA </t>
  </si>
  <si>
    <t>Aflibercept 2q16</t>
  </si>
  <si>
    <t>Aflibercept 2q8</t>
  </si>
  <si>
    <t xml:space="preserve">Bevacizumab </t>
  </si>
  <si>
    <t>Bevacizumab + PRP</t>
  </si>
  <si>
    <t>PROTOCOL S</t>
  </si>
  <si>
    <t>Ranibizumab</t>
  </si>
  <si>
    <t>RECOVERY</t>
  </si>
  <si>
    <t>Trial</t>
  </si>
  <si>
    <t>PROTEUS</t>
  </si>
  <si>
    <t>Ali</t>
  </si>
  <si>
    <t>PRIDE</t>
  </si>
  <si>
    <t>Marashi</t>
  </si>
  <si>
    <t xml:space="preserve"> Aflibercept monthly</t>
  </si>
  <si>
    <t xml:space="preserve"> Aflibercept quarterly</t>
  </si>
  <si>
    <t>Rebecca</t>
  </si>
  <si>
    <t>Roohipoor</t>
  </si>
  <si>
    <t>Sham injection</t>
  </si>
  <si>
    <t>logMAR</t>
  </si>
  <si>
    <t>logMAR.sem</t>
  </si>
  <si>
    <t>N</t>
  </si>
  <si>
    <t>Ferraz</t>
  </si>
  <si>
    <t>Ranibizumab + PRP</t>
  </si>
  <si>
    <t>logMAR.sd</t>
  </si>
  <si>
    <t>logMAR.low</t>
  </si>
  <si>
    <t>logMAR.high</t>
  </si>
  <si>
    <t>logMAR.mcfb.sd</t>
  </si>
  <si>
    <t>logMAR.mcfb</t>
  </si>
  <si>
    <t>logMAR.mcfb.sem</t>
  </si>
  <si>
    <t>Scale</t>
  </si>
  <si>
    <t>ETDRS</t>
  </si>
  <si>
    <t>MAR</t>
  </si>
  <si>
    <t xml:space="preserve">Ranibizumab </t>
  </si>
  <si>
    <t>Ranibizumab + PRP (ETDRS)</t>
  </si>
  <si>
    <t>Ranibizumab + PRP (PASCAL)</t>
  </si>
  <si>
    <t>Weeks</t>
  </si>
  <si>
    <t>Notes:</t>
  </si>
  <si>
    <t>Trial names and treatment codes have been simplified</t>
  </si>
  <si>
    <t>All times are in weeks</t>
  </si>
  <si>
    <t>Key:</t>
  </si>
  <si>
    <t>Standard error of mean</t>
  </si>
  <si>
    <t>sem</t>
  </si>
  <si>
    <t>sd</t>
  </si>
  <si>
    <t>standard deviation</t>
  </si>
  <si>
    <t>etdrs.mean</t>
  </si>
  <si>
    <t>etdrs.sd</t>
  </si>
  <si>
    <t>etdrs.low</t>
  </si>
  <si>
    <t>etdrs.high</t>
  </si>
  <si>
    <t>etdrs.sem</t>
  </si>
  <si>
    <t>etdrs.mcfb</t>
  </si>
  <si>
    <t>etdrs.mcfb.sem</t>
  </si>
  <si>
    <t>etdrs.mcfb.sd</t>
  </si>
  <si>
    <t>etdrs</t>
  </si>
  <si>
    <t>Data on ETDRS scale</t>
  </si>
  <si>
    <t>Data as logMAR</t>
  </si>
  <si>
    <t>mcfb</t>
  </si>
  <si>
    <t>mean change from baseline</t>
  </si>
  <si>
    <t>high/low</t>
  </si>
  <si>
    <t>limits of 95% CIs</t>
  </si>
  <si>
    <t>Yellow for standard formulae (eg. Calculating 95% CI or sem to sd)</t>
  </si>
  <si>
    <t>Blue for conversions between logMAR and ETDRS</t>
  </si>
  <si>
    <t>Where assumptions are required (usually same sd at all times/in all arms)</t>
  </si>
  <si>
    <t>Extracted as SEM , but data shows should be  SD (or vice versa)</t>
  </si>
  <si>
    <t>White cells are data direct from main extraction file</t>
  </si>
  <si>
    <t>Sao Paulo A</t>
  </si>
  <si>
    <t>Sao Paulo B</t>
  </si>
  <si>
    <t>For assumed  data errors or typos in papers  themselves</t>
  </si>
  <si>
    <t>PROTOCOL W</t>
  </si>
  <si>
    <t>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</si>
</sst>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2" borderId="0" applyNumberFormat="0" applyBorder="0" applyAlignment="0" applyProtection="0"/>
  </cellStyleXfs>
  <cellXfs count="26">
    <xf numFmtId="0" fontId="0" fillId="0" borderId="0" xfId="0"/>
    <xf numFmtId="0" fontId="1" fillId="0" borderId="0" xfId="1" applyFill="1" applyBorder="1"/>
    <xf numFmtId="0" fontId="0" fillId="0" borderId="0" xfId="0" applyFill="1" applyBorder="1"/>
    <xf numFmtId="2" fontId="0" fillId="0" borderId="0" xfId="0" applyNumberFormat="1" applyFill="1" applyBorder="1"/>
    <xf numFmtId="0" fontId="2" fillId="0" borderId="0" xfId="0" applyFont="1" applyFill="1" applyBorder="1"/>
    <xf numFmtId="0" fontId="2" fillId="0" borderId="0" xfId="1" applyFont="1" applyFill="1" applyBorder="1"/>
    <xf numFmtId="0" fontId="0" fillId="0" borderId="1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2" fillId="4" borderId="0" xfId="1" applyFont="1" applyFill="1" applyBorder="1"/>
    <xf numFmtId="0" fontId="2" fillId="3" borderId="0" xfId="1" applyFont="1" applyFill="1" applyBorder="1"/>
    <xf numFmtId="0" fontId="0" fillId="6" borderId="0" xfId="0" applyFill="1" applyBorder="1"/>
    <xf numFmtId="0" fontId="0" fillId="7" borderId="0" xfId="0" applyFill="1" applyBorder="1"/>
    <xf numFmtId="0" fontId="2" fillId="5" borderId="0" xfId="1" applyFont="1" applyFill="1" applyBorder="1"/>
    <xf numFmtId="0" fontId="0" fillId="8" borderId="0" xfId="0" applyFill="1"/>
    <xf numFmtId="0" fontId="0" fillId="0" borderId="0" xfId="0" applyFill="1"/>
    <xf numFmtId="0" fontId="0" fillId="8" borderId="0" xfId="0" applyFill="1" applyBorder="1"/>
    <xf numFmtId="0" fontId="0" fillId="3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3" borderId="0" xfId="0" applyFill="1" applyBorder="1"/>
  </cellXfs>
  <cellStyles count="3">
    <cellStyle name="Neutral" xfId="1" builtinId="28"/>
    <cellStyle name="Neutral 2" xfId="2" xr:uid="{FBBCABF0-8003-4453-94CA-53B818DAA22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k Simmonds" id="{1BA2A55D-C141-4E59-83F4-A1A839F7E373}" userId="Mark Simmond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34" dT="2022-01-06T14:43:29.15" personId="{1BA2A55D-C141-4E59-83F4-A1A839F7E373}" id="{83ED57EE-B5C5-4659-AAE4-E3AAC0FA2AE7}">
    <text>Assumed 17.1 is typo for 7.1</text>
  </threadedComment>
  <threadedComment ref="K52" dT="2022-01-05T10:53:09.00" personId="{1BA2A55D-C141-4E59-83F4-A1A839F7E373}" id="{C87907E8-5B1E-4315-BB88-3DF9B8AA7914}">
    <text>SEM estimated from CI</text>
  </threadedComment>
  <threadedComment ref="O52" dT="2022-01-05T12:44:06.58" personId="{1BA2A55D-C141-4E59-83F4-A1A839F7E373}" id="{D9478FA3-9084-4C1E-9530-49C655287E3C}">
    <text>Estimated from 20 month data</text>
  </threadedComment>
  <threadedComment ref="O53" dT="2022-01-05T12:44:06.58" personId="{1BA2A55D-C141-4E59-83F4-A1A839F7E373}" id="{08A7442C-8AFB-4166-917F-749A85123907}">
    <text>Estimated from 20 month data</text>
  </threadedComment>
  <threadedComment ref="O76" dT="2022-01-05T13:04:36.69" personId="{1BA2A55D-C141-4E59-83F4-A1A839F7E373}" id="{F1CA08FC-0ED0-4E94-886C-A705D72DC9DE}">
    <text>Estimated from baseline sd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C763-E19B-4440-ADA0-6D1914735A9D}">
  <dimension ref="A1:Y111"/>
  <sheetViews>
    <sheetView tabSelected="1" workbookViewId="0">
      <pane ySplit="615" topLeftCell="A97" activePane="bottomLeft"/>
      <selection activeCell="Y1" sqref="Y1:Y1048576"/>
      <selection pane="bottomLeft" activeCell="B112" sqref="B112"/>
    </sheetView>
  </sheetViews>
  <sheetFormatPr defaultRowHeight="15" x14ac:dyDescent="0.25"/>
  <cols>
    <col min="1" max="1" width="18.85546875" style="2" customWidth="1"/>
    <col min="2" max="2" width="27" style="2" customWidth="1"/>
    <col min="3" max="3" width="14.5703125" style="2" customWidth="1"/>
    <col min="4" max="5" width="9.140625" style="2"/>
    <col min="6" max="6" width="5.140625" style="2" customWidth="1"/>
    <col min="7" max="11" width="9.140625" style="2"/>
    <col min="12" max="12" width="4" style="2" customWidth="1"/>
    <col min="13" max="13" width="11.140625" style="2" customWidth="1"/>
    <col min="14" max="14" width="16.5703125" style="2" customWidth="1"/>
    <col min="15" max="15" width="15.85546875" style="2" customWidth="1"/>
    <col min="16" max="16" width="5.140625" style="2" customWidth="1"/>
    <col min="17" max="17" width="16.28515625" style="2" customWidth="1"/>
    <col min="18" max="21" width="12.42578125" style="2" customWidth="1"/>
    <col min="22" max="22" width="6" style="2" customWidth="1"/>
    <col min="23" max="23" width="13.140625" style="2" customWidth="1"/>
    <col min="24" max="24" width="19.140625" style="2" customWidth="1"/>
    <col min="25" max="16384" width="9.140625" style="2"/>
  </cols>
  <sheetData>
    <row r="1" spans="1:25" ht="15.75" customHeight="1" x14ac:dyDescent="0.25">
      <c r="A1" s="2" t="s">
        <v>12</v>
      </c>
      <c r="B1" s="2" t="s">
        <v>0</v>
      </c>
      <c r="C1" s="2" t="s">
        <v>24</v>
      </c>
      <c r="D1" s="2" t="s">
        <v>39</v>
      </c>
      <c r="E1" s="2" t="s">
        <v>33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M1" s="2" t="s">
        <v>53</v>
      </c>
      <c r="N1" s="2" t="s">
        <v>54</v>
      </c>
      <c r="O1" s="2" t="s">
        <v>55</v>
      </c>
      <c r="Q1" s="2" t="s">
        <v>22</v>
      </c>
      <c r="R1" s="2" t="s">
        <v>23</v>
      </c>
      <c r="S1" s="2" t="s">
        <v>27</v>
      </c>
      <c r="T1" s="2" t="s">
        <v>28</v>
      </c>
      <c r="U1" s="2" t="s">
        <v>29</v>
      </c>
      <c r="W1" s="2" t="s">
        <v>31</v>
      </c>
      <c r="X1" s="2" t="s">
        <v>32</v>
      </c>
      <c r="Y1" s="2" t="s">
        <v>30</v>
      </c>
    </row>
    <row r="3" spans="1:25" x14ac:dyDescent="0.25">
      <c r="A3" s="2" t="s">
        <v>1</v>
      </c>
      <c r="B3" s="2" t="s">
        <v>2</v>
      </c>
      <c r="C3" s="2">
        <v>112</v>
      </c>
      <c r="D3" s="2">
        <v>0</v>
      </c>
      <c r="E3" s="2" t="s">
        <v>34</v>
      </c>
      <c r="G3" s="3">
        <v>80.900000000000006</v>
      </c>
      <c r="H3" s="2">
        <v>8.3000000000000007</v>
      </c>
      <c r="I3" s="7">
        <f>G3-1.96*H3</f>
        <v>64.632000000000005</v>
      </c>
      <c r="J3" s="7">
        <f>MIN(G3+1.96*H3, 100)</f>
        <v>97.168000000000006</v>
      </c>
      <c r="Q3" s="9">
        <f>-0.02*G3+1.7</f>
        <v>8.1999999999999851E-2</v>
      </c>
      <c r="R3" s="7">
        <f>S3/SQRT(C3)</f>
        <v>1.5685525629882936E-2</v>
      </c>
      <c r="S3" s="7">
        <f>(U3-T3)/(2*1.96)</f>
        <v>0.16600000000000006</v>
      </c>
      <c r="T3" s="9">
        <f>0.02*I3+1.7</f>
        <v>2.9926400000000002</v>
      </c>
      <c r="U3" s="9">
        <f>0.02*J3+1.7</f>
        <v>3.6433600000000004</v>
      </c>
    </row>
    <row r="4" spans="1:25" x14ac:dyDescent="0.25">
      <c r="A4" s="2" t="s">
        <v>1</v>
      </c>
      <c r="B4" s="2" t="s">
        <v>2</v>
      </c>
      <c r="C4" s="2">
        <v>112</v>
      </c>
      <c r="D4" s="2">
        <v>12</v>
      </c>
      <c r="E4" s="2" t="s">
        <v>34</v>
      </c>
      <c r="G4" s="3">
        <v>82.6</v>
      </c>
      <c r="H4" s="2">
        <v>9.6</v>
      </c>
      <c r="I4" s="7">
        <f t="shared" ref="I4:I8" si="0">G4-1.96*H4</f>
        <v>63.783999999999992</v>
      </c>
      <c r="J4" s="7">
        <f t="shared" ref="J4:J8" si="1">MIN(G4+1.96*H4, 100)</f>
        <v>100</v>
      </c>
      <c r="M4" s="2">
        <v>1.4</v>
      </c>
      <c r="N4" s="2">
        <v>0.5</v>
      </c>
      <c r="O4" s="7">
        <f>SQRT(C4)*N4</f>
        <v>5.2915026221291814</v>
      </c>
      <c r="Q4" s="9">
        <f t="shared" ref="Q4:Q8" si="2">-0.02*G4+1.7</f>
        <v>4.8000000000000043E-2</v>
      </c>
      <c r="R4" s="7">
        <f t="shared" ref="R4:R8" si="3">S4/SQRT(C4)</f>
        <v>1.745964458482421E-2</v>
      </c>
      <c r="S4" s="7">
        <f t="shared" ref="S4:S8" si="4">(U4-T4)/(2*1.96)</f>
        <v>0.18477551020408176</v>
      </c>
      <c r="T4" s="9">
        <f t="shared" ref="T4:T8" si="5">0.02*I4+1.7</f>
        <v>2.9756799999999997</v>
      </c>
      <c r="U4" s="9">
        <f t="shared" ref="U4:U8" si="6">0.02*J4+1.7</f>
        <v>3.7</v>
      </c>
      <c r="W4" s="7">
        <f>Q4-Q$3</f>
        <v>-3.3999999999999808E-2</v>
      </c>
      <c r="X4" s="7">
        <f>Y4/SQRT(C4)</f>
        <v>2.3470724388354441E-2</v>
      </c>
      <c r="Y4" s="7">
        <f>SQRT(S$3^2+S4^2)</f>
        <v>0.24839079928849769</v>
      </c>
    </row>
    <row r="5" spans="1:25" x14ac:dyDescent="0.25">
      <c r="A5" s="2" t="s">
        <v>1</v>
      </c>
      <c r="B5" s="2" t="s">
        <v>2</v>
      </c>
      <c r="C5" s="2">
        <v>112</v>
      </c>
      <c r="D5" s="2">
        <v>52</v>
      </c>
      <c r="E5" s="2" t="s">
        <v>34</v>
      </c>
      <c r="G5" s="3">
        <v>82.4</v>
      </c>
      <c r="H5" s="2">
        <v>10.1</v>
      </c>
      <c r="I5" s="7">
        <f t="shared" si="0"/>
        <v>62.604000000000006</v>
      </c>
      <c r="J5" s="7">
        <f t="shared" si="1"/>
        <v>100</v>
      </c>
      <c r="M5" s="2">
        <v>1.3</v>
      </c>
      <c r="N5" s="2">
        <v>0.6</v>
      </c>
      <c r="O5" s="7">
        <f t="shared" ref="O5" si="7">SQRT(C5)*N5</f>
        <v>6.3498031465550175</v>
      </c>
      <c r="Q5" s="9">
        <f t="shared" si="2"/>
        <v>5.1999999999999824E-2</v>
      </c>
      <c r="R5" s="7">
        <f t="shared" si="3"/>
        <v>1.8028519684506458E-2</v>
      </c>
      <c r="S5" s="7">
        <f t="shared" si="4"/>
        <v>0.19079591836734697</v>
      </c>
      <c r="T5" s="9">
        <f t="shared" si="5"/>
        <v>2.95208</v>
      </c>
      <c r="U5" s="9">
        <f t="shared" si="6"/>
        <v>3.7</v>
      </c>
      <c r="W5" s="7">
        <f>Q5-Q$3</f>
        <v>-3.0000000000000027E-2</v>
      </c>
      <c r="X5" s="7">
        <f>Y5/SQRT(C5)</f>
        <v>2.3896929432467913E-2</v>
      </c>
      <c r="Y5" s="7">
        <f>SQRT(S$3^2+S5^2)</f>
        <v>0.25290132950547994</v>
      </c>
    </row>
    <row r="6" spans="1:25" x14ac:dyDescent="0.25">
      <c r="A6" s="2" t="s">
        <v>1</v>
      </c>
      <c r="B6" s="2" t="s">
        <v>3</v>
      </c>
      <c r="C6" s="2">
        <v>109</v>
      </c>
      <c r="D6" s="2">
        <v>0</v>
      </c>
      <c r="E6" s="2" t="s">
        <v>34</v>
      </c>
      <c r="G6" s="3">
        <v>81.900000000000006</v>
      </c>
      <c r="H6" s="2">
        <v>8</v>
      </c>
      <c r="I6" s="7">
        <f t="shared" si="0"/>
        <v>66.22</v>
      </c>
      <c r="J6" s="7">
        <f t="shared" si="1"/>
        <v>97.580000000000013</v>
      </c>
      <c r="Q6" s="9">
        <f t="shared" si="2"/>
        <v>6.1999999999999833E-2</v>
      </c>
      <c r="R6" s="7">
        <f t="shared" si="3"/>
        <v>1.5325220563538427E-2</v>
      </c>
      <c r="S6" s="7">
        <f t="shared" si="4"/>
        <v>0.16000000000000006</v>
      </c>
      <c r="T6" s="9">
        <f t="shared" si="5"/>
        <v>3.0244</v>
      </c>
      <c r="U6" s="9">
        <f t="shared" si="6"/>
        <v>3.6516000000000002</v>
      </c>
    </row>
    <row r="7" spans="1:25" x14ac:dyDescent="0.25">
      <c r="A7" s="2" t="s">
        <v>1</v>
      </c>
      <c r="B7" s="2" t="s">
        <v>3</v>
      </c>
      <c r="C7" s="2">
        <v>109</v>
      </c>
      <c r="D7" s="2">
        <v>12</v>
      </c>
      <c r="E7" s="2" t="s">
        <v>34</v>
      </c>
      <c r="G7" s="3">
        <v>81.3</v>
      </c>
      <c r="H7" s="2">
        <v>7.8</v>
      </c>
      <c r="I7" s="7">
        <f t="shared" si="0"/>
        <v>66.012</v>
      </c>
      <c r="J7" s="7">
        <f t="shared" si="1"/>
        <v>96.587999999999994</v>
      </c>
      <c r="M7" s="2">
        <v>-0.8</v>
      </c>
      <c r="N7" s="2">
        <v>0.4</v>
      </c>
      <c r="O7" s="7">
        <f t="shared" ref="O7:O8" si="8">SQRT(C7)*N7</f>
        <v>4.1761226035642203</v>
      </c>
      <c r="Q7" s="9">
        <f t="shared" si="2"/>
        <v>7.4000000000000066E-2</v>
      </c>
      <c r="R7" s="7">
        <f t="shared" si="3"/>
        <v>1.4942090049449953E-2</v>
      </c>
      <c r="S7" s="7">
        <f t="shared" si="4"/>
        <v>0.15599999999999992</v>
      </c>
      <c r="T7" s="9">
        <f t="shared" si="5"/>
        <v>3.0202400000000003</v>
      </c>
      <c r="U7" s="9">
        <f t="shared" si="6"/>
        <v>3.6317599999999999</v>
      </c>
      <c r="W7" s="7">
        <f>Q7-Q$6</f>
        <v>1.2000000000000233E-2</v>
      </c>
      <c r="X7" s="7">
        <f t="shared" ref="X7:X8" si="9">Y7/SQRT(C7)</f>
        <v>2.1403935160782289E-2</v>
      </c>
      <c r="Y7" s="7">
        <f>SQRT(S$6^2+S7^2)</f>
        <v>0.22346364357541473</v>
      </c>
    </row>
    <row r="8" spans="1:25" x14ac:dyDescent="0.25">
      <c r="A8" s="2" t="s">
        <v>1</v>
      </c>
      <c r="B8" s="2" t="s">
        <v>3</v>
      </c>
      <c r="C8" s="2">
        <v>109</v>
      </c>
      <c r="D8" s="2">
        <v>52</v>
      </c>
      <c r="E8" s="2" t="s">
        <v>34</v>
      </c>
      <c r="G8" s="3">
        <v>79.099999999999994</v>
      </c>
      <c r="H8" s="2">
        <v>9.6999999999999993</v>
      </c>
      <c r="I8" s="7">
        <f t="shared" si="0"/>
        <v>60.087999999999994</v>
      </c>
      <c r="J8" s="7">
        <f t="shared" si="1"/>
        <v>98.111999999999995</v>
      </c>
      <c r="M8" s="2">
        <v>-3</v>
      </c>
      <c r="N8" s="2">
        <v>0.7</v>
      </c>
      <c r="O8" s="7">
        <f t="shared" si="8"/>
        <v>7.3082145562373846</v>
      </c>
      <c r="Q8" s="9">
        <f t="shared" si="2"/>
        <v>0.1180000000000001</v>
      </c>
      <c r="R8" s="7">
        <f t="shared" si="3"/>
        <v>1.8581829933290332E-2</v>
      </c>
      <c r="S8" s="7">
        <f t="shared" si="4"/>
        <v>0.19399999999999995</v>
      </c>
      <c r="T8" s="9">
        <f t="shared" si="5"/>
        <v>2.9017599999999999</v>
      </c>
      <c r="U8" s="9">
        <f t="shared" si="6"/>
        <v>3.6622399999999997</v>
      </c>
      <c r="W8" s="7">
        <f>Q8-Q$6</f>
        <v>5.6000000000000272E-2</v>
      </c>
      <c r="X8" s="7">
        <f t="shared" si="9"/>
        <v>2.4086236505332786E-2</v>
      </c>
      <c r="Y8" s="7">
        <f>SQRT(S$6^2+S8^2)</f>
        <v>0.2514676917617848</v>
      </c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R9" s="1"/>
      <c r="S9" s="1"/>
      <c r="T9" s="1"/>
      <c r="U9" s="1"/>
      <c r="V9" s="1"/>
    </row>
    <row r="10" spans="1:25" x14ac:dyDescent="0.25">
      <c r="A10" s="2" t="s">
        <v>13</v>
      </c>
      <c r="B10" s="2" t="s">
        <v>26</v>
      </c>
      <c r="C10" s="2">
        <v>41</v>
      </c>
      <c r="D10" s="2">
        <v>0</v>
      </c>
      <c r="E10" s="2" t="s">
        <v>34</v>
      </c>
      <c r="G10" s="2">
        <v>76.099999999999994</v>
      </c>
      <c r="H10" s="2">
        <v>10.4</v>
      </c>
      <c r="I10" s="7">
        <f t="shared" ref="I10" si="10">G10-1.96*H10</f>
        <v>55.715999999999994</v>
      </c>
      <c r="J10" s="7">
        <f t="shared" ref="J10" si="11">MIN(G10+1.96*H10, 100)</f>
        <v>96.483999999999995</v>
      </c>
      <c r="Q10" s="9">
        <f>-0.02*G10+1.7</f>
        <v>0.17799999999999994</v>
      </c>
      <c r="R10" s="7">
        <f>S10/SQRT(C10)</f>
        <v>3.2484142472830047E-2</v>
      </c>
      <c r="S10" s="7">
        <f t="shared" ref="S10" si="12">(U10-T10)/(2*1.96)</f>
        <v>0.20799999999999991</v>
      </c>
      <c r="T10" s="9">
        <f t="shared" ref="T10" si="13">0.02*I10+1.7</f>
        <v>2.8143199999999999</v>
      </c>
      <c r="U10" s="9">
        <f t="shared" ref="U10" si="14">0.02*J10+1.7</f>
        <v>3.6296799999999996</v>
      </c>
    </row>
    <row r="11" spans="1:25" x14ac:dyDescent="0.25">
      <c r="A11" s="2" t="s">
        <v>13</v>
      </c>
      <c r="B11" s="2" t="s">
        <v>26</v>
      </c>
      <c r="C11" s="2">
        <v>41</v>
      </c>
      <c r="D11" s="2">
        <v>52</v>
      </c>
      <c r="E11" s="2" t="s">
        <v>34</v>
      </c>
      <c r="G11" s="2">
        <f>G10+M11</f>
        <v>75.199999999999989</v>
      </c>
      <c r="H11" s="17">
        <v>10.4</v>
      </c>
      <c r="I11" s="25">
        <f t="shared" ref="I11" si="15">G11-1.96*H11</f>
        <v>54.815999999999988</v>
      </c>
      <c r="J11" s="25">
        <f t="shared" ref="J11" si="16">MIN(G11+1.96*H11, 100)</f>
        <v>95.583999999999989</v>
      </c>
      <c r="M11" s="2">
        <v>-0.9</v>
      </c>
      <c r="N11" s="7">
        <f>O11/SQRT(C11)</f>
        <v>1.8897025188521335</v>
      </c>
      <c r="O11" s="8">
        <v>12.1</v>
      </c>
      <c r="Q11" s="9">
        <f>-0.02*G11+1.7</f>
        <v>0.19600000000000017</v>
      </c>
      <c r="R11" s="25">
        <f>S11/SQRT(C11)</f>
        <v>3.2484142472830067E-2</v>
      </c>
      <c r="S11" s="25">
        <f t="shared" ref="S11" si="17">(U11-T11)/(2*1.96)</f>
        <v>0.20800000000000002</v>
      </c>
      <c r="T11" s="9">
        <f t="shared" ref="T11" si="18">0.02*I11+1.7</f>
        <v>2.7963199999999997</v>
      </c>
      <c r="U11" s="9">
        <f t="shared" ref="U11" si="19">0.02*J11+1.7</f>
        <v>3.6116799999999998</v>
      </c>
      <c r="W11" s="25">
        <f>Q11-Q10</f>
        <v>1.8000000000000238E-2</v>
      </c>
      <c r="X11" s="25">
        <f t="shared" ref="X11" si="20">Y11/SQRT(C11)</f>
        <v>4.5939514847136154E-2</v>
      </c>
      <c r="Y11" s="25">
        <f>SQRT(S10^2+S11^2)</f>
        <v>0.29415642097360373</v>
      </c>
    </row>
    <row r="12" spans="1:25" x14ac:dyDescent="0.25">
      <c r="A12" s="2" t="s">
        <v>13</v>
      </c>
      <c r="B12" s="2" t="s">
        <v>3</v>
      </c>
      <c r="C12" s="2">
        <v>44</v>
      </c>
      <c r="D12" s="2">
        <v>0</v>
      </c>
      <c r="E12" s="2" t="s">
        <v>34</v>
      </c>
      <c r="G12" s="2">
        <v>75.099999999999994</v>
      </c>
      <c r="H12" s="2">
        <v>10.7</v>
      </c>
      <c r="I12" s="7">
        <f t="shared" ref="I12" si="21">G12-1.96*H12</f>
        <v>54.128</v>
      </c>
      <c r="J12" s="7">
        <f t="shared" ref="J12" si="22">MIN(G12+1.96*H12, 100)</f>
        <v>96.071999999999989</v>
      </c>
      <c r="Q12" s="9">
        <f>-0.02*G12+1.7</f>
        <v>0.19799999999999995</v>
      </c>
      <c r="R12" s="7">
        <f>S12/SQRT(C12)</f>
        <v>3.2261713869820692E-2</v>
      </c>
      <c r="S12" s="7">
        <f t="shared" ref="S12" si="23">(U12-T12)/(2*1.96)</f>
        <v>0.21399999999999991</v>
      </c>
      <c r="T12" s="9">
        <f t="shared" ref="T12" si="24">0.02*I12+1.7</f>
        <v>2.7825600000000001</v>
      </c>
      <c r="U12" s="9">
        <f t="shared" ref="U12:U13" si="25">0.02*J12+1.7</f>
        <v>3.6214399999999998</v>
      </c>
    </row>
    <row r="13" spans="1:25" x14ac:dyDescent="0.25">
      <c r="A13" s="2" t="s">
        <v>13</v>
      </c>
      <c r="B13" s="2" t="s">
        <v>3</v>
      </c>
      <c r="C13" s="2">
        <v>44</v>
      </c>
      <c r="D13" s="2">
        <v>52</v>
      </c>
      <c r="E13" s="2" t="s">
        <v>34</v>
      </c>
      <c r="G13" s="2">
        <f>G12+M13</f>
        <v>69.3</v>
      </c>
      <c r="H13" s="17">
        <v>10.7</v>
      </c>
      <c r="I13" s="25">
        <f t="shared" ref="I13" si="26">G13-1.96*H13</f>
        <v>48.328000000000003</v>
      </c>
      <c r="J13" s="25">
        <f t="shared" ref="J13" si="27">MIN(G13+1.96*H13, 100)</f>
        <v>90.271999999999991</v>
      </c>
      <c r="M13" s="2">
        <v>-5.8</v>
      </c>
      <c r="N13" s="7">
        <f>O13/SQRT(C13)</f>
        <v>2.2764106515621152</v>
      </c>
      <c r="O13" s="8">
        <v>15.1</v>
      </c>
      <c r="Q13" s="9">
        <f>-0.02*G13+1.7</f>
        <v>0.31400000000000006</v>
      </c>
      <c r="R13" s="25">
        <f>S13/SQRT(C13)</f>
        <v>3.2261713869820713E-2</v>
      </c>
      <c r="S13" s="25">
        <f>(U13-T13)/(2*1.96)</f>
        <v>0.21400000000000002</v>
      </c>
      <c r="T13" s="9">
        <f>0.02*I13+1.7</f>
        <v>2.66656</v>
      </c>
      <c r="U13" s="9">
        <f t="shared" si="25"/>
        <v>3.5054400000000001</v>
      </c>
      <c r="W13" s="25">
        <f>Q13-Q12</f>
        <v>0.1160000000000001</v>
      </c>
      <c r="X13" s="25">
        <f t="shared" ref="X13" si="28">Y13/SQRT(C13)</f>
        <v>4.5624953300100628E-2</v>
      </c>
      <c r="Y13" s="25">
        <f>SQRT(S12^2+S13^2)</f>
        <v>0.30264170234784232</v>
      </c>
    </row>
    <row r="15" spans="1:25" x14ac:dyDescent="0.25">
      <c r="A15" s="2" t="s">
        <v>4</v>
      </c>
      <c r="B15" s="2" t="s">
        <v>5</v>
      </c>
      <c r="C15" s="2">
        <v>122</v>
      </c>
      <c r="D15" s="5">
        <v>0</v>
      </c>
      <c r="E15" s="2" t="s">
        <v>34</v>
      </c>
      <c r="F15" s="1"/>
      <c r="G15">
        <v>82.2</v>
      </c>
      <c r="H15">
        <v>6.6</v>
      </c>
      <c r="I15" s="7">
        <f t="shared" ref="I15:I17" si="29">G15-1.96*H15</f>
        <v>69.26400000000001</v>
      </c>
      <c r="J15" s="7">
        <f t="shared" ref="J15:J17" si="30">MIN(G15+1.96*H15, 100)</f>
        <v>95.135999999999996</v>
      </c>
      <c r="K15" s="1"/>
      <c r="L15" s="1"/>
      <c r="M15" s="1"/>
      <c r="N15" s="1"/>
      <c r="O15" s="1"/>
      <c r="P15" s="1"/>
      <c r="Q15" s="9">
        <f>-0.02*G15+1.7</f>
        <v>5.5999999999999828E-2</v>
      </c>
      <c r="R15" s="7">
        <f>S15/SQRT(C15)</f>
        <v>1.1950718477612438E-2</v>
      </c>
      <c r="S15" s="7">
        <f>(U15-T15)/(2*1.96)</f>
        <v>0.13199999999999992</v>
      </c>
      <c r="T15" s="9">
        <f t="shared" ref="T15:T17" si="31">0.02*I15+1.7</f>
        <v>3.08528</v>
      </c>
      <c r="U15" s="9">
        <f t="shared" ref="U15:U17" si="32">0.02*J15+1.7</f>
        <v>3.6027199999999997</v>
      </c>
      <c r="V15" s="1"/>
    </row>
    <row r="16" spans="1:25" x14ac:dyDescent="0.25">
      <c r="A16" s="2" t="s">
        <v>4</v>
      </c>
      <c r="B16" s="2" t="s">
        <v>6</v>
      </c>
      <c r="C16" s="2">
        <v>104</v>
      </c>
      <c r="D16" s="5">
        <v>0</v>
      </c>
      <c r="E16" s="2" t="s">
        <v>34</v>
      </c>
      <c r="F16" s="1"/>
      <c r="G16">
        <v>82.3</v>
      </c>
      <c r="H16">
        <v>5.2</v>
      </c>
      <c r="I16" s="7">
        <f t="shared" si="29"/>
        <v>72.108000000000004</v>
      </c>
      <c r="J16" s="7">
        <f t="shared" si="30"/>
        <v>92.49199999999999</v>
      </c>
      <c r="K16" s="1"/>
      <c r="L16" s="1"/>
      <c r="M16" s="1"/>
      <c r="N16" s="1"/>
      <c r="O16" s="1"/>
      <c r="P16" s="1"/>
      <c r="Q16" s="9">
        <f t="shared" ref="Q16:Q17" si="33">-0.02*G16+1.7</f>
        <v>5.4000000000000048E-2</v>
      </c>
      <c r="R16" s="7">
        <f t="shared" ref="R16:R17" si="34">S16/SQRT(C16)</f>
        <v>1.019803902718556E-2</v>
      </c>
      <c r="S16" s="7">
        <f t="shared" ref="S16:S17" si="35">(U16-T16)/(2*1.96)</f>
        <v>0.1039999999999999</v>
      </c>
      <c r="T16" s="9">
        <f t="shared" si="31"/>
        <v>3.1421600000000001</v>
      </c>
      <c r="U16" s="9">
        <f t="shared" si="32"/>
        <v>3.5498399999999997</v>
      </c>
      <c r="V16" s="1"/>
    </row>
    <row r="17" spans="1:25" x14ac:dyDescent="0.25">
      <c r="A17" s="2" t="s">
        <v>4</v>
      </c>
      <c r="B17" s="2" t="s">
        <v>21</v>
      </c>
      <c r="C17" s="2">
        <v>109</v>
      </c>
      <c r="D17" s="5">
        <v>0</v>
      </c>
      <c r="E17" s="2" t="s">
        <v>34</v>
      </c>
      <c r="F17" s="1"/>
      <c r="G17">
        <v>82.7</v>
      </c>
      <c r="H17">
        <v>6</v>
      </c>
      <c r="I17" s="7">
        <f t="shared" si="29"/>
        <v>70.94</v>
      </c>
      <c r="J17" s="7">
        <f t="shared" si="30"/>
        <v>94.460000000000008</v>
      </c>
      <c r="K17" s="1"/>
      <c r="L17" s="1"/>
      <c r="M17" s="1"/>
      <c r="N17" s="1"/>
      <c r="O17" s="1"/>
      <c r="P17" s="1"/>
      <c r="Q17" s="9">
        <f t="shared" si="33"/>
        <v>4.5999999999999819E-2</v>
      </c>
      <c r="R17" s="7">
        <f t="shared" si="34"/>
        <v>1.149391542265381E-2</v>
      </c>
      <c r="S17" s="7">
        <f t="shared" si="35"/>
        <v>0.11999999999999993</v>
      </c>
      <c r="T17" s="9">
        <f t="shared" si="31"/>
        <v>3.1188000000000002</v>
      </c>
      <c r="U17" s="9">
        <f t="shared" si="32"/>
        <v>3.5891999999999999</v>
      </c>
      <c r="V17" s="1"/>
    </row>
    <row r="18" spans="1:25" x14ac:dyDescent="0.25">
      <c r="A18" s="2" t="s">
        <v>4</v>
      </c>
      <c r="B18" s="2" t="s">
        <v>5</v>
      </c>
      <c r="C18" s="2">
        <v>122</v>
      </c>
      <c r="D18" s="2">
        <v>24</v>
      </c>
      <c r="E18" s="2" t="s">
        <v>34</v>
      </c>
    </row>
    <row r="19" spans="1:25" x14ac:dyDescent="0.25">
      <c r="A19" s="2" t="s">
        <v>4</v>
      </c>
      <c r="B19" s="2" t="s">
        <v>5</v>
      </c>
      <c r="C19" s="2">
        <v>122</v>
      </c>
      <c r="D19" s="2">
        <v>52</v>
      </c>
      <c r="E19" s="2" t="s">
        <v>34</v>
      </c>
      <c r="G19" s="7">
        <f>G$15+M19</f>
        <v>83.9</v>
      </c>
      <c r="H19" s="15">
        <v>6.6</v>
      </c>
      <c r="I19" s="7">
        <f>G19-1.96*H19</f>
        <v>70.963999999999999</v>
      </c>
      <c r="J19" s="7">
        <f>MIN(G19+1.96*H19, 100)</f>
        <v>96.836000000000013</v>
      </c>
      <c r="M19" s="2">
        <v>1.7</v>
      </c>
      <c r="N19" s="7">
        <f t="shared" ref="N19:N26" si="36">O19/SQRT(C19)</f>
        <v>0.31687511114881484</v>
      </c>
      <c r="O19" s="8">
        <v>3.5</v>
      </c>
      <c r="Q19" s="9">
        <f>-0.02*G19+1.7</f>
        <v>2.1999999999999797E-2</v>
      </c>
      <c r="R19" s="7">
        <f>S19/SQRT(C19)</f>
        <v>1.1950718477612459E-2</v>
      </c>
      <c r="S19" s="7">
        <f>(U19-T19)/(2*1.96)</f>
        <v>0.13200000000000014</v>
      </c>
      <c r="T19" s="9">
        <f>0.02*I19+1.7</f>
        <v>3.1192799999999998</v>
      </c>
      <c r="U19" s="9">
        <f>0.02*J19+1.7</f>
        <v>3.6367200000000004</v>
      </c>
      <c r="W19" s="7">
        <f>Q19-Q$15</f>
        <v>-3.400000000000003E-2</v>
      </c>
      <c r="X19" s="7">
        <f>Y19/SQRT(C19)</f>
        <v>1.6900868151142272E-2</v>
      </c>
      <c r="Y19" s="7">
        <f>SQRT(S$15^2+S19^2)</f>
        <v>0.18667619023324861</v>
      </c>
    </row>
    <row r="20" spans="1:25" x14ac:dyDescent="0.25">
      <c r="A20" s="2" t="s">
        <v>4</v>
      </c>
      <c r="B20" s="2" t="s">
        <v>5</v>
      </c>
      <c r="C20" s="2">
        <v>122</v>
      </c>
      <c r="D20" s="2">
        <v>100</v>
      </c>
      <c r="E20" s="2" t="s">
        <v>34</v>
      </c>
      <c r="G20" s="7">
        <f>G$15+M20</f>
        <v>83.7</v>
      </c>
      <c r="H20" s="15">
        <v>6.6</v>
      </c>
      <c r="I20" s="7">
        <f t="shared" ref="I20" si="37">G20-1.96*H20</f>
        <v>70.76400000000001</v>
      </c>
      <c r="J20" s="7">
        <f t="shared" ref="J20" si="38">MIN(G20+1.96*H20, 100)</f>
        <v>96.635999999999996</v>
      </c>
      <c r="M20" s="2">
        <v>1.5</v>
      </c>
      <c r="N20" s="7">
        <f t="shared" si="36"/>
        <v>0.32592868575306672</v>
      </c>
      <c r="O20" s="8">
        <v>3.6</v>
      </c>
      <c r="Q20" s="9">
        <f>-0.02*G20+1.7</f>
        <v>2.5999999999999801E-2</v>
      </c>
      <c r="R20" s="7">
        <f>S20/SQRT(C20)</f>
        <v>1.1950718477612438E-2</v>
      </c>
      <c r="S20" s="7">
        <f>(U20-T20)/(2*1.96)</f>
        <v>0.13199999999999992</v>
      </c>
      <c r="T20" s="9">
        <f>0.02*I20+1.7</f>
        <v>3.1152800000000003</v>
      </c>
      <c r="U20" s="9">
        <f>0.02*J20+1.7</f>
        <v>3.6327199999999999</v>
      </c>
      <c r="W20" s="7">
        <f>Q20-Q$15</f>
        <v>-3.0000000000000027E-2</v>
      </c>
      <c r="X20" s="7">
        <f>Y20/SQRT(C20)</f>
        <v>1.6900868151142258E-2</v>
      </c>
      <c r="Y20" s="7">
        <f>SQRT(S$15^2+S20^2)</f>
        <v>0.18667619023324844</v>
      </c>
    </row>
    <row r="21" spans="1:25" x14ac:dyDescent="0.25">
      <c r="A21" s="2" t="s">
        <v>4</v>
      </c>
      <c r="B21" s="2" t="s">
        <v>6</v>
      </c>
      <c r="C21" s="2">
        <v>104</v>
      </c>
      <c r="D21" s="2">
        <v>24</v>
      </c>
      <c r="E21" s="2" t="s">
        <v>34</v>
      </c>
    </row>
    <row r="22" spans="1:25" x14ac:dyDescent="0.25">
      <c r="A22" s="2" t="s">
        <v>4</v>
      </c>
      <c r="B22" s="2" t="s">
        <v>6</v>
      </c>
      <c r="C22" s="2">
        <v>104</v>
      </c>
      <c r="D22" s="2">
        <v>52</v>
      </c>
      <c r="E22" s="2" t="s">
        <v>34</v>
      </c>
      <c r="G22" s="7">
        <f>G$16+M22</f>
        <v>83.6</v>
      </c>
      <c r="H22" s="15">
        <v>5.2</v>
      </c>
      <c r="I22" s="7">
        <f t="shared" ref="I22:I23" si="39">G22-1.96*H22</f>
        <v>73.407999999999987</v>
      </c>
      <c r="J22" s="7">
        <f t="shared" ref="J22:J23" si="40">MIN(G22+1.96*H22, 100)</f>
        <v>93.792000000000002</v>
      </c>
      <c r="M22" s="2">
        <v>1.3</v>
      </c>
      <c r="N22" s="7">
        <f t="shared" si="36"/>
        <v>0.34320323649182211</v>
      </c>
      <c r="O22" s="8">
        <v>3.5</v>
      </c>
      <c r="Q22" s="9">
        <f t="shared" ref="Q22:Q23" si="41">-0.02*G22+1.7</f>
        <v>2.8000000000000025E-2</v>
      </c>
      <c r="R22" s="7">
        <f t="shared" ref="R22:R23" si="42">S22/SQRT(C22)</f>
        <v>1.0198039027185595E-2</v>
      </c>
      <c r="S22" s="7">
        <f t="shared" ref="S22:S23" si="43">(U22-T22)/(2*1.96)</f>
        <v>0.10400000000000025</v>
      </c>
      <c r="T22" s="9">
        <f t="shared" ref="T22:T23" si="44">0.02*I22+1.7</f>
        <v>3.1681599999999994</v>
      </c>
      <c r="U22" s="9">
        <f t="shared" ref="U22:U23" si="45">0.02*J22+1.7</f>
        <v>3.5758400000000004</v>
      </c>
      <c r="W22" s="7">
        <f>Q22-Q$16</f>
        <v>-2.6000000000000023E-2</v>
      </c>
      <c r="X22" s="7">
        <f>Y22/SQRT(C22)</f>
        <v>1.0198039027185595E-2</v>
      </c>
      <c r="Y22" s="7">
        <f>SQRT(S$152^2+S22^2)</f>
        <v>0.10400000000000025</v>
      </c>
    </row>
    <row r="23" spans="1:25" x14ac:dyDescent="0.25">
      <c r="A23" s="2" t="s">
        <v>4</v>
      </c>
      <c r="B23" s="2" t="s">
        <v>6</v>
      </c>
      <c r="C23" s="2">
        <v>104</v>
      </c>
      <c r="D23" s="2">
        <v>100</v>
      </c>
      <c r="E23" s="2" t="s">
        <v>34</v>
      </c>
      <c r="G23" s="7">
        <f>G$16+M23</f>
        <v>83.1</v>
      </c>
      <c r="H23" s="15">
        <v>5.2</v>
      </c>
      <c r="I23" s="7">
        <f t="shared" si="39"/>
        <v>72.907999999999987</v>
      </c>
      <c r="J23" s="7">
        <f t="shared" si="40"/>
        <v>93.292000000000002</v>
      </c>
      <c r="M23" s="2">
        <v>0.8</v>
      </c>
      <c r="N23" s="7">
        <f t="shared" si="36"/>
        <v>0.37262065676254968</v>
      </c>
      <c r="O23" s="8">
        <v>3.8</v>
      </c>
      <c r="Q23" s="9">
        <f t="shared" si="41"/>
        <v>3.8000000000000034E-2</v>
      </c>
      <c r="R23" s="7">
        <f t="shared" si="42"/>
        <v>1.0198039027185583E-2</v>
      </c>
      <c r="S23" s="7">
        <f t="shared" si="43"/>
        <v>0.10400000000000012</v>
      </c>
      <c r="T23" s="9">
        <f t="shared" si="44"/>
        <v>3.1581599999999996</v>
      </c>
      <c r="U23" s="9">
        <f t="shared" si="45"/>
        <v>3.5658400000000001</v>
      </c>
      <c r="W23" s="7">
        <f>Q23-Q$16</f>
        <v>-1.6000000000000014E-2</v>
      </c>
      <c r="X23" s="7">
        <f>Y23/SQRT(C23)</f>
        <v>1.4422205101855958E-2</v>
      </c>
      <c r="Y23" s="7">
        <f>SQRT(S$16^2+S23^2)</f>
        <v>0.14707821048680189</v>
      </c>
    </row>
    <row r="24" spans="1:25" x14ac:dyDescent="0.25">
      <c r="A24" s="2" t="s">
        <v>4</v>
      </c>
      <c r="B24" s="2" t="s">
        <v>21</v>
      </c>
      <c r="C24" s="2">
        <v>109</v>
      </c>
      <c r="D24" s="2">
        <v>24</v>
      </c>
      <c r="E24" s="2" t="s">
        <v>34</v>
      </c>
    </row>
    <row r="25" spans="1:25" x14ac:dyDescent="0.25">
      <c r="A25" s="2" t="s">
        <v>4</v>
      </c>
      <c r="B25" s="2" t="s">
        <v>21</v>
      </c>
      <c r="C25" s="2">
        <v>109</v>
      </c>
      <c r="D25" s="2">
        <v>52</v>
      </c>
      <c r="E25" s="2" t="s">
        <v>34</v>
      </c>
      <c r="G25" s="7">
        <f>G$17+M25</f>
        <v>83.2</v>
      </c>
      <c r="H25" s="15">
        <v>6</v>
      </c>
      <c r="I25" s="7">
        <f t="shared" ref="I25:I26" si="46">G25-1.96*H25</f>
        <v>71.44</v>
      </c>
      <c r="J25" s="7">
        <f t="shared" ref="J25" si="47">MIN(G25+1.96*H25, 100)</f>
        <v>94.960000000000008</v>
      </c>
      <c r="M25" s="2">
        <v>0.5</v>
      </c>
      <c r="N25" s="7">
        <f t="shared" si="36"/>
        <v>0.28734788556634538</v>
      </c>
      <c r="O25" s="8">
        <v>3</v>
      </c>
      <c r="Q25" s="9">
        <f t="shared" ref="Q25:Q26" si="48">-0.02*G25+1.7</f>
        <v>3.599999999999981E-2</v>
      </c>
      <c r="R25" s="7">
        <f t="shared" ref="R25:R26" si="49">S25/SQRT(C25)</f>
        <v>1.149391542265382E-2</v>
      </c>
      <c r="S25" s="7">
        <f t="shared" ref="S25:S26" si="50">(U25-T25)/(2*1.96)</f>
        <v>0.12000000000000004</v>
      </c>
      <c r="T25" s="9">
        <f t="shared" ref="T25:T26" si="51">0.02*I25+1.7</f>
        <v>3.1288</v>
      </c>
      <c r="U25" s="9">
        <f t="shared" ref="U25:U26" si="52">0.02*J25+1.7</f>
        <v>3.5992000000000002</v>
      </c>
      <c r="W25" s="7">
        <f>Q25-Q$17</f>
        <v>-1.0000000000000009E-2</v>
      </c>
      <c r="X25" s="7">
        <f>Y25/SQRT(C25)</f>
        <v>1.6254851075486309E-2</v>
      </c>
      <c r="Y25" s="7">
        <f>SQRT(S$17^2+S25^2)</f>
        <v>0.16970562748477139</v>
      </c>
    </row>
    <row r="26" spans="1:25" x14ac:dyDescent="0.25">
      <c r="A26" s="2" t="s">
        <v>4</v>
      </c>
      <c r="B26" s="2" t="s">
        <v>21</v>
      </c>
      <c r="C26" s="2">
        <v>109</v>
      </c>
      <c r="D26" s="2">
        <v>100</v>
      </c>
      <c r="E26" s="2" t="s">
        <v>34</v>
      </c>
      <c r="G26" s="7">
        <f>G$17+M26</f>
        <v>83.3</v>
      </c>
      <c r="H26" s="15">
        <v>6</v>
      </c>
      <c r="I26" s="7">
        <f t="shared" si="46"/>
        <v>71.539999999999992</v>
      </c>
      <c r="J26" s="7">
        <f>MIN(G26+1.96*H26, 100)</f>
        <v>95.06</v>
      </c>
      <c r="M26" s="2">
        <v>0.6</v>
      </c>
      <c r="N26" s="7">
        <f t="shared" si="36"/>
        <v>0.30650441127076844</v>
      </c>
      <c r="O26" s="8">
        <v>3.2</v>
      </c>
      <c r="Q26" s="9">
        <f t="shared" si="48"/>
        <v>3.400000000000003E-2</v>
      </c>
      <c r="R26" s="7">
        <f t="shared" si="49"/>
        <v>1.149391542265382E-2</v>
      </c>
      <c r="S26" s="7">
        <f t="shared" si="50"/>
        <v>0.12000000000000004</v>
      </c>
      <c r="T26" s="9">
        <f t="shared" si="51"/>
        <v>3.1307999999999998</v>
      </c>
      <c r="U26" s="9">
        <f t="shared" si="52"/>
        <v>3.6012</v>
      </c>
      <c r="W26" s="7">
        <f>Q26-Q$17</f>
        <v>-1.1999999999999789E-2</v>
      </c>
      <c r="X26" s="7">
        <f>Y26/SQRT(C26)</f>
        <v>1.6254851075486309E-2</v>
      </c>
      <c r="Y26" s="7">
        <f>SQRT(S$17^2+S26^2)</f>
        <v>0.16970562748477139</v>
      </c>
    </row>
    <row r="27" spans="1:2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R27" s="1"/>
      <c r="S27" s="1"/>
      <c r="T27" s="1"/>
      <c r="U27" s="1"/>
      <c r="V27" s="1"/>
    </row>
    <row r="28" spans="1:25" x14ac:dyDescent="0.25">
      <c r="A28" s="2" t="s">
        <v>15</v>
      </c>
      <c r="B28" s="2" t="s">
        <v>10</v>
      </c>
      <c r="C28" s="2">
        <v>35</v>
      </c>
      <c r="D28" s="5">
        <v>0</v>
      </c>
      <c r="E28" s="2" t="s">
        <v>34</v>
      </c>
      <c r="F28" s="1"/>
      <c r="G28">
        <v>83.3</v>
      </c>
      <c r="H28">
        <v>7.4</v>
      </c>
      <c r="I28" s="7">
        <f t="shared" ref="I28:I30" si="53">G28-1.96*H28</f>
        <v>68.795999999999992</v>
      </c>
      <c r="J28" s="7">
        <f t="shared" ref="J28:J30" si="54">MIN(G28+1.96*H28, 100)</f>
        <v>97.804000000000002</v>
      </c>
      <c r="K28" s="1"/>
      <c r="L28" s="1"/>
      <c r="M28" s="1"/>
      <c r="N28" s="1"/>
      <c r="O28" s="1"/>
      <c r="P28" s="1"/>
      <c r="Q28" s="9">
        <f>-0.02*G28+1.7</f>
        <v>3.400000000000003E-2</v>
      </c>
      <c r="R28" s="7">
        <f>S28/SQRT(C28)</f>
        <v>2.5016565939964097E-2</v>
      </c>
      <c r="S28" s="7">
        <f t="shared" ref="S28:S30" si="55">(U28-T28)/(2*1.96)</f>
        <v>0.14800000000000005</v>
      </c>
      <c r="T28" s="9">
        <f>0.02*I28+1.7</f>
        <v>3.07592</v>
      </c>
      <c r="U28" s="9">
        <f t="shared" ref="U28:U30" si="56">0.02*J28+1.7</f>
        <v>3.6560800000000002</v>
      </c>
      <c r="V28" s="1"/>
    </row>
    <row r="29" spans="1:25" x14ac:dyDescent="0.25">
      <c r="A29" s="2" t="s">
        <v>15</v>
      </c>
      <c r="B29" s="2" t="s">
        <v>3</v>
      </c>
      <c r="C29" s="2">
        <v>36</v>
      </c>
      <c r="D29" s="5">
        <v>0</v>
      </c>
      <c r="E29" s="2" t="s">
        <v>34</v>
      </c>
      <c r="F29" s="1"/>
      <c r="G29">
        <v>80.5</v>
      </c>
      <c r="H29">
        <v>8.3000000000000007</v>
      </c>
      <c r="I29" s="7">
        <f t="shared" si="53"/>
        <v>64.231999999999999</v>
      </c>
      <c r="J29" s="7">
        <f t="shared" si="54"/>
        <v>96.768000000000001</v>
      </c>
      <c r="K29" s="1"/>
      <c r="L29" s="1"/>
      <c r="M29" s="1"/>
      <c r="N29" s="1"/>
      <c r="O29" s="1"/>
      <c r="P29" s="1"/>
      <c r="Q29" s="9">
        <f t="shared" ref="Q29:Q30" si="57">-0.02*G29+1.7</f>
        <v>8.9999999999999858E-2</v>
      </c>
      <c r="R29" s="7">
        <f t="shared" ref="R29:R30" si="58">S29/SQRT(C29)</f>
        <v>2.7666666666666676E-2</v>
      </c>
      <c r="S29" s="7">
        <f t="shared" si="55"/>
        <v>0.16600000000000006</v>
      </c>
      <c r="T29" s="9">
        <f t="shared" ref="T29:T30" si="59">0.02*I29+1.7</f>
        <v>2.9846399999999997</v>
      </c>
      <c r="U29" s="9">
        <f t="shared" si="56"/>
        <v>3.6353599999999999</v>
      </c>
      <c r="V29" s="1"/>
    </row>
    <row r="30" spans="1:25" x14ac:dyDescent="0.25">
      <c r="A30" s="2" t="s">
        <v>15</v>
      </c>
      <c r="B30" s="2" t="s">
        <v>26</v>
      </c>
      <c r="C30" s="2">
        <v>36</v>
      </c>
      <c r="D30" s="5">
        <v>0</v>
      </c>
      <c r="E30" s="2" t="s">
        <v>34</v>
      </c>
      <c r="F30" s="1"/>
      <c r="G30">
        <v>80</v>
      </c>
      <c r="H30">
        <v>9.5</v>
      </c>
      <c r="I30" s="7">
        <f t="shared" si="53"/>
        <v>61.379999999999995</v>
      </c>
      <c r="J30" s="7">
        <f t="shared" si="54"/>
        <v>98.62</v>
      </c>
      <c r="K30" s="1"/>
      <c r="L30" s="1"/>
      <c r="M30" s="1"/>
      <c r="N30" s="1"/>
      <c r="O30" s="1"/>
      <c r="P30" s="1"/>
      <c r="Q30" s="9">
        <f t="shared" si="57"/>
        <v>9.9999999999999867E-2</v>
      </c>
      <c r="R30" s="7">
        <f t="shared" si="58"/>
        <v>3.1666666666666669E-2</v>
      </c>
      <c r="S30" s="7">
        <f t="shared" si="55"/>
        <v>0.19000000000000003</v>
      </c>
      <c r="T30" s="9">
        <f t="shared" si="59"/>
        <v>2.9276</v>
      </c>
      <c r="U30" s="9">
        <f t="shared" si="56"/>
        <v>3.6724000000000001</v>
      </c>
      <c r="V30" s="1"/>
    </row>
    <row r="31" spans="1:25" x14ac:dyDescent="0.25">
      <c r="A31" s="2" t="s">
        <v>15</v>
      </c>
      <c r="B31" s="2" t="s">
        <v>10</v>
      </c>
      <c r="C31" s="2">
        <v>35</v>
      </c>
      <c r="D31" s="2">
        <v>13</v>
      </c>
      <c r="E31" s="2" t="s">
        <v>34</v>
      </c>
    </row>
    <row r="32" spans="1:25" x14ac:dyDescent="0.25">
      <c r="A32" s="2" t="s">
        <v>15</v>
      </c>
      <c r="B32" s="2" t="s">
        <v>10</v>
      </c>
      <c r="C32" s="2">
        <v>35</v>
      </c>
      <c r="D32" s="2">
        <v>52</v>
      </c>
      <c r="E32" s="2" t="s">
        <v>34</v>
      </c>
      <c r="G32" s="7">
        <f>G$28+M32</f>
        <v>84.399999999999991</v>
      </c>
      <c r="H32" s="15">
        <v>7.4</v>
      </c>
      <c r="I32" s="7">
        <f>G32-1.96*H32</f>
        <v>69.895999999999987</v>
      </c>
      <c r="J32" s="7">
        <f>MIN(G32+1.96*H32, 100)</f>
        <v>98.903999999999996</v>
      </c>
      <c r="M32" s="2">
        <v>1.1000000000000001</v>
      </c>
      <c r="N32" s="2">
        <v>7.3</v>
      </c>
      <c r="O32" s="7">
        <f>SQRT(C32)*N32</f>
        <v>43.187382416627194</v>
      </c>
      <c r="Q32" s="9">
        <f>-0.02*G32+1.7</f>
        <v>1.2000000000000011E-2</v>
      </c>
      <c r="R32" s="7">
        <f>S32/SQRT(C32)</f>
        <v>2.5016565939964097E-2</v>
      </c>
      <c r="S32" s="7">
        <f>(U32-T32)/(2*1.96)</f>
        <v>0.14800000000000005</v>
      </c>
      <c r="T32" s="9">
        <f>0.02*I32+1.7</f>
        <v>3.0979199999999998</v>
      </c>
      <c r="U32" s="9">
        <f>0.02*J32+1.7</f>
        <v>3.67808</v>
      </c>
      <c r="W32" s="7">
        <f>Q32-Q$28</f>
        <v>-2.200000000000002E-2</v>
      </c>
      <c r="X32" s="7">
        <f>Y32/SQRT(C32)</f>
        <v>3.5378766836298065E-2</v>
      </c>
      <c r="Y32" s="7">
        <f>SQRT(S$28^2+S32^2)</f>
        <v>0.20930360723121813</v>
      </c>
    </row>
    <row r="33" spans="1:25" x14ac:dyDescent="0.25">
      <c r="A33" s="2" t="s">
        <v>15</v>
      </c>
      <c r="B33" s="2" t="s">
        <v>3</v>
      </c>
      <c r="C33" s="2">
        <v>36</v>
      </c>
      <c r="D33" s="2">
        <v>13</v>
      </c>
      <c r="E33" s="2" t="s">
        <v>34</v>
      </c>
    </row>
    <row r="34" spans="1:25" x14ac:dyDescent="0.25">
      <c r="A34" s="2" t="s">
        <v>15</v>
      </c>
      <c r="B34" s="2" t="s">
        <v>3</v>
      </c>
      <c r="C34" s="2">
        <v>36</v>
      </c>
      <c r="D34" s="2">
        <v>52</v>
      </c>
      <c r="E34" s="2" t="s">
        <v>34</v>
      </c>
      <c r="G34" s="7">
        <f>G$29+M34</f>
        <v>76.8</v>
      </c>
      <c r="H34" s="15">
        <v>8.3000000000000007</v>
      </c>
      <c r="I34" s="7">
        <f>G34-1.96*H34</f>
        <v>60.531999999999996</v>
      </c>
      <c r="J34" s="7">
        <f>MIN(G34+1.96*H34, 100)</f>
        <v>93.067999999999998</v>
      </c>
      <c r="M34" s="2">
        <v>-3.7</v>
      </c>
      <c r="N34" s="12">
        <v>7.1</v>
      </c>
      <c r="O34" s="7">
        <f>SQRT(C34)*N34</f>
        <v>42.599999999999994</v>
      </c>
      <c r="Q34" s="9">
        <f>-0.02*G34+1.7</f>
        <v>0.16399999999999992</v>
      </c>
      <c r="R34" s="7">
        <f>S34/SQRT(C34)</f>
        <v>2.7666666666666655E-2</v>
      </c>
      <c r="S34" s="7">
        <f>(U34-T34)/(2*1.96)</f>
        <v>0.16599999999999993</v>
      </c>
      <c r="T34" s="9">
        <f>0.02*I34+1.7</f>
        <v>2.9106399999999999</v>
      </c>
      <c r="U34" s="9">
        <f>0.02*J34+1.7</f>
        <v>3.5613599999999996</v>
      </c>
      <c r="W34" s="7">
        <f>Q34-Q$29</f>
        <v>7.4000000000000066E-2</v>
      </c>
      <c r="X34" s="7">
        <f>Y34/SQRT(C34)</f>
        <v>3.912657522565563E-2</v>
      </c>
      <c r="Y34" s="7">
        <f>SQRT(S$29^2+S34^2)</f>
        <v>0.23475945135393378</v>
      </c>
    </row>
    <row r="35" spans="1:25" x14ac:dyDescent="0.25">
      <c r="A35" s="2" t="s">
        <v>15</v>
      </c>
      <c r="B35" s="2" t="s">
        <v>26</v>
      </c>
      <c r="C35" s="2">
        <v>36</v>
      </c>
      <c r="D35" s="2">
        <v>13</v>
      </c>
      <c r="E35" s="2" t="s">
        <v>34</v>
      </c>
    </row>
    <row r="36" spans="1:25" x14ac:dyDescent="0.25">
      <c r="A36" s="2" t="s">
        <v>15</v>
      </c>
      <c r="B36" s="2" t="s">
        <v>26</v>
      </c>
      <c r="C36" s="2">
        <v>36</v>
      </c>
      <c r="D36" s="2">
        <v>52</v>
      </c>
      <c r="E36" s="2" t="s">
        <v>34</v>
      </c>
      <c r="G36" s="7">
        <f>G$30+M36</f>
        <v>78.900000000000006</v>
      </c>
      <c r="H36" s="15">
        <v>9.5</v>
      </c>
      <c r="I36" s="7">
        <f>G36-1.96*H36</f>
        <v>60.28</v>
      </c>
      <c r="J36" s="7">
        <f>MIN(G36+1.96*H36, 100)</f>
        <v>97.52000000000001</v>
      </c>
      <c r="M36" s="2">
        <v>-1.1000000000000001</v>
      </c>
      <c r="N36" s="2">
        <v>7.8</v>
      </c>
      <c r="O36" s="7">
        <f>SQRT(C36)*N36</f>
        <v>46.8</v>
      </c>
      <c r="Q36" s="9">
        <f>-0.02*G36+1.7</f>
        <v>0.12199999999999989</v>
      </c>
      <c r="R36" s="7">
        <f>S36/SQRT(C36)</f>
        <v>3.166666666666669E-2</v>
      </c>
      <c r="S36" s="7">
        <f>(U36-T36)/(2*1.96)</f>
        <v>0.19000000000000014</v>
      </c>
      <c r="T36" s="9">
        <f>0.02*I36+1.7</f>
        <v>2.9055999999999997</v>
      </c>
      <c r="U36" s="9">
        <f>0.02*J36+1.7</f>
        <v>3.6504000000000003</v>
      </c>
      <c r="W36" s="7">
        <f>Q36-Q$30</f>
        <v>2.200000000000002E-2</v>
      </c>
      <c r="X36" s="7">
        <f>Y36/SQRT(C36)</f>
        <v>4.4783429475148025E-2</v>
      </c>
      <c r="Y36" s="7">
        <f>SQRT(S$30^2+S36^2)</f>
        <v>0.26870057685088816</v>
      </c>
    </row>
    <row r="37" spans="1:2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R37" s="1"/>
      <c r="S37" s="1"/>
      <c r="T37" s="1"/>
      <c r="U37" s="1"/>
      <c r="V37" s="1"/>
    </row>
    <row r="38" spans="1:25" x14ac:dyDescent="0.25">
      <c r="A38" s="2" t="s">
        <v>16</v>
      </c>
      <c r="B38" s="2" t="s">
        <v>7</v>
      </c>
      <c r="C38" s="2">
        <v>15</v>
      </c>
      <c r="D38" s="2">
        <v>52</v>
      </c>
      <c r="E38" s="2" t="s">
        <v>35</v>
      </c>
      <c r="F38" s="1"/>
      <c r="G38" s="9">
        <f t="shared" ref="G38:G39" si="60">(Q38-1.7)/(-0.02)</f>
        <v>55</v>
      </c>
      <c r="H38" s="11">
        <f>(J38-I38)/(2*1.96)</f>
        <v>25.510204081632654</v>
      </c>
      <c r="I38" s="14">
        <f>MAX(0,(U38-1.7)/(-0.02))</f>
        <v>0</v>
      </c>
      <c r="J38" s="14">
        <f>MIN((T38-1.7)/(-0.02),100)</f>
        <v>100</v>
      </c>
      <c r="K38" s="1"/>
      <c r="L38" s="1"/>
      <c r="M38" s="1"/>
      <c r="N38" s="1"/>
      <c r="O38" s="1"/>
      <c r="P38" s="1"/>
      <c r="Q38" s="24">
        <v>0.6</v>
      </c>
      <c r="R38" s="23">
        <v>0.2</v>
      </c>
      <c r="S38" s="11">
        <f>SQRT(C38)*R38</f>
        <v>0.7745966692414834</v>
      </c>
      <c r="T38" s="11">
        <f>Q38-1.96*S38</f>
        <v>-0.91820947171330747</v>
      </c>
      <c r="U38" s="11">
        <f>Q38+1.96*S38</f>
        <v>2.1182094717133073</v>
      </c>
      <c r="V38" s="1"/>
    </row>
    <row r="39" spans="1:25" x14ac:dyDescent="0.25">
      <c r="A39" s="2" t="s">
        <v>16</v>
      </c>
      <c r="B39" s="2" t="s">
        <v>3</v>
      </c>
      <c r="C39" s="2">
        <v>15</v>
      </c>
      <c r="D39" s="2">
        <v>52</v>
      </c>
      <c r="E39" s="2" t="s">
        <v>35</v>
      </c>
      <c r="F39" s="1"/>
      <c r="G39" s="9">
        <f t="shared" si="60"/>
        <v>60</v>
      </c>
      <c r="H39" s="11">
        <f t="shared" ref="H39:H41" si="61">(J39-I39)/(2*1.96)</f>
        <v>25.510204081632654</v>
      </c>
      <c r="I39" s="14">
        <f t="shared" ref="I39:I41" si="62">MAX(0,(U39-1.7)/(-0.02))</f>
        <v>0</v>
      </c>
      <c r="J39" s="14">
        <f t="shared" ref="J39:J41" si="63">MIN((T39-1.7)/(-0.02),100)</f>
        <v>100</v>
      </c>
      <c r="K39" s="1"/>
      <c r="L39" s="1"/>
      <c r="M39" s="1"/>
      <c r="N39" s="1"/>
      <c r="O39" s="1"/>
      <c r="P39" s="1"/>
      <c r="Q39" s="24">
        <v>0.5</v>
      </c>
      <c r="R39" s="23">
        <v>0.3</v>
      </c>
      <c r="S39" s="11">
        <f t="shared" ref="S39:S41" si="64">SQRT(C39)*R39</f>
        <v>1.1618950038622251</v>
      </c>
      <c r="T39" s="11">
        <f t="shared" ref="T39:T41" si="65">Q39-1.96*S39</f>
        <v>-1.7773142075699613</v>
      </c>
      <c r="U39" s="11">
        <f t="shared" ref="U39:U41" si="66">Q39+1.96*S39</f>
        <v>2.7773142075699613</v>
      </c>
      <c r="V39" s="1"/>
    </row>
    <row r="40" spans="1:25" x14ac:dyDescent="0.25">
      <c r="A40" s="2" t="s">
        <v>16</v>
      </c>
      <c r="B40" s="2" t="s">
        <v>7</v>
      </c>
      <c r="C40" s="2">
        <v>15</v>
      </c>
      <c r="D40" s="2">
        <v>52</v>
      </c>
      <c r="E40" s="2" t="s">
        <v>35</v>
      </c>
      <c r="G40" s="9">
        <f>(Q40-1.7)/(-0.02)</f>
        <v>64.999999999999986</v>
      </c>
      <c r="H40" s="11">
        <f t="shared" si="61"/>
        <v>25.510204081632654</v>
      </c>
      <c r="I40" s="14">
        <f t="shared" si="62"/>
        <v>0</v>
      </c>
      <c r="J40" s="14">
        <f t="shared" si="63"/>
        <v>100</v>
      </c>
      <c r="M40" s="25">
        <f>G40-G38</f>
        <v>9.9999999999999858</v>
      </c>
      <c r="N40" s="25">
        <f>O40/SQRT(C40)</f>
        <v>9.3150094813803772</v>
      </c>
      <c r="O40" s="25">
        <f>SQRT(H$38^2+H40^2)</f>
        <v>36.076876591150388</v>
      </c>
      <c r="Q40" s="2">
        <v>0.4</v>
      </c>
      <c r="R40" s="15">
        <v>0.2</v>
      </c>
      <c r="S40" s="11">
        <f t="shared" si="64"/>
        <v>0.7745966692414834</v>
      </c>
      <c r="T40" s="11">
        <f t="shared" si="65"/>
        <v>-1.1182094717133073</v>
      </c>
      <c r="U40" s="11">
        <f t="shared" si="66"/>
        <v>1.9182094717133076</v>
      </c>
      <c r="W40" s="25">
        <f>Q40-Q38</f>
        <v>-0.19999999999999996</v>
      </c>
      <c r="X40" s="25">
        <f>Y40/SQRT(C40)</f>
        <v>0.28284271247461906</v>
      </c>
      <c r="Y40" s="25">
        <f>SQRT(S$38^2+S40^2)</f>
        <v>1.0954451150103324</v>
      </c>
    </row>
    <row r="41" spans="1:25" x14ac:dyDescent="0.25">
      <c r="A41" s="2" t="s">
        <v>16</v>
      </c>
      <c r="B41" s="2" t="s">
        <v>3</v>
      </c>
      <c r="C41" s="2">
        <v>15</v>
      </c>
      <c r="D41" s="2">
        <v>52</v>
      </c>
      <c r="E41" s="2" t="s">
        <v>35</v>
      </c>
      <c r="G41" s="9">
        <f>(Q41-1.7)/(-0.02)</f>
        <v>60</v>
      </c>
      <c r="H41" s="11">
        <f t="shared" si="61"/>
        <v>25.510204081632654</v>
      </c>
      <c r="I41" s="14">
        <f t="shared" si="62"/>
        <v>0</v>
      </c>
      <c r="J41" s="14">
        <f t="shared" si="63"/>
        <v>100</v>
      </c>
      <c r="M41" s="25">
        <f>G41-G39</f>
        <v>0</v>
      </c>
      <c r="N41" s="25">
        <f t="shared" ref="N41" si="67">O41/SQRT(C41)</f>
        <v>9.3150094813803772</v>
      </c>
      <c r="O41" s="25">
        <f t="shared" ref="O41" si="68">SQRT(H$38^2+H41^2)</f>
        <v>36.076876591150388</v>
      </c>
      <c r="Q41" s="2">
        <v>0.5</v>
      </c>
      <c r="R41" s="15">
        <v>0.3</v>
      </c>
      <c r="S41" s="11">
        <f t="shared" si="64"/>
        <v>1.1618950038622251</v>
      </c>
      <c r="T41" s="11">
        <f t="shared" si="65"/>
        <v>-1.7773142075699613</v>
      </c>
      <c r="U41" s="11">
        <f t="shared" si="66"/>
        <v>2.7773142075699613</v>
      </c>
      <c r="W41" s="25">
        <f>Q41-Q39</f>
        <v>0</v>
      </c>
      <c r="X41" s="25">
        <f>Y41/SQRT(C41)</f>
        <v>0.42426406871192851</v>
      </c>
      <c r="Y41" s="25">
        <f>SQRT(S$39^2+S41^2)</f>
        <v>1.6431676725154984</v>
      </c>
    </row>
    <row r="42" spans="1:2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5" x14ac:dyDescent="0.25">
      <c r="A43" s="4" t="s">
        <v>9</v>
      </c>
      <c r="B43" s="2" t="s">
        <v>10</v>
      </c>
      <c r="C43" s="2">
        <v>160</v>
      </c>
      <c r="D43" s="5">
        <v>0</v>
      </c>
      <c r="E43" s="2" t="s">
        <v>34</v>
      </c>
      <c r="F43" s="5"/>
      <c r="G43">
        <v>78.599999999999994</v>
      </c>
      <c r="H43">
        <v>10.9</v>
      </c>
      <c r="I43" s="7">
        <f t="shared" ref="I43:I48" si="69">G43-1.96*H43</f>
        <v>57.23599999999999</v>
      </c>
      <c r="J43" s="7">
        <f t="shared" ref="J43:J48" si="70">MIN(G43+1.96*H43, 100)</f>
        <v>99.963999999999999</v>
      </c>
      <c r="M43" s="1"/>
      <c r="N43" s="1"/>
      <c r="O43" s="1"/>
      <c r="P43" s="1"/>
      <c r="Q43" s="9">
        <f t="shared" ref="Q43:Q48" si="71">-0.02*G43+1.7</f>
        <v>0.12800000000000011</v>
      </c>
      <c r="R43" s="7">
        <f t="shared" ref="R43:R48" si="72">S43/SQRT(C43)</f>
        <v>1.723441324791767E-2</v>
      </c>
      <c r="S43" s="7">
        <f t="shared" ref="S43:S48" si="73">(U43-T43)/(2*1.96)</f>
        <v>0.21800000000000005</v>
      </c>
      <c r="T43" s="9">
        <f t="shared" ref="T43:T48" si="74">0.02*I43+1.7</f>
        <v>2.8447199999999997</v>
      </c>
      <c r="U43" s="9">
        <f t="shared" ref="U43:U48" si="75">0.02*J43+1.7</f>
        <v>3.6992799999999999</v>
      </c>
    </row>
    <row r="44" spans="1:25" x14ac:dyDescent="0.25">
      <c r="A44" s="4" t="s">
        <v>9</v>
      </c>
      <c r="B44" s="2" t="s">
        <v>3</v>
      </c>
      <c r="C44" s="2">
        <v>168</v>
      </c>
      <c r="D44" s="5">
        <v>0</v>
      </c>
      <c r="E44" s="2" t="s">
        <v>34</v>
      </c>
      <c r="F44" s="5"/>
      <c r="G44">
        <v>79.099999999999994</v>
      </c>
      <c r="H44">
        <v>9.9</v>
      </c>
      <c r="I44" s="7">
        <f t="shared" si="69"/>
        <v>59.695999999999998</v>
      </c>
      <c r="J44" s="7">
        <f t="shared" si="70"/>
        <v>98.503999999999991</v>
      </c>
      <c r="M44" s="1"/>
      <c r="N44" s="1"/>
      <c r="O44" s="1"/>
      <c r="P44" s="1"/>
      <c r="Q44" s="9">
        <f t="shared" si="71"/>
        <v>0.1180000000000001</v>
      </c>
      <c r="R44" s="7">
        <f t="shared" si="72"/>
        <v>1.527603164624709E-2</v>
      </c>
      <c r="S44" s="7">
        <f t="shared" si="73"/>
        <v>0.19799999999999987</v>
      </c>
      <c r="T44" s="9">
        <f t="shared" si="74"/>
        <v>2.89392</v>
      </c>
      <c r="U44" s="9">
        <f t="shared" si="75"/>
        <v>3.6700799999999996</v>
      </c>
    </row>
    <row r="45" spans="1:25" x14ac:dyDescent="0.25">
      <c r="A45" s="4" t="s">
        <v>9</v>
      </c>
      <c r="B45" s="2" t="s">
        <v>10</v>
      </c>
      <c r="C45" s="2">
        <v>160</v>
      </c>
      <c r="D45" s="2">
        <v>104</v>
      </c>
      <c r="E45" s="2" t="s">
        <v>34</v>
      </c>
      <c r="G45" s="2">
        <v>80.3</v>
      </c>
      <c r="H45" s="2">
        <v>15.8</v>
      </c>
      <c r="I45" s="7">
        <f t="shared" si="69"/>
        <v>49.331999999999994</v>
      </c>
      <c r="J45" s="7">
        <f t="shared" si="70"/>
        <v>100</v>
      </c>
      <c r="M45" s="2">
        <v>1.8</v>
      </c>
      <c r="N45" s="7">
        <f>(4.4+0.9)/(2*1.96)</f>
        <v>1.3520408163265307</v>
      </c>
      <c r="O45" s="7">
        <f t="shared" ref="O45:O46" si="76">SQRT(C45)*N45</f>
        <v>17.10211387642083</v>
      </c>
      <c r="Q45" s="9">
        <f t="shared" si="71"/>
        <v>9.4000000000000083E-2</v>
      </c>
      <c r="R45" s="7">
        <f t="shared" si="72"/>
        <v>2.0437026082322896E-2</v>
      </c>
      <c r="S45" s="7">
        <f t="shared" si="73"/>
        <v>0.25851020408163278</v>
      </c>
      <c r="T45" s="9">
        <f t="shared" si="74"/>
        <v>2.6866399999999997</v>
      </c>
      <c r="U45" s="9">
        <f t="shared" si="75"/>
        <v>3.7</v>
      </c>
      <c r="W45" s="7">
        <f>Q45-Q43</f>
        <v>-3.400000000000003E-2</v>
      </c>
      <c r="X45" s="7">
        <f>Y45/SQRT(C45)</f>
        <v>2.6733818191376005E-2</v>
      </c>
      <c r="Y45" s="7">
        <f>SQRT(S45^2+S43^2)</f>
        <v>0.33815902415036547</v>
      </c>
    </row>
    <row r="46" spans="1:25" x14ac:dyDescent="0.25">
      <c r="A46" s="4" t="s">
        <v>9</v>
      </c>
      <c r="B46" s="2" t="s">
        <v>3</v>
      </c>
      <c r="C46" s="2">
        <v>168</v>
      </c>
      <c r="D46" s="2">
        <v>104</v>
      </c>
      <c r="E46" s="2" t="s">
        <v>34</v>
      </c>
      <c r="G46" s="2">
        <v>78.7</v>
      </c>
      <c r="H46" s="2">
        <v>12.6</v>
      </c>
      <c r="I46" s="7">
        <f t="shared" si="69"/>
        <v>54.004000000000005</v>
      </c>
      <c r="J46" s="7">
        <f t="shared" si="70"/>
        <v>100</v>
      </c>
      <c r="M46" s="2">
        <v>-0.5</v>
      </c>
      <c r="N46" s="7">
        <f>(2.7+1.7)/(2*1.96)</f>
        <v>1.1224489795918369</v>
      </c>
      <c r="O46" s="7">
        <f t="shared" si="76"/>
        <v>14.548601567854382</v>
      </c>
      <c r="Q46" s="9">
        <f t="shared" si="71"/>
        <v>0.12599999999999989</v>
      </c>
      <c r="R46" s="7">
        <f t="shared" si="72"/>
        <v>1.8105451236878525E-2</v>
      </c>
      <c r="S46" s="7">
        <f t="shared" si="73"/>
        <v>0.23467346938775518</v>
      </c>
      <c r="T46" s="9">
        <f t="shared" si="74"/>
        <v>2.7800799999999999</v>
      </c>
      <c r="U46" s="9">
        <f t="shared" si="75"/>
        <v>3.7</v>
      </c>
      <c r="W46" s="7">
        <f>Q46-Q44</f>
        <v>7.9999999999997851E-3</v>
      </c>
      <c r="X46" s="7">
        <f t="shared" ref="X46:X48" si="77">Y46/SQRT(C46)</f>
        <v>2.3688911062945225E-2</v>
      </c>
      <c r="Y46" s="7">
        <f>SQRT(S46^2+S44^2)</f>
        <v>0.30704338005318665</v>
      </c>
    </row>
    <row r="47" spans="1:25" x14ac:dyDescent="0.25">
      <c r="A47" s="4" t="s">
        <v>9</v>
      </c>
      <c r="B47" s="2" t="s">
        <v>10</v>
      </c>
      <c r="C47" s="2">
        <v>117</v>
      </c>
      <c r="D47" s="2">
        <v>260</v>
      </c>
      <c r="E47" s="2" t="s">
        <v>34</v>
      </c>
      <c r="G47" s="2">
        <v>80</v>
      </c>
      <c r="H47" s="2">
        <v>16</v>
      </c>
      <c r="I47" s="7">
        <f t="shared" si="69"/>
        <v>48.64</v>
      </c>
      <c r="J47" s="7">
        <f t="shared" si="70"/>
        <v>100</v>
      </c>
      <c r="M47" s="2">
        <v>3.1</v>
      </c>
      <c r="N47" s="7">
        <f>O47/SQRT(C47)</f>
        <v>1.3220354676701294</v>
      </c>
      <c r="O47" s="2">
        <v>14.3</v>
      </c>
      <c r="Q47" s="9">
        <f t="shared" si="71"/>
        <v>9.9999999999999867E-2</v>
      </c>
      <c r="R47" s="7">
        <f t="shared" si="72"/>
        <v>2.4225682039224292E-2</v>
      </c>
      <c r="S47" s="7">
        <f t="shared" si="73"/>
        <v>0.26204081632653065</v>
      </c>
      <c r="T47" s="9">
        <f t="shared" si="74"/>
        <v>2.6728000000000001</v>
      </c>
      <c r="U47" s="9">
        <f t="shared" si="75"/>
        <v>3.7</v>
      </c>
      <c r="W47" s="7">
        <f>Q47-Q43</f>
        <v>-2.8000000000000247E-2</v>
      </c>
      <c r="X47" s="7">
        <f t="shared" si="77"/>
        <v>3.1513040228667702E-2</v>
      </c>
      <c r="Y47" s="7">
        <f>SQRT(S47^2+S43^2)</f>
        <v>0.34086564717066253</v>
      </c>
    </row>
    <row r="48" spans="1:25" x14ac:dyDescent="0.25">
      <c r="A48" s="4" t="s">
        <v>9</v>
      </c>
      <c r="B48" s="2" t="s">
        <v>3</v>
      </c>
      <c r="C48" s="2">
        <v>123</v>
      </c>
      <c r="D48" s="2">
        <v>260</v>
      </c>
      <c r="E48" s="2" t="s">
        <v>34</v>
      </c>
      <c r="G48" s="2">
        <v>81</v>
      </c>
      <c r="H48" s="2">
        <v>12</v>
      </c>
      <c r="I48" s="7">
        <f t="shared" si="69"/>
        <v>57.480000000000004</v>
      </c>
      <c r="J48" s="7">
        <f t="shared" si="70"/>
        <v>100</v>
      </c>
      <c r="M48" s="2">
        <v>3</v>
      </c>
      <c r="N48" s="7">
        <f>O48/SQRT(C48)</f>
        <v>0.94675311640080384</v>
      </c>
      <c r="O48" s="2">
        <v>10.5</v>
      </c>
      <c r="Q48" s="9">
        <f t="shared" si="71"/>
        <v>7.9999999999999849E-2</v>
      </c>
      <c r="R48" s="7">
        <f t="shared" si="72"/>
        <v>1.9560710645948581E-2</v>
      </c>
      <c r="S48" s="7">
        <f t="shared" si="73"/>
        <v>0.2169387755102041</v>
      </c>
      <c r="T48" s="9">
        <f t="shared" si="74"/>
        <v>2.8496000000000001</v>
      </c>
      <c r="U48" s="9">
        <f t="shared" si="75"/>
        <v>3.7</v>
      </c>
      <c r="W48" s="7">
        <f>Q48-Q44</f>
        <v>-3.8000000000000256E-2</v>
      </c>
      <c r="X48" s="7">
        <f t="shared" si="77"/>
        <v>2.6483072108265671E-2</v>
      </c>
      <c r="Y48" s="7">
        <f>SQRT(S48^2+S44^2)</f>
        <v>0.29371147801859343</v>
      </c>
    </row>
    <row r="49" spans="1:2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5" x14ac:dyDescent="0.25">
      <c r="A50" s="2" t="s">
        <v>11</v>
      </c>
      <c r="B50" s="2" t="s">
        <v>17</v>
      </c>
      <c r="C50" s="2">
        <v>20</v>
      </c>
      <c r="D50" s="5">
        <v>0</v>
      </c>
      <c r="E50" s="2" t="s">
        <v>34</v>
      </c>
      <c r="F50" s="5"/>
      <c r="G50" s="6">
        <v>77.8</v>
      </c>
      <c r="H50" s="1"/>
      <c r="I50" s="1"/>
      <c r="J50" s="1"/>
      <c r="K50" s="1"/>
      <c r="L50" s="1"/>
      <c r="M50" s="1"/>
      <c r="N50" s="1"/>
      <c r="O50" s="1"/>
      <c r="P50" s="1"/>
      <c r="Q50" s="9">
        <f t="shared" ref="Q50:Q51" si="78">-0.02*G50+1.7</f>
        <v>0.14399999999999991</v>
      </c>
    </row>
    <row r="51" spans="1:25" x14ac:dyDescent="0.25">
      <c r="A51" s="2" t="s">
        <v>11</v>
      </c>
      <c r="B51" s="2" t="s">
        <v>18</v>
      </c>
      <c r="C51" s="2">
        <v>20</v>
      </c>
      <c r="D51" s="5">
        <v>0</v>
      </c>
      <c r="E51" s="2" t="s">
        <v>34</v>
      </c>
      <c r="F51" s="5"/>
      <c r="G51" s="6">
        <v>79</v>
      </c>
      <c r="H51" s="1"/>
      <c r="I51" s="1"/>
      <c r="J51" s="1"/>
      <c r="K51" s="1"/>
      <c r="L51" s="1"/>
      <c r="M51" s="1"/>
      <c r="N51" s="1"/>
      <c r="O51" s="1"/>
      <c r="P51" s="1"/>
      <c r="Q51" s="9">
        <f t="shared" si="78"/>
        <v>0.11999999999999988</v>
      </c>
    </row>
    <row r="52" spans="1:25" x14ac:dyDescent="0.25">
      <c r="A52" s="2" t="s">
        <v>11</v>
      </c>
      <c r="B52" s="2" t="s">
        <v>17</v>
      </c>
      <c r="C52" s="2">
        <v>20</v>
      </c>
      <c r="D52" s="2">
        <v>52</v>
      </c>
      <c r="E52" s="2" t="s">
        <v>34</v>
      </c>
      <c r="G52" s="2">
        <v>82.8</v>
      </c>
      <c r="H52" s="7">
        <f>K52*SQRT(C52)</f>
        <v>9.4690633741062662</v>
      </c>
      <c r="I52" s="7">
        <f t="shared" ref="I52:I53" si="79">G52-1.96*H52</f>
        <v>64.24063578675171</v>
      </c>
      <c r="J52" s="7">
        <f t="shared" ref="J52:J53" si="80">MIN(G52+1.96*H52, 100)</f>
        <v>100</v>
      </c>
      <c r="K52" s="7">
        <f>(86.9-78.6)/(2*1.96)</f>
        <v>2.1173469387755133</v>
      </c>
      <c r="M52" s="2">
        <v>4.46</v>
      </c>
      <c r="N52" s="7">
        <f>O52/SQRT(C52)</f>
        <v>2.9943807570654863</v>
      </c>
      <c r="O52" s="7">
        <f>SQRT(2) * H52</f>
        <v>13.391277846631423</v>
      </c>
      <c r="Q52" s="9">
        <f>-0.02*G52+1.7</f>
        <v>4.4000000000000039E-2</v>
      </c>
      <c r="R52" s="7">
        <f>S52/SQRT(C52)</f>
        <v>4.0796106741324736E-2</v>
      </c>
      <c r="S52" s="7">
        <f t="shared" ref="S52:S53" si="81">(U52-T52)/(2*1.96)</f>
        <v>0.18244573578187909</v>
      </c>
      <c r="T52" s="9">
        <f t="shared" ref="T52:T53" si="82">0.02*I52+1.7</f>
        <v>2.9848127157350341</v>
      </c>
      <c r="U52" s="9">
        <f t="shared" ref="U52:U53" si="83">0.02*J52+1.7</f>
        <v>3.7</v>
      </c>
      <c r="W52" s="2">
        <f>Q52-Q50</f>
        <v>-9.9999999999999867E-2</v>
      </c>
      <c r="X52" s="7">
        <f t="shared" ref="X52:X53" si="84">Y52/SQRT(C52)</f>
        <v>5.7694407445601899E-2</v>
      </c>
      <c r="Y52" s="13">
        <f>SQRT(2)*S52</f>
        <v>0.25801723393987169</v>
      </c>
    </row>
    <row r="53" spans="1:25" x14ac:dyDescent="0.25">
      <c r="A53" s="2" t="s">
        <v>11</v>
      </c>
      <c r="B53" s="2" t="s">
        <v>18</v>
      </c>
      <c r="C53" s="2">
        <v>20</v>
      </c>
      <c r="D53" s="2">
        <v>52</v>
      </c>
      <c r="E53" s="2" t="s">
        <v>34</v>
      </c>
      <c r="G53" s="2">
        <v>80.3</v>
      </c>
      <c r="H53" s="7">
        <f>K53*SQRT(C53)</f>
        <v>13.119786602677339</v>
      </c>
      <c r="I53" s="7">
        <f t="shared" si="79"/>
        <v>54.585218258752413</v>
      </c>
      <c r="J53" s="7">
        <f t="shared" si="80"/>
        <v>100</v>
      </c>
      <c r="K53" s="7">
        <f>(83.8-72.3)/(2*1.96)</f>
        <v>2.9336734693877551</v>
      </c>
      <c r="M53" s="2">
        <v>1.1100000000000001</v>
      </c>
      <c r="N53" s="7">
        <f>O53/SQRT(C53)</f>
        <v>4.1488408079822943</v>
      </c>
      <c r="O53" s="7">
        <f>SQRT(2) * H53</f>
        <v>18.554180148947125</v>
      </c>
      <c r="Q53" s="9">
        <f>-0.02*G53+1.7</f>
        <v>9.4000000000000083E-2</v>
      </c>
      <c r="R53" s="7">
        <f>S53/SQRT(C53)</f>
        <v>5.1811499569768313E-2</v>
      </c>
      <c r="S53" s="7">
        <f t="shared" si="81"/>
        <v>0.23170807010840613</v>
      </c>
      <c r="T53" s="9">
        <f t="shared" si="82"/>
        <v>2.7917043651750482</v>
      </c>
      <c r="U53" s="9">
        <f t="shared" si="83"/>
        <v>3.7</v>
      </c>
      <c r="W53" s="2">
        <f>Q53-Q51</f>
        <v>-2.5999999999999801E-2</v>
      </c>
      <c r="X53" s="7">
        <f t="shared" si="84"/>
        <v>7.3272525378454134E-2</v>
      </c>
      <c r="Y53" s="13">
        <f>SQRT(2)*S53</f>
        <v>0.32768469525860394</v>
      </c>
    </row>
    <row r="54" spans="1:2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5" x14ac:dyDescent="0.25">
      <c r="A55" s="2" t="s">
        <v>14</v>
      </c>
      <c r="B55" s="2" t="s">
        <v>8</v>
      </c>
      <c r="C55" s="2">
        <v>30</v>
      </c>
      <c r="D55" s="5">
        <v>0</v>
      </c>
      <c r="E55" s="2" t="s">
        <v>35</v>
      </c>
      <c r="F55" s="5"/>
      <c r="G55" s="9">
        <f>(Q55-1.7)/(-0.02)</f>
        <v>53</v>
      </c>
      <c r="H55" s="11">
        <f>(J55-I55)/(2*1.96)</f>
        <v>8.5</v>
      </c>
      <c r="I55" s="14">
        <f>(U55-1.7)/(-0.02)</f>
        <v>36.339999999999996</v>
      </c>
      <c r="J55" s="14">
        <f>MIN((T55-1.7)/(-0.02),100)</f>
        <v>69.66</v>
      </c>
      <c r="K55" s="1"/>
      <c r="L55" s="1"/>
      <c r="M55" s="1"/>
      <c r="N55" s="1"/>
      <c r="O55" s="1"/>
      <c r="P55" s="1"/>
      <c r="Q55" s="5">
        <v>0.64</v>
      </c>
      <c r="R55" s="7">
        <f>S55/SQRT(C55)</f>
        <v>3.1037611591959415E-2</v>
      </c>
      <c r="S55" s="10">
        <v>0.17</v>
      </c>
      <c r="T55" s="11">
        <f>Q55-1.96*S55</f>
        <v>0.30680000000000002</v>
      </c>
      <c r="U55" s="11">
        <f>Q55+1.96*S55</f>
        <v>0.97320000000000007</v>
      </c>
      <c r="V55" s="5"/>
    </row>
    <row r="56" spans="1:25" x14ac:dyDescent="0.25">
      <c r="A56" s="2" t="s">
        <v>14</v>
      </c>
      <c r="B56" s="2" t="s">
        <v>3</v>
      </c>
      <c r="C56" s="2">
        <v>30</v>
      </c>
      <c r="D56" s="5">
        <v>0</v>
      </c>
      <c r="E56" s="2" t="s">
        <v>35</v>
      </c>
      <c r="F56" s="5"/>
      <c r="G56" s="9">
        <f t="shared" ref="G56:G58" si="85">(Q56-1.7)/(-0.02)</f>
        <v>55</v>
      </c>
      <c r="H56" s="11">
        <f t="shared" ref="H56:H58" si="86">(J56-I56)/(2*1.96)</f>
        <v>7.9999999999999982</v>
      </c>
      <c r="I56" s="14">
        <f t="shared" ref="I56:I58" si="87">(U56-1.7)/(-0.02)</f>
        <v>39.32</v>
      </c>
      <c r="J56" s="14">
        <f t="shared" ref="J56:J58" si="88">MIN((T56-1.7)/(-0.02),100)</f>
        <v>70.679999999999993</v>
      </c>
      <c r="K56" s="1"/>
      <c r="L56" s="1"/>
      <c r="M56" s="1"/>
      <c r="N56" s="1"/>
      <c r="O56" s="1"/>
      <c r="P56" s="1"/>
      <c r="Q56" s="5">
        <v>0.6</v>
      </c>
      <c r="R56" s="7">
        <f t="shared" ref="R56:R58" si="89">S56/SQRT(C56)</f>
        <v>2.9211869733608859E-2</v>
      </c>
      <c r="S56" s="10">
        <v>0.16</v>
      </c>
      <c r="T56" s="11">
        <f t="shared" ref="T56:T58" si="90">Q56-1.96*S56</f>
        <v>0.28639999999999999</v>
      </c>
      <c r="U56" s="11">
        <f t="shared" ref="U56:U58" si="91">Q56+1.96*S56</f>
        <v>0.91359999999999997</v>
      </c>
      <c r="V56" s="5"/>
    </row>
    <row r="57" spans="1:25" x14ac:dyDescent="0.25">
      <c r="A57" s="2" t="s">
        <v>14</v>
      </c>
      <c r="B57" s="2" t="s">
        <v>8</v>
      </c>
      <c r="C57" s="2">
        <v>30</v>
      </c>
      <c r="D57" s="2">
        <v>4</v>
      </c>
      <c r="E57" s="2" t="s">
        <v>35</v>
      </c>
      <c r="G57" s="9">
        <f t="shared" si="85"/>
        <v>60.5</v>
      </c>
      <c r="H57" s="11">
        <f t="shared" si="86"/>
        <v>10.5</v>
      </c>
      <c r="I57" s="14">
        <f t="shared" si="87"/>
        <v>39.92</v>
      </c>
      <c r="J57" s="14">
        <f t="shared" si="88"/>
        <v>81.08</v>
      </c>
      <c r="K57" s="4"/>
      <c r="L57" s="4"/>
      <c r="M57" s="7">
        <f>G57-G55</f>
        <v>7.5</v>
      </c>
      <c r="N57" s="7">
        <f>O57/SQRT(C57)</f>
        <v>2.4664414311581235</v>
      </c>
      <c r="O57" s="7">
        <f>SQRT(H57^2+H55^2)</f>
        <v>13.509256086106296</v>
      </c>
      <c r="Q57" s="2">
        <v>0.49</v>
      </c>
      <c r="R57" s="7">
        <f t="shared" si="89"/>
        <v>3.8340579025361629E-2</v>
      </c>
      <c r="S57" s="8">
        <v>0.21</v>
      </c>
      <c r="T57" s="11">
        <f t="shared" si="90"/>
        <v>7.8400000000000025E-2</v>
      </c>
      <c r="U57" s="11">
        <f t="shared" si="91"/>
        <v>0.90159999999999996</v>
      </c>
      <c r="V57" s="5"/>
      <c r="W57" s="2">
        <f>Q57-Q55</f>
        <v>-0.15000000000000002</v>
      </c>
      <c r="X57" s="7">
        <f t="shared" ref="X57:X58" si="92">Y57/SQRT(C57)</f>
        <v>4.9328828623162464E-2</v>
      </c>
      <c r="Y57" s="7">
        <f>SQRT(S57^2+S55^2)</f>
        <v>0.27018512172212589</v>
      </c>
    </row>
    <row r="58" spans="1:25" x14ac:dyDescent="0.25">
      <c r="A58" s="2" t="s">
        <v>14</v>
      </c>
      <c r="B58" s="2" t="s">
        <v>3</v>
      </c>
      <c r="C58" s="2">
        <v>30</v>
      </c>
      <c r="D58" s="2">
        <v>4</v>
      </c>
      <c r="E58" s="2" t="s">
        <v>35</v>
      </c>
      <c r="G58" s="9">
        <f t="shared" si="85"/>
        <v>55</v>
      </c>
      <c r="H58" s="11">
        <f t="shared" si="86"/>
        <v>8.9999999999999964</v>
      </c>
      <c r="I58" s="14">
        <f t="shared" si="87"/>
        <v>37.36</v>
      </c>
      <c r="J58" s="14">
        <f t="shared" si="88"/>
        <v>72.639999999999986</v>
      </c>
      <c r="M58" s="7">
        <f>G58-G56</f>
        <v>0</v>
      </c>
      <c r="N58" s="7">
        <f>O58/SQRT(C58)</f>
        <v>2.1984843263788192</v>
      </c>
      <c r="O58" s="7">
        <f>SQRT(H58^2+H56^2)</f>
        <v>12.041594578792292</v>
      </c>
      <c r="Q58" s="2">
        <v>0.6</v>
      </c>
      <c r="R58" s="7">
        <f t="shared" si="89"/>
        <v>3.2863353450309968E-2</v>
      </c>
      <c r="S58" s="8">
        <v>0.18</v>
      </c>
      <c r="T58" s="11">
        <f t="shared" si="90"/>
        <v>0.24719999999999998</v>
      </c>
      <c r="U58" s="11">
        <f t="shared" si="91"/>
        <v>0.95279999999999998</v>
      </c>
      <c r="V58" s="5"/>
      <c r="W58" s="2">
        <f>Q58-Q56</f>
        <v>0</v>
      </c>
      <c r="X58" s="7">
        <f t="shared" si="92"/>
        <v>4.3969686527576393E-2</v>
      </c>
      <c r="Y58" s="7">
        <f t="shared" ref="Y58" si="93">SQRT(S58^2+S56^2)</f>
        <v>0.24083189157584589</v>
      </c>
    </row>
    <row r="59" spans="1:2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S59" s="1"/>
      <c r="T59" s="1"/>
      <c r="U59" s="1"/>
      <c r="V59" s="1"/>
    </row>
    <row r="60" spans="1:25" x14ac:dyDescent="0.25">
      <c r="A60" s="2" t="s">
        <v>19</v>
      </c>
      <c r="B60" s="2" t="s">
        <v>3</v>
      </c>
      <c r="C60" s="2">
        <v>38</v>
      </c>
      <c r="D60" s="5">
        <v>0</v>
      </c>
      <c r="E60" s="2" t="s">
        <v>35</v>
      </c>
      <c r="F60" s="5"/>
      <c r="G60" s="9">
        <f t="shared" ref="G60:G67" si="94">(Q60-1.7)/(-0.02)</f>
        <v>67.5</v>
      </c>
      <c r="H60" s="11">
        <f t="shared" ref="H60:H67" si="95">(J60-I60)/(2*1.96)</f>
        <v>23.290816326530614</v>
      </c>
      <c r="I60" s="14">
        <f t="shared" ref="I60:I67" si="96">(U60-1.7)/(-0.02)</f>
        <v>8.7000000000000082</v>
      </c>
      <c r="J60" s="14">
        <f t="shared" ref="J60:J67" si="97">MIN((T60-1.7)/(-0.02),100)</f>
        <v>100</v>
      </c>
      <c r="K60" s="1"/>
      <c r="L60" s="1"/>
      <c r="M60" s="1"/>
      <c r="N60" s="1"/>
      <c r="O60" s="1"/>
      <c r="P60" s="1"/>
      <c r="Q60" s="5">
        <v>0.35</v>
      </c>
      <c r="R60" s="7">
        <f t="shared" ref="R60:R67" si="98">S60/SQRT(C60)</f>
        <v>9.7332852678457524E-2</v>
      </c>
      <c r="S60" s="10">
        <v>0.6</v>
      </c>
      <c r="T60" s="11">
        <f t="shared" ref="T60:T67" si="99">Q60-1.96*S60</f>
        <v>-0.82599999999999996</v>
      </c>
      <c r="U60" s="11">
        <f t="shared" ref="U60:U67" si="100">Q60+1.96*S60</f>
        <v>1.5259999999999998</v>
      </c>
      <c r="V60" s="5"/>
    </row>
    <row r="61" spans="1:25" x14ac:dyDescent="0.25">
      <c r="A61" s="2" t="s">
        <v>19</v>
      </c>
      <c r="B61" s="2" t="s">
        <v>8</v>
      </c>
      <c r="C61" s="2">
        <v>38</v>
      </c>
      <c r="D61" s="5">
        <v>0</v>
      </c>
      <c r="E61" s="2" t="s">
        <v>35</v>
      </c>
      <c r="F61" s="5"/>
      <c r="G61" s="9">
        <f t="shared" si="94"/>
        <v>67.999999999999986</v>
      </c>
      <c r="H61" s="11">
        <f t="shared" si="95"/>
        <v>23.163265306122447</v>
      </c>
      <c r="I61" s="14">
        <f t="shared" si="96"/>
        <v>9.1999999999999975</v>
      </c>
      <c r="J61" s="14">
        <f t="shared" si="97"/>
        <v>100</v>
      </c>
      <c r="K61" s="1"/>
      <c r="L61" s="1"/>
      <c r="M61" s="1"/>
      <c r="N61" s="1"/>
      <c r="O61" s="1"/>
      <c r="P61" s="1"/>
      <c r="Q61" s="5">
        <v>0.34</v>
      </c>
      <c r="R61" s="7">
        <f t="shared" si="98"/>
        <v>9.7332852678457524E-2</v>
      </c>
      <c r="S61" s="10">
        <v>0.6</v>
      </c>
      <c r="T61" s="11">
        <f t="shared" si="99"/>
        <v>-0.83599999999999985</v>
      </c>
      <c r="U61" s="11">
        <f t="shared" si="100"/>
        <v>1.516</v>
      </c>
      <c r="V61" s="5"/>
    </row>
    <row r="62" spans="1:25" x14ac:dyDescent="0.25">
      <c r="A62" s="2" t="s">
        <v>19</v>
      </c>
      <c r="B62" s="2" t="s">
        <v>3</v>
      </c>
      <c r="C62" s="2">
        <v>38</v>
      </c>
      <c r="D62" s="2">
        <v>4</v>
      </c>
      <c r="E62" s="2" t="s">
        <v>35</v>
      </c>
      <c r="G62" s="9">
        <f t="shared" si="94"/>
        <v>64.999999999999986</v>
      </c>
      <c r="H62" s="11">
        <f t="shared" si="95"/>
        <v>2.4999999999999991</v>
      </c>
      <c r="I62" s="14">
        <f t="shared" si="96"/>
        <v>60.099999999999994</v>
      </c>
      <c r="J62" s="14">
        <f t="shared" si="97"/>
        <v>69.899999999999991</v>
      </c>
      <c r="M62" s="7">
        <f>G62-G$60</f>
        <v>-2.5000000000000142</v>
      </c>
      <c r="N62" s="7">
        <f t="shared" ref="N62:N67" si="101">O62/SQRT(C62)</f>
        <v>3.7999727324374355</v>
      </c>
      <c r="O62" s="7">
        <f>SQRT(H62^2+H$60^2)</f>
        <v>23.42460512273761</v>
      </c>
      <c r="Q62" s="2">
        <v>0.4</v>
      </c>
      <c r="R62" s="7">
        <f t="shared" si="98"/>
        <v>8.1110710565381276E-3</v>
      </c>
      <c r="S62" s="8">
        <v>0.05</v>
      </c>
      <c r="T62" s="11">
        <f t="shared" si="99"/>
        <v>0.30200000000000005</v>
      </c>
      <c r="U62" s="11">
        <f t="shared" si="100"/>
        <v>0.498</v>
      </c>
      <c r="V62" s="5"/>
      <c r="W62" s="2">
        <f>Q62-Q$60</f>
        <v>5.0000000000000044E-2</v>
      </c>
      <c r="X62" s="7">
        <f t="shared" ref="X62:X67" si="102">Y62/SQRT(C62)</f>
        <v>9.7670229262608613E-2</v>
      </c>
      <c r="Y62" s="7">
        <f>SQRT(S62^2+S60^2)</f>
        <v>0.60207972893961481</v>
      </c>
    </row>
    <row r="63" spans="1:25" x14ac:dyDescent="0.25">
      <c r="A63" s="2" t="s">
        <v>19</v>
      </c>
      <c r="B63" s="2" t="s">
        <v>8</v>
      </c>
      <c r="C63" s="2">
        <v>38</v>
      </c>
      <c r="D63" s="2">
        <v>4</v>
      </c>
      <c r="E63" s="2" t="s">
        <v>35</v>
      </c>
      <c r="G63" s="9">
        <f t="shared" si="94"/>
        <v>79.999999999999986</v>
      </c>
      <c r="H63" s="11">
        <f t="shared" si="95"/>
        <v>1.5000000000000024</v>
      </c>
      <c r="I63" s="14">
        <f t="shared" si="96"/>
        <v>77.059999999999988</v>
      </c>
      <c r="J63" s="14">
        <f t="shared" si="97"/>
        <v>82.94</v>
      </c>
      <c r="M63" s="7">
        <f>G63-G$61</f>
        <v>12</v>
      </c>
      <c r="N63" s="7">
        <f t="shared" si="101"/>
        <v>3.7654483889068873</v>
      </c>
      <c r="O63" s="7">
        <f>SQRT(H63^2+H$61^2)</f>
        <v>23.211782776034585</v>
      </c>
      <c r="Q63" s="2">
        <v>0.1</v>
      </c>
      <c r="R63" s="7">
        <f t="shared" si="98"/>
        <v>4.866642633922876E-3</v>
      </c>
      <c r="S63" s="8">
        <v>0.03</v>
      </c>
      <c r="T63" s="11">
        <f t="shared" si="99"/>
        <v>4.1200000000000007E-2</v>
      </c>
      <c r="U63" s="11">
        <f t="shared" si="100"/>
        <v>0.1588</v>
      </c>
      <c r="V63" s="5"/>
      <c r="W63" s="2">
        <f>Q63-Q$61</f>
        <v>-0.24000000000000002</v>
      </c>
      <c r="X63" s="7">
        <f t="shared" si="102"/>
        <v>9.7454442797917804E-2</v>
      </c>
      <c r="Y63" s="7">
        <f>SQRT(S63^2+S61^2)</f>
        <v>0.60074953183502355</v>
      </c>
    </row>
    <row r="64" spans="1:25" x14ac:dyDescent="0.25">
      <c r="A64" s="2" t="s">
        <v>19</v>
      </c>
      <c r="B64" s="2" t="s">
        <v>3</v>
      </c>
      <c r="C64" s="2">
        <v>38</v>
      </c>
      <c r="D64" s="2">
        <v>13</v>
      </c>
      <c r="E64" s="2" t="s">
        <v>35</v>
      </c>
      <c r="G64" s="9">
        <f t="shared" si="94"/>
        <v>64.999999999999986</v>
      </c>
      <c r="H64" s="11">
        <f t="shared" si="95"/>
        <v>2.0000000000000009</v>
      </c>
      <c r="I64" s="14">
        <f t="shared" si="96"/>
        <v>61.08</v>
      </c>
      <c r="J64" s="14">
        <f t="shared" si="97"/>
        <v>68.92</v>
      </c>
      <c r="M64" s="7">
        <f>G64-G$60</f>
        <v>-2.5000000000000142</v>
      </c>
      <c r="N64" s="7">
        <f t="shared" si="101"/>
        <v>3.7921738147073691</v>
      </c>
      <c r="O64" s="7">
        <f>SQRT(H64^2+H$60^2)</f>
        <v>23.376529365074386</v>
      </c>
      <c r="Q64" s="2">
        <v>0.4</v>
      </c>
      <c r="R64" s="7">
        <f t="shared" si="98"/>
        <v>6.4888568452305022E-3</v>
      </c>
      <c r="S64" s="8">
        <v>0.04</v>
      </c>
      <c r="T64" s="11">
        <f t="shared" si="99"/>
        <v>0.3216</v>
      </c>
      <c r="U64" s="11">
        <f t="shared" si="100"/>
        <v>0.47840000000000005</v>
      </c>
      <c r="V64" s="5"/>
      <c r="W64" s="2">
        <f>Q64-Q$60</f>
        <v>5.0000000000000044E-2</v>
      </c>
      <c r="X64" s="7">
        <f t="shared" si="102"/>
        <v>9.7548908111183955E-2</v>
      </c>
      <c r="Y64" s="7">
        <f>SQRT(S64^2+S60^2)</f>
        <v>0.60133185513491627</v>
      </c>
    </row>
    <row r="65" spans="1:25" x14ac:dyDescent="0.25">
      <c r="A65" s="2" t="s">
        <v>19</v>
      </c>
      <c r="B65" s="2" t="s">
        <v>8</v>
      </c>
      <c r="C65" s="2">
        <v>38</v>
      </c>
      <c r="D65" s="2">
        <v>13</v>
      </c>
      <c r="E65" s="2" t="s">
        <v>35</v>
      </c>
      <c r="G65" s="9">
        <f t="shared" si="94"/>
        <v>79.999999999999986</v>
      </c>
      <c r="H65" s="11">
        <f t="shared" si="95"/>
        <v>1.0000000000000004</v>
      </c>
      <c r="I65" s="14">
        <f t="shared" si="96"/>
        <v>78.039999999999992</v>
      </c>
      <c r="J65" s="14">
        <f t="shared" si="97"/>
        <v>81.96</v>
      </c>
      <c r="M65" s="7">
        <f>G65-G$61</f>
        <v>12</v>
      </c>
      <c r="N65" s="7">
        <f t="shared" si="101"/>
        <v>3.7610778817620041</v>
      </c>
      <c r="O65" s="7">
        <f>SQRT(H65^2+H$61^2)</f>
        <v>23.184841160590594</v>
      </c>
      <c r="Q65" s="2">
        <v>0.1</v>
      </c>
      <c r="R65" s="7">
        <f t="shared" si="98"/>
        <v>3.2444284226152511E-3</v>
      </c>
      <c r="S65" s="8">
        <v>0.02</v>
      </c>
      <c r="T65" s="11">
        <f t="shared" si="99"/>
        <v>6.0800000000000007E-2</v>
      </c>
      <c r="U65" s="11">
        <f t="shared" si="100"/>
        <v>0.13919999999999999</v>
      </c>
      <c r="V65" s="5"/>
      <c r="W65" s="2">
        <f>Q65-Q$61</f>
        <v>-0.24000000000000002</v>
      </c>
      <c r="X65" s="7">
        <f t="shared" si="102"/>
        <v>9.7386911473338084E-2</v>
      </c>
      <c r="Y65" s="7">
        <f>SQRT(S65^2+S61^2)</f>
        <v>0.60033324079214534</v>
      </c>
    </row>
    <row r="66" spans="1:25" x14ac:dyDescent="0.25">
      <c r="A66" s="2" t="s">
        <v>19</v>
      </c>
      <c r="B66" s="2" t="s">
        <v>3</v>
      </c>
      <c r="C66" s="2">
        <v>38</v>
      </c>
      <c r="D66" s="2">
        <v>26</v>
      </c>
      <c r="E66" s="2" t="s">
        <v>35</v>
      </c>
      <c r="G66" s="9">
        <f t="shared" si="94"/>
        <v>64</v>
      </c>
      <c r="H66" s="11">
        <f t="shared" si="95"/>
        <v>3.5000000000000036</v>
      </c>
      <c r="I66" s="14">
        <f t="shared" si="96"/>
        <v>57.139999999999986</v>
      </c>
      <c r="J66" s="14">
        <f t="shared" si="97"/>
        <v>70.86</v>
      </c>
      <c r="M66" s="7">
        <f>G66-G$60</f>
        <v>-3.5</v>
      </c>
      <c r="N66" s="7">
        <f t="shared" si="101"/>
        <v>3.8206920190078311</v>
      </c>
      <c r="O66" s="7">
        <f>SQRT(H66^2+H$60^2)</f>
        <v>23.552327383003682</v>
      </c>
      <c r="Q66" s="2">
        <v>0.42</v>
      </c>
      <c r="R66" s="7">
        <f t="shared" si="98"/>
        <v>1.135549947915338E-2</v>
      </c>
      <c r="S66" s="8">
        <v>7.0000000000000007E-2</v>
      </c>
      <c r="T66" s="11">
        <f t="shared" si="99"/>
        <v>0.28279999999999994</v>
      </c>
      <c r="U66" s="11">
        <f t="shared" si="100"/>
        <v>0.55720000000000003</v>
      </c>
      <c r="V66" s="5"/>
      <c r="W66" s="2">
        <f>Q66-Q$60</f>
        <v>7.0000000000000007E-2</v>
      </c>
      <c r="X66" s="7">
        <f t="shared" si="102"/>
        <v>9.7993018011220429E-2</v>
      </c>
      <c r="Y66" s="7">
        <f>SQRT(S66^2+S60^2)</f>
        <v>0.60406953242155825</v>
      </c>
    </row>
    <row r="67" spans="1:25" x14ac:dyDescent="0.25">
      <c r="A67" s="2" t="s">
        <v>19</v>
      </c>
      <c r="B67" s="2" t="s">
        <v>8</v>
      </c>
      <c r="C67" s="2">
        <v>38</v>
      </c>
      <c r="D67" s="2">
        <v>26</v>
      </c>
      <c r="E67" s="2" t="s">
        <v>35</v>
      </c>
      <c r="G67" s="9">
        <f t="shared" si="94"/>
        <v>79.999999999999986</v>
      </c>
      <c r="H67" s="11">
        <f t="shared" si="95"/>
        <v>2.0000000000000009</v>
      </c>
      <c r="I67" s="14">
        <f t="shared" si="96"/>
        <v>76.079999999999984</v>
      </c>
      <c r="J67" s="14">
        <f t="shared" si="97"/>
        <v>83.919999999999987</v>
      </c>
      <c r="M67" s="7">
        <f>G67-G$61</f>
        <v>12</v>
      </c>
      <c r="N67" s="7">
        <f t="shared" si="101"/>
        <v>3.7715585904371705</v>
      </c>
      <c r="O67" s="7">
        <f>SQRT(H67^2+H$61^2)</f>
        <v>23.249448587908827</v>
      </c>
      <c r="Q67" s="2">
        <v>0.1</v>
      </c>
      <c r="R67" s="7">
        <f t="shared" si="98"/>
        <v>6.4888568452305022E-3</v>
      </c>
      <c r="S67" s="8">
        <v>0.04</v>
      </c>
      <c r="T67" s="11">
        <f t="shared" si="99"/>
        <v>2.1600000000000008E-2</v>
      </c>
      <c r="U67" s="11">
        <f t="shared" si="100"/>
        <v>0.1784</v>
      </c>
      <c r="V67" s="5"/>
      <c r="W67" s="2">
        <f>Q67-Q$61</f>
        <v>-0.24000000000000002</v>
      </c>
      <c r="X67" s="7">
        <f t="shared" si="102"/>
        <v>9.7548908111183955E-2</v>
      </c>
      <c r="Y67" s="7">
        <f>SQRT(S67^2+S61^2)</f>
        <v>0.60133185513491627</v>
      </c>
    </row>
    <row r="68" spans="1:2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S68" s="1"/>
      <c r="T68" s="1"/>
      <c r="U68" s="1"/>
      <c r="V68" s="1"/>
    </row>
    <row r="69" spans="1:25" x14ac:dyDescent="0.25">
      <c r="A69" s="2" t="s">
        <v>20</v>
      </c>
      <c r="B69" s="2" t="s">
        <v>8</v>
      </c>
      <c r="C69" s="2">
        <v>32</v>
      </c>
      <c r="D69" s="5">
        <v>0</v>
      </c>
      <c r="E69" s="2" t="s">
        <v>35</v>
      </c>
      <c r="F69" s="5"/>
      <c r="G69" s="9">
        <f t="shared" ref="G69:G72" si="103">(Q69-1.7)/(-0.02)</f>
        <v>74</v>
      </c>
      <c r="H69" s="11">
        <f t="shared" ref="H69:H72" si="104">(J69-I69)/(2*1.96)</f>
        <v>12.000000000000002</v>
      </c>
      <c r="I69" s="14">
        <f t="shared" ref="I69:I72" si="105">(U69-1.7)/(-0.02)</f>
        <v>50.47999999999999</v>
      </c>
      <c r="J69" s="14">
        <f t="shared" ref="J69:J72" si="106">MIN((T69-1.7)/(-0.02),100)</f>
        <v>97.52</v>
      </c>
      <c r="K69" s="1"/>
      <c r="L69" s="1"/>
      <c r="M69" s="1"/>
      <c r="N69" s="1"/>
      <c r="O69" s="1"/>
      <c r="P69" s="1"/>
      <c r="Q69" s="5">
        <v>0.22</v>
      </c>
      <c r="R69" s="7">
        <f t="shared" ref="R69:R72" si="107">S69/SQRT(C69)</f>
        <v>4.2426406871192847E-2</v>
      </c>
      <c r="S69" s="10">
        <v>0.24</v>
      </c>
      <c r="T69" s="11">
        <f t="shared" ref="T69:T72" si="108">Q69-1.96*S69</f>
        <v>-0.25039999999999996</v>
      </c>
      <c r="U69" s="11">
        <f t="shared" ref="U69:U72" si="109">Q69+1.96*S69</f>
        <v>0.69040000000000001</v>
      </c>
      <c r="V69" s="5"/>
    </row>
    <row r="70" spans="1:25" x14ac:dyDescent="0.25">
      <c r="A70" s="2" t="s">
        <v>20</v>
      </c>
      <c r="B70" s="2" t="s">
        <v>3</v>
      </c>
      <c r="C70" s="2">
        <v>32</v>
      </c>
      <c r="D70" s="5">
        <v>0</v>
      </c>
      <c r="E70" s="2" t="s">
        <v>35</v>
      </c>
      <c r="F70" s="5"/>
      <c r="G70" s="9">
        <f t="shared" si="103"/>
        <v>74</v>
      </c>
      <c r="H70" s="11">
        <f t="shared" si="104"/>
        <v>14.63265306122449</v>
      </c>
      <c r="I70" s="14">
        <f t="shared" si="105"/>
        <v>42.64</v>
      </c>
      <c r="J70" s="14">
        <f t="shared" si="106"/>
        <v>100</v>
      </c>
      <c r="K70" s="1"/>
      <c r="L70" s="1"/>
      <c r="M70" s="1"/>
      <c r="N70" s="1"/>
      <c r="O70" s="1"/>
      <c r="P70" s="1"/>
      <c r="Q70" s="5">
        <v>0.22</v>
      </c>
      <c r="R70" s="7">
        <f t="shared" si="107"/>
        <v>5.6568542494923796E-2</v>
      </c>
      <c r="S70" s="10">
        <v>0.32</v>
      </c>
      <c r="T70" s="11">
        <f t="shared" si="108"/>
        <v>-0.40720000000000001</v>
      </c>
      <c r="U70" s="11">
        <f t="shared" si="109"/>
        <v>0.84719999999999995</v>
      </c>
      <c r="V70" s="5"/>
    </row>
    <row r="71" spans="1:25" x14ac:dyDescent="0.25">
      <c r="A71" s="2" t="s">
        <v>20</v>
      </c>
      <c r="B71" s="2" t="s">
        <v>8</v>
      </c>
      <c r="C71" s="2">
        <v>32</v>
      </c>
      <c r="D71" s="2">
        <v>43</v>
      </c>
      <c r="E71" s="2" t="s">
        <v>35</v>
      </c>
      <c r="G71" s="9">
        <f t="shared" si="103"/>
        <v>71.5</v>
      </c>
      <c r="H71" s="11">
        <f t="shared" si="104"/>
        <v>13.000000000000002</v>
      </c>
      <c r="I71" s="14">
        <f t="shared" si="105"/>
        <v>46.019999999999996</v>
      </c>
      <c r="J71" s="14">
        <f t="shared" si="106"/>
        <v>96.98</v>
      </c>
      <c r="M71" s="7">
        <f>G71-G69</f>
        <v>-2.5</v>
      </c>
      <c r="N71" s="7">
        <f>O71/SQRT(C71)</f>
        <v>3.127499000799201</v>
      </c>
      <c r="O71" s="7">
        <f>SQRT(H71^2+H69^2)</f>
        <v>17.691806012954135</v>
      </c>
      <c r="Q71" s="2">
        <v>0.27</v>
      </c>
      <c r="R71" s="7">
        <f t="shared" si="107"/>
        <v>4.5961940777125586E-2</v>
      </c>
      <c r="S71" s="8">
        <v>0.26</v>
      </c>
      <c r="T71" s="11">
        <f t="shared" si="108"/>
        <v>-0.23960000000000004</v>
      </c>
      <c r="U71" s="11">
        <f t="shared" si="109"/>
        <v>0.77960000000000007</v>
      </c>
      <c r="V71" s="5"/>
      <c r="W71" s="2">
        <f>Q69-Q71</f>
        <v>-5.0000000000000017E-2</v>
      </c>
      <c r="X71" s="7">
        <f t="shared" ref="X71:X72" si="110">Y71/SQRT(C71)</f>
        <v>6.2549980015984025E-2</v>
      </c>
      <c r="Y71" s="7">
        <f>SQRT(S71^2+S69^2)</f>
        <v>0.35383612025908268</v>
      </c>
    </row>
    <row r="72" spans="1:25" x14ac:dyDescent="0.25">
      <c r="A72" s="2" t="s">
        <v>20</v>
      </c>
      <c r="B72" s="2" t="s">
        <v>3</v>
      </c>
      <c r="C72" s="2">
        <v>32</v>
      </c>
      <c r="D72" s="2">
        <v>43</v>
      </c>
      <c r="E72" s="2" t="s">
        <v>35</v>
      </c>
      <c r="G72" s="9">
        <f t="shared" si="103"/>
        <v>71</v>
      </c>
      <c r="H72" s="11">
        <f t="shared" si="104"/>
        <v>15.897959183673471</v>
      </c>
      <c r="I72" s="14">
        <f t="shared" si="105"/>
        <v>37.679999999999993</v>
      </c>
      <c r="J72" s="14">
        <f t="shared" si="106"/>
        <v>100</v>
      </c>
      <c r="M72" s="7">
        <f>G72-G70</f>
        <v>-3</v>
      </c>
      <c r="N72" s="7">
        <f>O72/SQRT(C72)</f>
        <v>3.819602571832204</v>
      </c>
      <c r="O72" s="7">
        <f>SQRT(H72^2+H70^2)</f>
        <v>21.60693503984103</v>
      </c>
      <c r="Q72" s="2">
        <v>0.28000000000000003</v>
      </c>
      <c r="R72" s="7">
        <f t="shared" si="107"/>
        <v>6.0104076400856542E-2</v>
      </c>
      <c r="S72" s="8">
        <v>0.34</v>
      </c>
      <c r="T72" s="11">
        <f t="shared" si="108"/>
        <v>-0.38639999999999997</v>
      </c>
      <c r="U72" s="11">
        <f t="shared" si="109"/>
        <v>0.94640000000000002</v>
      </c>
      <c r="V72" s="5"/>
      <c r="W72" s="2">
        <f>Q69-Q72</f>
        <v>-6.0000000000000026E-2</v>
      </c>
      <c r="X72" s="7">
        <f t="shared" si="110"/>
        <v>8.2537870096095894E-2</v>
      </c>
      <c r="Y72" s="7">
        <f>SQRT(S72^2+S70^2)</f>
        <v>0.46690470119715011</v>
      </c>
    </row>
    <row r="73" spans="1:2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5" x14ac:dyDescent="0.25">
      <c r="A74" s="2" t="s">
        <v>25</v>
      </c>
      <c r="B74" s="2" t="s">
        <v>10</v>
      </c>
      <c r="C74" s="2">
        <v>13</v>
      </c>
      <c r="D74" s="5">
        <v>0</v>
      </c>
      <c r="E74" s="2" t="s">
        <v>34</v>
      </c>
      <c r="F74" s="5"/>
      <c r="G74" s="6">
        <v>46.8</v>
      </c>
      <c r="H74">
        <v>9.5</v>
      </c>
      <c r="I74" s="7">
        <f t="shared" ref="I74:I75" si="111">G74-1.96*H74</f>
        <v>28.179999999999996</v>
      </c>
      <c r="J74" s="7">
        <f t="shared" ref="J74:J75" si="112">MIN(G74+1.96*H74, 100)</f>
        <v>65.42</v>
      </c>
      <c r="M74" s="1"/>
      <c r="N74" s="1"/>
      <c r="O74" s="1"/>
      <c r="P74" s="1"/>
      <c r="Q74" s="9">
        <f>-0.02*G74+1.7</f>
        <v>0.76400000000000001</v>
      </c>
      <c r="R74" s="25">
        <f t="shared" ref="R74" si="113">S74/SQRT(C74)</f>
        <v>5.2696518641396781E-2</v>
      </c>
      <c r="S74" s="25">
        <f>(U74-T74)/(2*1.96)</f>
        <v>0.19000000000000003</v>
      </c>
      <c r="T74" s="9">
        <f>0.02*I74+1.7</f>
        <v>2.2635999999999998</v>
      </c>
      <c r="U74" s="9">
        <f t="shared" ref="U74" si="114">0.02*J74+1.7</f>
        <v>3.0084</v>
      </c>
      <c r="V74" s="1"/>
    </row>
    <row r="75" spans="1:25" x14ac:dyDescent="0.25">
      <c r="A75" s="2" t="s">
        <v>25</v>
      </c>
      <c r="B75" s="23" t="s">
        <v>3</v>
      </c>
      <c r="C75" s="2">
        <v>16</v>
      </c>
      <c r="D75" s="5">
        <v>0</v>
      </c>
      <c r="E75" s="2" t="s">
        <v>34</v>
      </c>
      <c r="F75" s="5"/>
      <c r="G75" s="6">
        <v>47.9</v>
      </c>
      <c r="H75">
        <v>6.6</v>
      </c>
      <c r="I75" s="7">
        <f t="shared" si="111"/>
        <v>34.963999999999999</v>
      </c>
      <c r="J75" s="7">
        <f t="shared" si="112"/>
        <v>60.835999999999999</v>
      </c>
      <c r="M75" s="1"/>
      <c r="N75" s="1"/>
      <c r="O75" s="1"/>
      <c r="P75" s="1"/>
      <c r="Q75" s="9">
        <f>-0.02*G75+1.7</f>
        <v>0.74199999999999999</v>
      </c>
      <c r="R75" s="25">
        <f t="shared" ref="R75" si="115">S75/SQRT(C75)</f>
        <v>3.2999999999999981E-2</v>
      </c>
      <c r="S75" s="25">
        <f t="shared" ref="S75" si="116">(U75-T75)/(2*1.96)</f>
        <v>0.13199999999999992</v>
      </c>
      <c r="T75" s="9">
        <f t="shared" ref="T75" si="117">0.02*I75+1.7</f>
        <v>2.3992800000000001</v>
      </c>
      <c r="U75" s="9">
        <f t="shared" ref="U75" si="118">0.02*J75+1.7</f>
        <v>2.9167199999999998</v>
      </c>
      <c r="V75" s="1"/>
    </row>
    <row r="76" spans="1:25" x14ac:dyDescent="0.25">
      <c r="A76" s="2" t="s">
        <v>25</v>
      </c>
      <c r="B76" s="2" t="s">
        <v>10</v>
      </c>
      <c r="C76" s="2">
        <v>13</v>
      </c>
      <c r="D76" s="2">
        <v>26</v>
      </c>
      <c r="E76" s="2" t="s">
        <v>34</v>
      </c>
      <c r="G76" s="2">
        <v>51.2</v>
      </c>
      <c r="H76" s="15">
        <v>9.5</v>
      </c>
      <c r="I76" s="25">
        <f>G76-1.96*H76</f>
        <v>32.58</v>
      </c>
      <c r="J76" s="25">
        <f t="shared" ref="J76:J77" si="119">MIN(G76+1.96*H76, 100)</f>
        <v>69.820000000000007</v>
      </c>
      <c r="M76" s="2">
        <v>3.2</v>
      </c>
      <c r="N76" s="7">
        <f>O76/SQRT(C76)</f>
        <v>3.7262065676254967</v>
      </c>
      <c r="O76" s="7">
        <f>SQRT(2)*H74</f>
        <v>13.435028842544403</v>
      </c>
      <c r="Q76" s="9">
        <f t="shared" ref="Q76:Q77" si="120">-0.02*G76+1.7</f>
        <v>0.67599999999999993</v>
      </c>
      <c r="R76" s="25">
        <f t="shared" ref="R76:R77" si="121">S76/SQRT(C76)</f>
        <v>5.2696518641396781E-2</v>
      </c>
      <c r="S76" s="25">
        <f t="shared" ref="S76:S77" si="122">(U76-T76)/(2*1.96)</f>
        <v>0.19000000000000003</v>
      </c>
      <c r="T76" s="9">
        <f t="shared" ref="T76:T77" si="123">0.02*I76+1.7</f>
        <v>2.3515999999999999</v>
      </c>
      <c r="U76" s="9">
        <f t="shared" ref="U76:U77" si="124">0.02*J76+1.7</f>
        <v>3.0964</v>
      </c>
      <c r="W76" s="25">
        <f>Q76-Q74</f>
        <v>-8.8000000000000078E-2</v>
      </c>
      <c r="X76" s="25">
        <f t="shared" ref="X76" si="125">Y76/SQRT(C76)</f>
        <v>7.4524131352509945E-2</v>
      </c>
      <c r="Y76" s="25">
        <f>SQRT(S76^2+S74^2)</f>
        <v>0.26870057685088811</v>
      </c>
    </row>
    <row r="77" spans="1:25" x14ac:dyDescent="0.25">
      <c r="A77" s="2" t="s">
        <v>25</v>
      </c>
      <c r="B77" s="23" t="s">
        <v>3</v>
      </c>
      <c r="C77" s="2">
        <v>16</v>
      </c>
      <c r="D77" s="2">
        <v>26</v>
      </c>
      <c r="E77" s="2" t="s">
        <v>34</v>
      </c>
      <c r="G77" s="2">
        <v>44.3</v>
      </c>
      <c r="H77" s="15">
        <v>6.6</v>
      </c>
      <c r="I77" s="25">
        <f t="shared" ref="I77" si="126">G77-1.96*H77</f>
        <v>31.363999999999997</v>
      </c>
      <c r="J77" s="25">
        <f t="shared" si="119"/>
        <v>57.235999999999997</v>
      </c>
      <c r="M77" s="2">
        <v>-2.4</v>
      </c>
      <c r="N77" s="7">
        <f>O77/SQRT(C77)</f>
        <v>2.3334523779156067</v>
      </c>
      <c r="O77" s="7">
        <f>SQRT(2)*H75</f>
        <v>9.3338095116624267</v>
      </c>
      <c r="Q77" s="9">
        <f t="shared" si="120"/>
        <v>0.81399999999999995</v>
      </c>
      <c r="R77" s="25">
        <f t="shared" si="121"/>
        <v>3.2999999999999981E-2</v>
      </c>
      <c r="S77" s="25">
        <f t="shared" si="122"/>
        <v>0.13199999999999992</v>
      </c>
      <c r="T77" s="9">
        <f t="shared" si="123"/>
        <v>2.32728</v>
      </c>
      <c r="U77" s="9">
        <f t="shared" si="124"/>
        <v>2.8447199999999997</v>
      </c>
      <c r="W77" s="25">
        <f>Q77-Q75</f>
        <v>7.1999999999999953E-2</v>
      </c>
      <c r="X77" s="25">
        <f>Y77/SQRT(C77)</f>
        <v>4.666904755831211E-2</v>
      </c>
      <c r="Y77" s="25">
        <f>SQRT(S77^2+S75^2)</f>
        <v>0.18667619023324844</v>
      </c>
    </row>
    <row r="78" spans="1:2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5" x14ac:dyDescent="0.25">
      <c r="A79" s="2" t="s">
        <v>68</v>
      </c>
      <c r="B79" t="s">
        <v>37</v>
      </c>
      <c r="C79" s="2">
        <v>15</v>
      </c>
      <c r="D79" s="2">
        <v>0</v>
      </c>
      <c r="E79" s="2" t="s">
        <v>35</v>
      </c>
      <c r="G79" s="9">
        <f t="shared" ref="G79:G90" si="127">(Q79-1.7)/(-0.02)</f>
        <v>60</v>
      </c>
      <c r="H79" s="11">
        <f t="shared" ref="H79:H90" si="128">(J79-I79)/(2*1.96)</f>
        <v>19.364916731037084</v>
      </c>
      <c r="I79" s="14">
        <f t="shared" ref="I79:I90" si="129">(U79-1.7)/(-0.02)</f>
        <v>22.044763207167318</v>
      </c>
      <c r="J79" s="14">
        <f t="shared" ref="J79:J90" si="130">MIN((T79-1.7)/(-0.02),100)</f>
        <v>97.955236792832693</v>
      </c>
      <c r="Q79" s="2">
        <v>0.5</v>
      </c>
      <c r="R79" s="2">
        <v>0.1</v>
      </c>
      <c r="S79" s="2">
        <f>SQRT(C79)*R79</f>
        <v>0.3872983346207417</v>
      </c>
      <c r="T79" s="11">
        <f t="shared" ref="T79:T90" si="131">Q79-1.96*S79</f>
        <v>-0.25910473585665372</v>
      </c>
      <c r="U79" s="11">
        <f t="shared" ref="U79:U90" si="132">Q79+1.96*S79</f>
        <v>1.2591047358566536</v>
      </c>
    </row>
    <row r="80" spans="1:25" x14ac:dyDescent="0.25">
      <c r="A80" s="23" t="s">
        <v>68</v>
      </c>
      <c r="B80" t="s">
        <v>38</v>
      </c>
      <c r="C80" s="2">
        <v>15</v>
      </c>
      <c r="D80" s="2">
        <v>0</v>
      </c>
      <c r="E80" s="2" t="s">
        <v>35</v>
      </c>
      <c r="G80" s="9">
        <f t="shared" si="127"/>
        <v>64.999999999999986</v>
      </c>
      <c r="H80" s="11">
        <f t="shared" si="128"/>
        <v>18.611029794089973</v>
      </c>
      <c r="I80" s="14">
        <f t="shared" si="129"/>
        <v>27.044763207167311</v>
      </c>
      <c r="J80" s="14">
        <f t="shared" si="130"/>
        <v>100</v>
      </c>
      <c r="Q80" s="2">
        <v>0.4</v>
      </c>
      <c r="R80" s="2">
        <v>0.1</v>
      </c>
      <c r="S80" s="2">
        <f t="shared" ref="S80:S90" si="133">SQRT(C80)*R80</f>
        <v>0.3872983346207417</v>
      </c>
      <c r="T80" s="11">
        <f t="shared" si="131"/>
        <v>-0.3591047358566537</v>
      </c>
      <c r="U80" s="11">
        <f t="shared" si="132"/>
        <v>1.1591047358566537</v>
      </c>
    </row>
    <row r="81" spans="1:25" x14ac:dyDescent="0.25">
      <c r="A81" s="23" t="s">
        <v>68</v>
      </c>
      <c r="B81" s="2" t="s">
        <v>10</v>
      </c>
      <c r="C81" s="2">
        <v>13</v>
      </c>
      <c r="D81" s="2">
        <v>0</v>
      </c>
      <c r="E81" s="2" t="s">
        <v>35</v>
      </c>
      <c r="G81" s="9">
        <f t="shared" si="127"/>
        <v>60</v>
      </c>
      <c r="H81" s="11">
        <f t="shared" si="128"/>
        <v>18.027756377319946</v>
      </c>
      <c r="I81" s="14">
        <f t="shared" si="129"/>
        <v>24.665597500452908</v>
      </c>
      <c r="J81" s="14">
        <f t="shared" si="130"/>
        <v>95.334402499547096</v>
      </c>
      <c r="Q81" s="2">
        <v>0.5</v>
      </c>
      <c r="R81" s="2">
        <v>0.1</v>
      </c>
      <c r="S81" s="2">
        <f t="shared" si="133"/>
        <v>0.36055512754639896</v>
      </c>
      <c r="T81" s="11">
        <f t="shared" si="131"/>
        <v>-0.20668804999094192</v>
      </c>
      <c r="U81" s="11">
        <f t="shared" si="132"/>
        <v>1.2066880499909418</v>
      </c>
    </row>
    <row r="82" spans="1:25" x14ac:dyDescent="0.25">
      <c r="A82" s="23" t="s">
        <v>68</v>
      </c>
      <c r="B82" t="s">
        <v>37</v>
      </c>
      <c r="C82" s="2">
        <v>15</v>
      </c>
      <c r="D82" s="2">
        <v>48</v>
      </c>
      <c r="E82" s="2" t="s">
        <v>35</v>
      </c>
      <c r="G82" s="9">
        <f t="shared" si="127"/>
        <v>70</v>
      </c>
      <c r="H82" s="11">
        <f t="shared" si="128"/>
        <v>17.335519590008339</v>
      </c>
      <c r="I82" s="14">
        <f t="shared" si="129"/>
        <v>32.044763207167314</v>
      </c>
      <c r="J82" s="14">
        <f t="shared" si="130"/>
        <v>100</v>
      </c>
      <c r="M82" s="7">
        <f>G82-G$79</f>
        <v>10</v>
      </c>
      <c r="N82" s="7">
        <f>O82/SQRT(C82)</f>
        <v>6.7107885252309103</v>
      </c>
      <c r="O82" s="7">
        <f>SQRT(H82^2+H$79^2)</f>
        <v>25.990772198139148</v>
      </c>
      <c r="Q82" s="2">
        <v>0.3</v>
      </c>
      <c r="R82" s="2">
        <v>0.1</v>
      </c>
      <c r="S82" s="2">
        <f t="shared" si="133"/>
        <v>0.3872983346207417</v>
      </c>
      <c r="T82" s="11">
        <f t="shared" si="131"/>
        <v>-0.45910473585665373</v>
      </c>
      <c r="U82" s="11">
        <f t="shared" si="132"/>
        <v>1.0591047358566537</v>
      </c>
      <c r="W82" s="7">
        <f>Q82-Q79</f>
        <v>-0.2</v>
      </c>
      <c r="X82" s="7">
        <f>Y82/SQRT(C82)</f>
        <v>0.14142135623730953</v>
      </c>
      <c r="Y82" s="7">
        <f>SQRT(S82^2+S79^2)</f>
        <v>0.54772255750516619</v>
      </c>
    </row>
    <row r="83" spans="1:25" x14ac:dyDescent="0.25">
      <c r="A83" s="23" t="s">
        <v>68</v>
      </c>
      <c r="B83" t="s">
        <v>38</v>
      </c>
      <c r="C83" s="2">
        <v>15</v>
      </c>
      <c r="D83" s="2">
        <v>48</v>
      </c>
      <c r="E83" s="2" t="s">
        <v>35</v>
      </c>
      <c r="G83" s="9">
        <f t="shared" si="127"/>
        <v>70</v>
      </c>
      <c r="H83" s="11">
        <f t="shared" si="128"/>
        <v>17.335519590008339</v>
      </c>
      <c r="I83" s="14">
        <f t="shared" si="129"/>
        <v>32.044763207167314</v>
      </c>
      <c r="J83" s="14">
        <f t="shared" si="130"/>
        <v>100</v>
      </c>
      <c r="M83" s="7">
        <f>G83-G$80</f>
        <v>5.0000000000000142</v>
      </c>
      <c r="N83" s="7">
        <f t="shared" ref="N83:N84" si="134">O83/SQRT(C83)</f>
        <v>6.5670423045795765</v>
      </c>
      <c r="O83" s="7">
        <f>SQRT(H83^2+H$80^2)</f>
        <v>25.434045479476275</v>
      </c>
      <c r="Q83" s="2">
        <v>0.3</v>
      </c>
      <c r="R83" s="2">
        <v>0.1</v>
      </c>
      <c r="S83" s="2">
        <f t="shared" si="133"/>
        <v>0.3872983346207417</v>
      </c>
      <c r="T83" s="11">
        <f t="shared" si="131"/>
        <v>-0.45910473585665373</v>
      </c>
      <c r="U83" s="11">
        <f t="shared" si="132"/>
        <v>1.0591047358566537</v>
      </c>
      <c r="W83" s="7">
        <f t="shared" ref="W83" si="135">Q83-Q80</f>
        <v>-0.10000000000000003</v>
      </c>
      <c r="X83" s="7">
        <f t="shared" ref="X83:X90" si="136">Y83/SQRT(C83)</f>
        <v>0.14142135623730953</v>
      </c>
      <c r="Y83" s="7">
        <f t="shared" ref="Y83:Y84" si="137">SQRT(S83^2+S80^2)</f>
        <v>0.54772255750516619</v>
      </c>
    </row>
    <row r="84" spans="1:25" x14ac:dyDescent="0.25">
      <c r="A84" s="23" t="s">
        <v>68</v>
      </c>
      <c r="B84" t="s">
        <v>36</v>
      </c>
      <c r="C84" s="2">
        <v>13</v>
      </c>
      <c r="D84" s="2">
        <v>48</v>
      </c>
      <c r="E84" s="2" t="s">
        <v>35</v>
      </c>
      <c r="G84" s="9">
        <f t="shared" si="127"/>
        <v>70</v>
      </c>
      <c r="H84" s="11">
        <f t="shared" si="128"/>
        <v>16.66693941314977</v>
      </c>
      <c r="I84" s="14">
        <f t="shared" si="129"/>
        <v>34.665597500452904</v>
      </c>
      <c r="J84" s="14">
        <f t="shared" si="130"/>
        <v>100</v>
      </c>
      <c r="M84" s="7">
        <f>G84-G$81</f>
        <v>10</v>
      </c>
      <c r="N84" s="7">
        <f t="shared" si="134"/>
        <v>6.8094214675844817</v>
      </c>
      <c r="O84" s="7">
        <f>SQRT(H84^2+H$81^2)</f>
        <v>24.551718257621097</v>
      </c>
      <c r="Q84" s="2">
        <v>0.3</v>
      </c>
      <c r="R84" s="2">
        <v>0.1</v>
      </c>
      <c r="S84" s="2">
        <f t="shared" si="133"/>
        <v>0.36055512754639896</v>
      </c>
      <c r="T84" s="11">
        <f t="shared" si="131"/>
        <v>-0.40668804999094194</v>
      </c>
      <c r="U84" s="11">
        <f t="shared" si="132"/>
        <v>1.0066880499909419</v>
      </c>
      <c r="W84" s="7">
        <f>Q84-Q81</f>
        <v>-0.2</v>
      </c>
      <c r="X84" s="7">
        <f t="shared" si="136"/>
        <v>0.14142135623730953</v>
      </c>
      <c r="Y84" s="7">
        <f t="shared" si="137"/>
        <v>0.50990195135927852</v>
      </c>
    </row>
    <row r="85" spans="1:25" x14ac:dyDescent="0.25">
      <c r="A85" s="23" t="s">
        <v>68</v>
      </c>
      <c r="B85" t="s">
        <v>37</v>
      </c>
      <c r="C85" s="2">
        <v>15</v>
      </c>
      <c r="D85" s="2">
        <v>24</v>
      </c>
      <c r="E85" s="2" t="s">
        <v>35</v>
      </c>
      <c r="G85" s="9">
        <f t="shared" si="127"/>
        <v>64.999999999999986</v>
      </c>
      <c r="H85" s="11">
        <f t="shared" si="128"/>
        <v>18.611029794089973</v>
      </c>
      <c r="I85" s="14">
        <f t="shared" si="129"/>
        <v>27.044763207167311</v>
      </c>
      <c r="J85" s="14">
        <f t="shared" si="130"/>
        <v>100</v>
      </c>
      <c r="M85" s="7">
        <f>G85-G$79</f>
        <v>4.9999999999999858</v>
      </c>
      <c r="N85" s="7">
        <f>O85/SQRT(C85)</f>
        <v>6.9347935801844143</v>
      </c>
      <c r="O85" s="7">
        <f>SQRT(H85^2+H$79^2)</f>
        <v>26.858340045440347</v>
      </c>
      <c r="Q85" s="2">
        <v>0.4</v>
      </c>
      <c r="R85" s="2">
        <v>0.1</v>
      </c>
      <c r="S85" s="2">
        <f t="shared" si="133"/>
        <v>0.3872983346207417</v>
      </c>
      <c r="T85" s="11">
        <f t="shared" si="131"/>
        <v>-0.3591047358566537</v>
      </c>
      <c r="U85" s="11">
        <f t="shared" si="132"/>
        <v>1.1591047358566537</v>
      </c>
      <c r="W85" s="7">
        <f>Q85-Q79</f>
        <v>-9.9999999999999978E-2</v>
      </c>
      <c r="X85" s="7">
        <f t="shared" si="136"/>
        <v>0.14142135623730953</v>
      </c>
      <c r="Y85" s="7">
        <f>SQRT(S85^2+S79^2)</f>
        <v>0.54772255750516619</v>
      </c>
    </row>
    <row r="86" spans="1:25" x14ac:dyDescent="0.25">
      <c r="A86" s="23" t="s">
        <v>68</v>
      </c>
      <c r="B86" t="s">
        <v>38</v>
      </c>
      <c r="C86" s="2">
        <v>15</v>
      </c>
      <c r="D86" s="2">
        <v>24</v>
      </c>
      <c r="E86" s="2" t="s">
        <v>35</v>
      </c>
      <c r="G86" s="9">
        <f t="shared" si="127"/>
        <v>70</v>
      </c>
      <c r="H86" s="11">
        <f t="shared" si="128"/>
        <v>17.335519590008339</v>
      </c>
      <c r="I86" s="14">
        <f t="shared" si="129"/>
        <v>32.044763207167314</v>
      </c>
      <c r="J86" s="14">
        <f t="shared" si="130"/>
        <v>100</v>
      </c>
      <c r="M86" s="7">
        <f>G86-G$80</f>
        <v>5.0000000000000142</v>
      </c>
      <c r="N86" s="7">
        <f t="shared" ref="N86:N87" si="138">O86/SQRT(C86)</f>
        <v>6.5670423045795765</v>
      </c>
      <c r="O86" s="7">
        <f>SQRT(H86^2+H$80^2)</f>
        <v>25.434045479476275</v>
      </c>
      <c r="Q86" s="2">
        <v>0.3</v>
      </c>
      <c r="R86" s="2">
        <v>0.1</v>
      </c>
      <c r="S86" s="2">
        <f t="shared" si="133"/>
        <v>0.3872983346207417</v>
      </c>
      <c r="T86" s="11">
        <f t="shared" si="131"/>
        <v>-0.45910473585665373</v>
      </c>
      <c r="U86" s="11">
        <f t="shared" si="132"/>
        <v>1.0591047358566537</v>
      </c>
      <c r="W86" s="7">
        <f t="shared" ref="W86:W87" si="139">Q86-Q80</f>
        <v>-0.10000000000000003</v>
      </c>
      <c r="X86" s="7">
        <f t="shared" si="136"/>
        <v>0.14142135623730953</v>
      </c>
      <c r="Y86" s="7">
        <f t="shared" ref="Y86:Y87" si="140">SQRT(S86^2+S80^2)</f>
        <v>0.54772255750516619</v>
      </c>
    </row>
    <row r="87" spans="1:25" x14ac:dyDescent="0.25">
      <c r="A87" s="23" t="s">
        <v>68</v>
      </c>
      <c r="B87" t="s">
        <v>36</v>
      </c>
      <c r="C87" s="2">
        <v>13</v>
      </c>
      <c r="D87" s="2">
        <v>24</v>
      </c>
      <c r="E87" s="2" t="s">
        <v>35</v>
      </c>
      <c r="G87" s="9">
        <f t="shared" si="127"/>
        <v>64.999999999999986</v>
      </c>
      <c r="H87" s="11">
        <f t="shared" si="128"/>
        <v>17.942449617231404</v>
      </c>
      <c r="I87" s="14">
        <f t="shared" si="129"/>
        <v>29.6655975004529</v>
      </c>
      <c r="J87" s="14">
        <f t="shared" si="130"/>
        <v>100</v>
      </c>
      <c r="M87" s="7">
        <f>G87-G$81</f>
        <v>4.9999999999999858</v>
      </c>
      <c r="N87" s="7">
        <f t="shared" si="138"/>
        <v>7.054357618177943</v>
      </c>
      <c r="O87" s="7">
        <f>SQRT(H87^2+H$81^2)</f>
        <v>25.43484810780059</v>
      </c>
      <c r="Q87" s="2">
        <v>0.4</v>
      </c>
      <c r="R87" s="2">
        <v>0.1</v>
      </c>
      <c r="S87" s="2">
        <f t="shared" si="133"/>
        <v>0.36055512754639896</v>
      </c>
      <c r="T87" s="11">
        <f t="shared" si="131"/>
        <v>-0.3066880499909419</v>
      </c>
      <c r="U87" s="11">
        <f t="shared" si="132"/>
        <v>1.1066880499909419</v>
      </c>
      <c r="W87" s="7">
        <f t="shared" si="139"/>
        <v>-9.9999999999999978E-2</v>
      </c>
      <c r="X87" s="7">
        <f t="shared" si="136"/>
        <v>0.14142135623730953</v>
      </c>
      <c r="Y87" s="7">
        <f t="shared" si="140"/>
        <v>0.50990195135927852</v>
      </c>
    </row>
    <row r="88" spans="1:25" x14ac:dyDescent="0.25">
      <c r="A88" s="23" t="s">
        <v>68</v>
      </c>
      <c r="B88" t="s">
        <v>37</v>
      </c>
      <c r="C88" s="2">
        <v>15</v>
      </c>
      <c r="D88" s="2">
        <v>12</v>
      </c>
      <c r="E88" s="2" t="s">
        <v>35</v>
      </c>
      <c r="G88" s="9">
        <f t="shared" si="127"/>
        <v>64.999999999999986</v>
      </c>
      <c r="H88" s="11">
        <f t="shared" si="128"/>
        <v>18.611029794089973</v>
      </c>
      <c r="I88" s="14">
        <f t="shared" si="129"/>
        <v>27.044763207167311</v>
      </c>
      <c r="J88" s="14">
        <f t="shared" si="130"/>
        <v>100</v>
      </c>
      <c r="M88" s="7">
        <f>G88-G$79</f>
        <v>4.9999999999999858</v>
      </c>
      <c r="N88" s="7">
        <f>O88/SQRT(C88)</f>
        <v>6.9347935801844143</v>
      </c>
      <c r="O88" s="7">
        <f>SQRT(H88^2+H$79^2)</f>
        <v>26.858340045440347</v>
      </c>
      <c r="Q88" s="2">
        <v>0.4</v>
      </c>
      <c r="R88" s="2">
        <v>0.1</v>
      </c>
      <c r="S88" s="2">
        <f t="shared" si="133"/>
        <v>0.3872983346207417</v>
      </c>
      <c r="T88" s="11">
        <f t="shared" si="131"/>
        <v>-0.3591047358566537</v>
      </c>
      <c r="U88" s="11">
        <f t="shared" si="132"/>
        <v>1.1591047358566537</v>
      </c>
      <c r="W88" s="7">
        <f>Q89-Q79</f>
        <v>-9.9999999999999978E-2</v>
      </c>
      <c r="X88" s="7">
        <f t="shared" si="136"/>
        <v>0.14142135623730953</v>
      </c>
      <c r="Y88" s="7">
        <f>SQRT(S89^2+S79^2)</f>
        <v>0.54772255750516619</v>
      </c>
    </row>
    <row r="89" spans="1:25" x14ac:dyDescent="0.25">
      <c r="A89" s="23" t="s">
        <v>68</v>
      </c>
      <c r="B89" t="s">
        <v>38</v>
      </c>
      <c r="C89" s="2">
        <v>15</v>
      </c>
      <c r="D89" s="2">
        <v>12</v>
      </c>
      <c r="E89" s="2" t="s">
        <v>35</v>
      </c>
      <c r="G89" s="9">
        <f t="shared" si="127"/>
        <v>64.999999999999986</v>
      </c>
      <c r="H89" s="11">
        <f t="shared" si="128"/>
        <v>18.611029794089973</v>
      </c>
      <c r="I89" s="14">
        <f t="shared" si="129"/>
        <v>27.044763207167311</v>
      </c>
      <c r="J89" s="14">
        <f t="shared" si="130"/>
        <v>100</v>
      </c>
      <c r="M89" s="7">
        <f>G89-G$80</f>
        <v>0</v>
      </c>
      <c r="N89" s="7">
        <f t="shared" ref="N89:N90" si="141">O89/SQRT(C89)</f>
        <v>6.7957872244158697</v>
      </c>
      <c r="O89" s="7">
        <f>SQRT(H89^2+H$80^2)</f>
        <v>26.319970744531791</v>
      </c>
      <c r="Q89" s="2">
        <v>0.4</v>
      </c>
      <c r="R89" s="2">
        <v>0.1</v>
      </c>
      <c r="S89" s="2">
        <f t="shared" si="133"/>
        <v>0.3872983346207417</v>
      </c>
      <c r="T89" s="11">
        <f t="shared" si="131"/>
        <v>-0.3591047358566537</v>
      </c>
      <c r="U89" s="11">
        <f t="shared" si="132"/>
        <v>1.1591047358566537</v>
      </c>
      <c r="W89" s="7">
        <f t="shared" ref="W89:W90" si="142">Q90-Q80</f>
        <v>0</v>
      </c>
      <c r="X89" s="7">
        <f t="shared" si="136"/>
        <v>0.13662601021279466</v>
      </c>
      <c r="Y89" s="7">
        <f t="shared" ref="Y89:Y90" si="143">SQRT(S90^2+S80^2)</f>
        <v>0.52915026221291817</v>
      </c>
    </row>
    <row r="90" spans="1:25" x14ac:dyDescent="0.25">
      <c r="A90" s="23" t="s">
        <v>68</v>
      </c>
      <c r="B90" t="s">
        <v>36</v>
      </c>
      <c r="C90" s="2">
        <v>13</v>
      </c>
      <c r="D90" s="2">
        <v>12</v>
      </c>
      <c r="E90" s="2" t="s">
        <v>35</v>
      </c>
      <c r="G90" s="9">
        <f t="shared" si="127"/>
        <v>64.999999999999986</v>
      </c>
      <c r="H90" s="11">
        <f t="shared" si="128"/>
        <v>17.942449617231404</v>
      </c>
      <c r="I90" s="14">
        <f t="shared" si="129"/>
        <v>29.6655975004529</v>
      </c>
      <c r="J90" s="14">
        <f t="shared" si="130"/>
        <v>100</v>
      </c>
      <c r="M90" s="7">
        <f>G90-G$81</f>
        <v>4.9999999999999858</v>
      </c>
      <c r="N90" s="7">
        <f t="shared" si="141"/>
        <v>7.054357618177943</v>
      </c>
      <c r="O90" s="7">
        <f>SQRT(H90^2+H$81^2)</f>
        <v>25.43484810780059</v>
      </c>
      <c r="Q90" s="2">
        <v>0.4</v>
      </c>
      <c r="R90" s="2">
        <v>0.1</v>
      </c>
      <c r="S90" s="2">
        <f t="shared" si="133"/>
        <v>0.36055512754639896</v>
      </c>
      <c r="T90" s="11">
        <f t="shared" si="131"/>
        <v>-0.3066880499909419</v>
      </c>
      <c r="U90" s="11">
        <f t="shared" si="132"/>
        <v>1.1066880499909419</v>
      </c>
      <c r="W90" s="7">
        <f t="shared" si="142"/>
        <v>-0.5</v>
      </c>
      <c r="X90" s="7">
        <f t="shared" si="136"/>
        <v>0.1</v>
      </c>
      <c r="Y90" s="7">
        <f t="shared" si="143"/>
        <v>0.36055512754639896</v>
      </c>
    </row>
    <row r="92" spans="1:25" x14ac:dyDescent="0.25">
      <c r="A92" s="2" t="s">
        <v>69</v>
      </c>
      <c r="B92" s="2" t="s">
        <v>3</v>
      </c>
      <c r="C92" s="2">
        <v>29</v>
      </c>
      <c r="D92" s="2">
        <v>0</v>
      </c>
      <c r="E92" s="2" t="s">
        <v>35</v>
      </c>
      <c r="G92" s="9">
        <f t="shared" ref="G92" si="144">(Q92-1.7)/(-0.02)</f>
        <v>69.5</v>
      </c>
      <c r="H92" s="11">
        <f t="shared" ref="H92" si="145">(J92-I92)/(2*1.96)</f>
        <v>13.462912017836258</v>
      </c>
      <c r="I92" s="14">
        <f t="shared" ref="I92" si="146">(U92-1.7)/(-0.02)</f>
        <v>43.112692445040935</v>
      </c>
      <c r="J92" s="14">
        <f t="shared" ref="J92:J99" si="147">MIN((T92-1.7)/(-0.02),100)</f>
        <v>95.887307554959065</v>
      </c>
      <c r="Q92" s="16">
        <v>0.31</v>
      </c>
      <c r="R92" s="16">
        <v>0.05</v>
      </c>
      <c r="S92" s="7">
        <f>SQRT(C92)*R92</f>
        <v>0.26925824035672519</v>
      </c>
      <c r="T92" s="11">
        <f t="shared" ref="T92:T99" si="148">Q92-1.96*S92</f>
        <v>-0.21774615109918133</v>
      </c>
      <c r="U92" s="11">
        <f t="shared" ref="U92:U99" si="149">Q92+1.96*S92</f>
        <v>0.83774615109918127</v>
      </c>
    </row>
    <row r="93" spans="1:25" x14ac:dyDescent="0.25">
      <c r="A93" s="23" t="s">
        <v>69</v>
      </c>
      <c r="B93" s="2" t="s">
        <v>3</v>
      </c>
      <c r="C93" s="2">
        <v>29</v>
      </c>
      <c r="D93" s="2">
        <v>16</v>
      </c>
      <c r="E93" s="2" t="s">
        <v>35</v>
      </c>
      <c r="G93" s="9">
        <f t="shared" ref="G93:G99" si="150">(Q93-1.7)/(-0.02)</f>
        <v>66.5</v>
      </c>
      <c r="H93" s="11">
        <f t="shared" ref="H93:H99" si="151">(J93-I93)/(2*1.96)</f>
        <v>13.46291201783626</v>
      </c>
      <c r="I93" s="14">
        <f t="shared" ref="I93:I99" si="152">(U93-1.7)/(-0.02)</f>
        <v>40.112692445040928</v>
      </c>
      <c r="J93" s="14">
        <f t="shared" si="147"/>
        <v>92.887307554959065</v>
      </c>
      <c r="M93" s="7">
        <f>G93-G$92</f>
        <v>-3</v>
      </c>
      <c r="N93" s="7">
        <f>O93/SQRT(C93)</f>
        <v>3.5355339059327373</v>
      </c>
      <c r="O93" s="7">
        <f>SQRT(H93^2+H$92^2)</f>
        <v>19.039432764659768</v>
      </c>
      <c r="Q93" s="7">
        <f>Q$92+W93</f>
        <v>0.37</v>
      </c>
      <c r="R93" s="16">
        <v>0.05</v>
      </c>
      <c r="S93" s="17">
        <v>0.26925824035672519</v>
      </c>
      <c r="T93" s="11">
        <f t="shared" si="148"/>
        <v>-0.15774615109918133</v>
      </c>
      <c r="U93" s="11">
        <f t="shared" si="149"/>
        <v>0.89774615109918132</v>
      </c>
      <c r="W93" s="2">
        <v>0.06</v>
      </c>
      <c r="X93" s="2">
        <v>0.03</v>
      </c>
      <c r="Y93" s="7">
        <f>SQRT(C93)*X93</f>
        <v>0.1615549442140351</v>
      </c>
    </row>
    <row r="94" spans="1:25" x14ac:dyDescent="0.25">
      <c r="A94" s="23" t="s">
        <v>69</v>
      </c>
      <c r="B94" s="2" t="s">
        <v>3</v>
      </c>
      <c r="C94" s="2">
        <v>29</v>
      </c>
      <c r="D94" s="2">
        <v>32</v>
      </c>
      <c r="E94" s="2" t="s">
        <v>35</v>
      </c>
      <c r="G94" s="9">
        <f t="shared" si="150"/>
        <v>65.5</v>
      </c>
      <c r="H94" s="11">
        <f t="shared" si="151"/>
        <v>13.46291201783626</v>
      </c>
      <c r="I94" s="14">
        <f t="shared" si="152"/>
        <v>39.112692445040928</v>
      </c>
      <c r="J94" s="14">
        <f t="shared" si="147"/>
        <v>91.887307554959065</v>
      </c>
      <c r="M94" s="7">
        <f t="shared" ref="M94:M95" si="153">G94-G$92</f>
        <v>-4</v>
      </c>
      <c r="N94" s="7">
        <f t="shared" ref="N94:N95" si="154">O94/SQRT(C94)</f>
        <v>3.5355339059327373</v>
      </c>
      <c r="O94" s="7">
        <f>SQRT(H94^2+H$92^2)</f>
        <v>19.039432764659768</v>
      </c>
      <c r="Q94" s="7">
        <f t="shared" ref="Q94:Q95" si="155">Q$92+W94</f>
        <v>0.39</v>
      </c>
      <c r="R94" s="16">
        <v>0.05</v>
      </c>
      <c r="S94" s="17">
        <v>0.26925824035672519</v>
      </c>
      <c r="T94" s="11">
        <f t="shared" si="148"/>
        <v>-0.13774615109918131</v>
      </c>
      <c r="U94" s="11">
        <f t="shared" si="149"/>
        <v>0.91774615109918134</v>
      </c>
      <c r="W94" s="2">
        <v>0.08</v>
      </c>
      <c r="X94" s="2">
        <v>0.03</v>
      </c>
      <c r="Y94" s="7">
        <f t="shared" ref="Y94:Y99" si="156">SQRT(C94)*X94</f>
        <v>0.1615549442140351</v>
      </c>
    </row>
    <row r="95" spans="1:25" x14ac:dyDescent="0.25">
      <c r="A95" s="23" t="s">
        <v>69</v>
      </c>
      <c r="B95" s="2" t="s">
        <v>3</v>
      </c>
      <c r="C95" s="2">
        <v>29</v>
      </c>
      <c r="D95" s="2">
        <v>48</v>
      </c>
      <c r="E95" s="2" t="s">
        <v>35</v>
      </c>
      <c r="G95" s="9">
        <f t="shared" si="150"/>
        <v>65.5</v>
      </c>
      <c r="H95" s="11">
        <f t="shared" si="151"/>
        <v>13.46291201783626</v>
      </c>
      <c r="I95" s="14">
        <f t="shared" si="152"/>
        <v>39.112692445040928</v>
      </c>
      <c r="J95" s="14">
        <f t="shared" si="147"/>
        <v>91.887307554959065</v>
      </c>
      <c r="M95" s="7">
        <f t="shared" si="153"/>
        <v>-4</v>
      </c>
      <c r="N95" s="7">
        <f t="shared" si="154"/>
        <v>3.5355339059327373</v>
      </c>
      <c r="O95" s="7">
        <f t="shared" ref="O95" si="157">SQRT(H95^2+H$92^2)</f>
        <v>19.039432764659768</v>
      </c>
      <c r="Q95" s="7">
        <f t="shared" si="155"/>
        <v>0.39</v>
      </c>
      <c r="R95" s="16">
        <v>0.05</v>
      </c>
      <c r="S95" s="17">
        <v>0.26925824035672519</v>
      </c>
      <c r="T95" s="11">
        <f t="shared" si="148"/>
        <v>-0.13774615109918131</v>
      </c>
      <c r="U95" s="11">
        <f t="shared" si="149"/>
        <v>0.91774615109918134</v>
      </c>
      <c r="W95" s="2">
        <v>0.08</v>
      </c>
      <c r="X95" s="2">
        <v>0.03</v>
      </c>
      <c r="Y95" s="7">
        <f t="shared" si="156"/>
        <v>0.1615549442140351</v>
      </c>
    </row>
    <row r="96" spans="1:25" x14ac:dyDescent="0.25">
      <c r="A96" s="23" t="s">
        <v>69</v>
      </c>
      <c r="B96" s="2" t="s">
        <v>26</v>
      </c>
      <c r="C96" s="2">
        <v>29</v>
      </c>
      <c r="D96" s="2">
        <v>0</v>
      </c>
      <c r="E96" s="2" t="s">
        <v>35</v>
      </c>
      <c r="G96" s="9">
        <f t="shared" si="150"/>
        <v>71.5</v>
      </c>
      <c r="H96" s="11">
        <f t="shared" si="151"/>
        <v>15.348155373967064</v>
      </c>
      <c r="I96" s="14">
        <f t="shared" si="152"/>
        <v>39.835230934049115</v>
      </c>
      <c r="J96" s="14">
        <f>MIN((T96-1.7)/(-0.02),100)</f>
        <v>100</v>
      </c>
      <c r="Q96" s="16">
        <v>0.27</v>
      </c>
      <c r="R96" s="16">
        <v>0.06</v>
      </c>
      <c r="S96" s="7">
        <f>SQRT(C96)*R96</f>
        <v>0.3231098884280702</v>
      </c>
      <c r="T96" s="11">
        <f t="shared" si="148"/>
        <v>-0.36329538131901762</v>
      </c>
      <c r="U96" s="11">
        <f t="shared" si="149"/>
        <v>0.90329538131901765</v>
      </c>
      <c r="Y96" s="7"/>
    </row>
    <row r="97" spans="1:25" x14ac:dyDescent="0.25">
      <c r="A97" s="23" t="s">
        <v>69</v>
      </c>
      <c r="B97" s="2" t="s">
        <v>26</v>
      </c>
      <c r="C97" s="2">
        <v>29</v>
      </c>
      <c r="D97" s="2">
        <v>16</v>
      </c>
      <c r="E97" s="2" t="s">
        <v>35</v>
      </c>
      <c r="G97" s="9">
        <f t="shared" si="150"/>
        <v>71.5</v>
      </c>
      <c r="H97" s="11">
        <f t="shared" si="151"/>
        <v>15.348155373967064</v>
      </c>
      <c r="I97" s="14">
        <f t="shared" si="152"/>
        <v>39.835230934049115</v>
      </c>
      <c r="J97" s="14">
        <f t="shared" si="147"/>
        <v>100</v>
      </c>
      <c r="M97" s="7">
        <f>G97-G$96</f>
        <v>0</v>
      </c>
      <c r="N97" s="7">
        <f>O97/SQRT(C97)</f>
        <v>4.0306230662647931</v>
      </c>
      <c r="O97" s="7">
        <f>SQRT(H97^2+H$96^2)</f>
        <v>21.705569487273724</v>
      </c>
      <c r="Q97" s="7">
        <f>Q$96+W97</f>
        <v>0.27</v>
      </c>
      <c r="R97" s="16">
        <v>0.06</v>
      </c>
      <c r="S97" s="17">
        <v>0.3231098884280702</v>
      </c>
      <c r="T97" s="11">
        <f t="shared" si="148"/>
        <v>-0.36329538131901762</v>
      </c>
      <c r="U97" s="11">
        <f t="shared" si="149"/>
        <v>0.90329538131901765</v>
      </c>
      <c r="W97" s="2">
        <v>0</v>
      </c>
      <c r="X97" s="2">
        <v>0.01</v>
      </c>
      <c r="Y97" s="7">
        <f t="shared" si="156"/>
        <v>5.3851648071345036E-2</v>
      </c>
    </row>
    <row r="98" spans="1:25" x14ac:dyDescent="0.25">
      <c r="A98" s="23" t="s">
        <v>69</v>
      </c>
      <c r="B98" s="2" t="s">
        <v>26</v>
      </c>
      <c r="C98" s="2">
        <v>29</v>
      </c>
      <c r="D98" s="2">
        <v>32</v>
      </c>
      <c r="E98" s="2" t="s">
        <v>35</v>
      </c>
      <c r="G98" s="9">
        <f t="shared" si="150"/>
        <v>71</v>
      </c>
      <c r="H98" s="11">
        <f t="shared" si="151"/>
        <v>15.475706394375226</v>
      </c>
      <c r="I98" s="14">
        <f t="shared" si="152"/>
        <v>39.335230934049115</v>
      </c>
      <c r="J98" s="14">
        <f t="shared" si="147"/>
        <v>100</v>
      </c>
      <c r="M98" s="7">
        <f t="shared" ref="M98:M99" si="158">G98-G$96</f>
        <v>-0.5</v>
      </c>
      <c r="N98" s="7">
        <f t="shared" ref="N98:N99" si="159">O98/SQRT(C98)</f>
        <v>4.0474059882943179</v>
      </c>
      <c r="O98" s="7">
        <f t="shared" ref="O98:O99" si="160">SQRT(H98^2+H$96^2)</f>
        <v>21.795948288348004</v>
      </c>
      <c r="Q98" s="7">
        <f t="shared" ref="Q98:Q99" si="161">Q$96+W98</f>
        <v>0.28000000000000003</v>
      </c>
      <c r="R98" s="16">
        <v>0.06</v>
      </c>
      <c r="S98" s="17">
        <v>0.3231098884280702</v>
      </c>
      <c r="T98" s="11">
        <f t="shared" si="148"/>
        <v>-0.35329538131901761</v>
      </c>
      <c r="U98" s="11">
        <f t="shared" si="149"/>
        <v>0.91329538131901766</v>
      </c>
      <c r="W98" s="2">
        <v>0.01</v>
      </c>
      <c r="X98" s="2">
        <v>0.02</v>
      </c>
      <c r="Y98" s="7">
        <f t="shared" si="156"/>
        <v>0.10770329614269007</v>
      </c>
    </row>
    <row r="99" spans="1:25" x14ac:dyDescent="0.25">
      <c r="A99" s="23" t="s">
        <v>69</v>
      </c>
      <c r="B99" s="2" t="s">
        <v>26</v>
      </c>
      <c r="C99" s="2">
        <v>29</v>
      </c>
      <c r="D99" s="2">
        <v>48</v>
      </c>
      <c r="E99" s="2" t="s">
        <v>35</v>
      </c>
      <c r="G99" s="9">
        <f t="shared" si="150"/>
        <v>71.5</v>
      </c>
      <c r="H99" s="11">
        <f t="shared" si="151"/>
        <v>15.348155373967064</v>
      </c>
      <c r="I99" s="14">
        <f t="shared" si="152"/>
        <v>39.835230934049115</v>
      </c>
      <c r="J99" s="14">
        <f t="shared" si="147"/>
        <v>100</v>
      </c>
      <c r="M99" s="7">
        <f t="shared" si="158"/>
        <v>0</v>
      </c>
      <c r="N99" s="7">
        <f t="shared" si="159"/>
        <v>4.0306230662647931</v>
      </c>
      <c r="O99" s="7">
        <f t="shared" si="160"/>
        <v>21.705569487273724</v>
      </c>
      <c r="Q99" s="7">
        <f t="shared" si="161"/>
        <v>0.27</v>
      </c>
      <c r="R99" s="16">
        <v>0.06</v>
      </c>
      <c r="S99" s="17">
        <v>0.3231098884280702</v>
      </c>
      <c r="T99" s="11">
        <f t="shared" si="148"/>
        <v>-0.36329538131901762</v>
      </c>
      <c r="U99" s="11">
        <f t="shared" si="149"/>
        <v>0.90329538131901765</v>
      </c>
      <c r="W99" s="2">
        <v>0</v>
      </c>
      <c r="X99" s="2">
        <v>0.02</v>
      </c>
      <c r="Y99" s="7">
        <f t="shared" si="156"/>
        <v>0.10770329614269007</v>
      </c>
    </row>
    <row r="101" spans="1:25" x14ac:dyDescent="0.25">
      <c r="A101" s="23" t="s">
        <v>71</v>
      </c>
      <c r="B101" s="23" t="s">
        <v>2</v>
      </c>
      <c r="C101" s="23">
        <v>160</v>
      </c>
      <c r="D101" s="23">
        <v>0</v>
      </c>
      <c r="E101" s="23" t="s">
        <v>34</v>
      </c>
      <c r="G101" s="2">
        <v>87.3</v>
      </c>
      <c r="H101" s="23">
        <v>4.5</v>
      </c>
      <c r="I101" s="25">
        <f>G101-1.96*H101</f>
        <v>78.47999999999999</v>
      </c>
      <c r="J101" s="25">
        <f t="shared" ref="J101:J104" si="162">MIN(G101+1.96*H101, 100)</f>
        <v>96.12</v>
      </c>
      <c r="M101" s="23"/>
      <c r="N101" s="23"/>
      <c r="O101" s="23"/>
      <c r="Q101" s="9">
        <f>-0.02*G101+1.7</f>
        <v>-4.6000000000000041E-2</v>
      </c>
      <c r="R101" s="25">
        <f t="shared" ref="R101" si="163">S101/SQRT(C101)</f>
        <v>7.1151247353788572E-3</v>
      </c>
      <c r="S101" s="25">
        <f t="shared" ref="S101" si="164">(U101-T101)/(2*1.96)</f>
        <v>9.0000000000000052E-2</v>
      </c>
      <c r="T101" s="9">
        <f>0.02*I101+1.7</f>
        <v>3.2695999999999996</v>
      </c>
      <c r="U101" s="9">
        <f t="shared" ref="U101" si="165">0.02*J101+1.7</f>
        <v>3.6223999999999998</v>
      </c>
    </row>
    <row r="102" spans="1:25" x14ac:dyDescent="0.25">
      <c r="A102" s="23" t="s">
        <v>71</v>
      </c>
      <c r="B102" s="23" t="s">
        <v>2</v>
      </c>
      <c r="C102" s="23">
        <v>160</v>
      </c>
      <c r="D102" s="23">
        <v>104</v>
      </c>
      <c r="E102" s="23" t="s">
        <v>34</v>
      </c>
      <c r="G102" s="2">
        <v>86.3</v>
      </c>
      <c r="H102" s="23">
        <v>7.8</v>
      </c>
      <c r="I102" s="25">
        <f t="shared" ref="I102:I104" si="166">G102-1.96*H102</f>
        <v>71.012</v>
      </c>
      <c r="J102" s="25">
        <f t="shared" si="162"/>
        <v>100</v>
      </c>
      <c r="M102" s="23">
        <v>-0.9</v>
      </c>
      <c r="N102" s="25">
        <f>O102/SQRT(C102)</f>
        <v>0.71190764850505717</v>
      </c>
      <c r="O102" s="25">
        <f>SQRT(H102^2+H$101^2)</f>
        <v>9.004998611882181</v>
      </c>
      <c r="Q102" s="9">
        <f>-0.02*G102+1.7</f>
        <v>-2.6000000000000023E-2</v>
      </c>
      <c r="R102" s="25">
        <f t="shared" ref="R102" si="167">S102/SQRT(C102)</f>
        <v>1.1692360307775641E-2</v>
      </c>
      <c r="S102" s="25">
        <f>(U102-T102)/(2*1.96)</f>
        <v>0.14789795918367354</v>
      </c>
      <c r="T102" s="9">
        <f>0.02*I102+1.7</f>
        <v>3.1202399999999999</v>
      </c>
      <c r="U102" s="9">
        <f t="shared" ref="U102" si="168">0.02*J102+1.7</f>
        <v>3.7</v>
      </c>
      <c r="W102" s="25">
        <f>Q102-Q$101</f>
        <v>2.0000000000000018E-2</v>
      </c>
      <c r="X102" s="25">
        <f>Y102/SQRT(C102)</f>
        <v>1.3687084772399393E-2</v>
      </c>
      <c r="Y102" s="25">
        <f>SQRT(S$101^2+S102^2)</f>
        <v>0.17312944963435764</v>
      </c>
    </row>
    <row r="103" spans="1:25" x14ac:dyDescent="0.25">
      <c r="A103" s="23" t="s">
        <v>71</v>
      </c>
      <c r="B103" s="23" t="s">
        <v>21</v>
      </c>
      <c r="C103" s="23">
        <v>166</v>
      </c>
      <c r="D103" s="23">
        <v>0</v>
      </c>
      <c r="E103" s="23" t="s">
        <v>34</v>
      </c>
      <c r="G103" s="2">
        <v>87.8</v>
      </c>
      <c r="H103" s="23">
        <v>4.5999999999999996</v>
      </c>
      <c r="I103" s="25">
        <f t="shared" si="166"/>
        <v>78.783999999999992</v>
      </c>
      <c r="J103" s="25">
        <f t="shared" si="162"/>
        <v>96.816000000000003</v>
      </c>
      <c r="M103" s="23"/>
      <c r="N103" s="23"/>
      <c r="O103" s="23"/>
      <c r="Q103" s="9">
        <f t="shared" ref="Q103:Q104" si="169">-0.02*G103+1.7</f>
        <v>-5.600000000000005E-2</v>
      </c>
      <c r="R103" s="25">
        <f t="shared" ref="R103:R104" si="170">S103/SQRT(C103)</f>
        <v>7.1405848364982641E-3</v>
      </c>
      <c r="S103" s="25">
        <f t="shared" ref="S103:S104" si="171">(U103-T103)/(2*1.96)</f>
        <v>9.2000000000000026E-2</v>
      </c>
      <c r="T103" s="9">
        <f t="shared" ref="T103:T104" si="172">0.02*I103+1.7</f>
        <v>3.2756799999999999</v>
      </c>
      <c r="U103" s="9">
        <f t="shared" ref="U103:U104" si="173">0.02*J103+1.7</f>
        <v>3.63632</v>
      </c>
      <c r="W103" s="23"/>
      <c r="X103" s="23"/>
      <c r="Y103" s="23"/>
    </row>
    <row r="104" spans="1:25" x14ac:dyDescent="0.25">
      <c r="A104" s="23" t="s">
        <v>71</v>
      </c>
      <c r="B104" s="23" t="s">
        <v>21</v>
      </c>
      <c r="C104" s="23">
        <v>166</v>
      </c>
      <c r="D104" s="23">
        <v>104</v>
      </c>
      <c r="E104" s="23" t="s">
        <v>34</v>
      </c>
      <c r="G104" s="23">
        <v>85.7</v>
      </c>
      <c r="H104" s="23">
        <v>7.9</v>
      </c>
      <c r="I104" s="25">
        <f t="shared" si="166"/>
        <v>70.216000000000008</v>
      </c>
      <c r="J104" s="25">
        <f t="shared" si="162"/>
        <v>100</v>
      </c>
      <c r="M104" s="23">
        <v>-2</v>
      </c>
      <c r="N104" s="25">
        <f>O104/SQRT(C103)</f>
        <v>0.70953064411606559</v>
      </c>
      <c r="O104" s="25">
        <f>SQRT(H103^2+H$104^2)</f>
        <v>9.1416628684282593</v>
      </c>
      <c r="Q104" s="9">
        <f t="shared" si="169"/>
        <v>-1.4000000000000234E-2</v>
      </c>
      <c r="R104" s="25">
        <f t="shared" si="170"/>
        <v>1.179432002940684E-2</v>
      </c>
      <c r="S104" s="25">
        <f t="shared" si="171"/>
        <v>0.15195918367346933</v>
      </c>
      <c r="T104" s="9">
        <f t="shared" si="172"/>
        <v>3.1043200000000004</v>
      </c>
      <c r="U104" s="9">
        <f t="shared" si="173"/>
        <v>3.7</v>
      </c>
      <c r="W104" s="25">
        <f>Q104-Q$103</f>
        <v>4.1999999999999815E-2</v>
      </c>
      <c r="X104" s="25">
        <f>Y104/SQRT(C104)</f>
        <v>1.3787455775569921E-2</v>
      </c>
      <c r="Y104" s="25">
        <f>SQRT(S$103^2+S104^2)</f>
        <v>0.1776389414027994</v>
      </c>
    </row>
    <row r="106" spans="1:25" x14ac:dyDescent="0.25">
      <c r="A106" s="23" t="s">
        <v>72</v>
      </c>
      <c r="B106" s="23" t="s">
        <v>8</v>
      </c>
      <c r="C106" s="23">
        <v>27</v>
      </c>
      <c r="D106" s="23">
        <v>0</v>
      </c>
      <c r="E106" s="23" t="s">
        <v>35</v>
      </c>
      <c r="G106" s="9">
        <f>(Q106-1.7)/(-0.02)</f>
        <v>70</v>
      </c>
      <c r="H106" s="11">
        <f>(J106-I106)/(2*1.96)</f>
        <v>12.990381056766578</v>
      </c>
      <c r="I106" s="14">
        <f>(U106-1.7)/(-0.02)</f>
        <v>44.5388531287375</v>
      </c>
      <c r="J106" s="14">
        <f t="shared" ref="J106" si="174">MIN((T106-1.7)/(-0.02),100)</f>
        <v>95.461146871262486</v>
      </c>
      <c r="Q106" s="2">
        <v>0.3</v>
      </c>
      <c r="R106" s="2">
        <v>0.05</v>
      </c>
      <c r="S106" s="25">
        <f t="shared" ref="S106:S111" si="175">SQRT(C106)*R106</f>
        <v>0.25980762113533162</v>
      </c>
      <c r="T106" s="11">
        <f t="shared" ref="T106:T111" si="176">Q106-1.96*S106</f>
        <v>-0.20922293742524994</v>
      </c>
      <c r="U106" s="11">
        <f t="shared" ref="U106:U111" si="177">Q106+1.96*S106</f>
        <v>0.80922293742524998</v>
      </c>
    </row>
    <row r="107" spans="1:25" x14ac:dyDescent="0.25">
      <c r="A107" s="23" t="s">
        <v>72</v>
      </c>
      <c r="B107" s="22" t="s">
        <v>3</v>
      </c>
      <c r="C107" s="23">
        <v>27</v>
      </c>
      <c r="D107" s="23">
        <v>0</v>
      </c>
      <c r="E107" s="23" t="s">
        <v>35</v>
      </c>
      <c r="G107" s="9">
        <f t="shared" ref="G107:G111" si="178">(Q107-1.7)/(-0.02)</f>
        <v>70</v>
      </c>
      <c r="H107" s="11">
        <f t="shared" ref="H107:H111" si="179">(J107-I107)/(2*1.96)</f>
        <v>16.746327964226406</v>
      </c>
      <c r="I107" s="14">
        <f t="shared" ref="I107:I111" si="180">(U107-1.7)/(-0.02)</f>
        <v>34.354394380232499</v>
      </c>
      <c r="J107" s="14">
        <f t="shared" ref="J107:J111" si="181">MIN((T107-1.7)/(-0.02),100)</f>
        <v>100</v>
      </c>
      <c r="Q107" s="2">
        <v>0.3</v>
      </c>
      <c r="R107" s="2">
        <v>7.0000000000000007E-2</v>
      </c>
      <c r="S107" s="25">
        <f t="shared" si="175"/>
        <v>0.36373066958946426</v>
      </c>
      <c r="T107" s="11">
        <f t="shared" si="176"/>
        <v>-0.41291211239534992</v>
      </c>
      <c r="U107" s="11">
        <f t="shared" si="177"/>
        <v>1.01291211239535</v>
      </c>
    </row>
    <row r="108" spans="1:25" x14ac:dyDescent="0.25">
      <c r="A108" s="23" t="s">
        <v>72</v>
      </c>
      <c r="B108" s="23" t="s">
        <v>8</v>
      </c>
      <c r="C108" s="23">
        <v>27</v>
      </c>
      <c r="D108" s="23">
        <v>4</v>
      </c>
      <c r="E108" s="23" t="s">
        <v>35</v>
      </c>
      <c r="G108" s="9">
        <f t="shared" si="178"/>
        <v>79.999999999999986</v>
      </c>
      <c r="H108" s="11">
        <f t="shared" si="179"/>
        <v>7.794228634059948</v>
      </c>
      <c r="I108" s="14">
        <f t="shared" si="180"/>
        <v>64.723311877242494</v>
      </c>
      <c r="J108" s="14">
        <f t="shared" si="181"/>
        <v>95.276688122757491</v>
      </c>
      <c r="M108" s="25">
        <f>G108-G106</f>
        <v>9.9999999999999858</v>
      </c>
      <c r="N108" s="25">
        <f>O108/SQRT(C108)</f>
        <v>15.120278924507005</v>
      </c>
      <c r="O108" s="25">
        <f>SQRT(I108^2+I106^2)</f>
        <v>78.567273965577101</v>
      </c>
      <c r="Q108" s="22">
        <v>0.1</v>
      </c>
      <c r="R108" s="22">
        <v>0.03</v>
      </c>
      <c r="S108" s="25">
        <f t="shared" si="175"/>
        <v>0.15588457268119896</v>
      </c>
      <c r="T108" s="11">
        <f t="shared" si="176"/>
        <v>-0.20553376245514995</v>
      </c>
      <c r="U108" s="11">
        <f t="shared" si="177"/>
        <v>0.40553376245514994</v>
      </c>
      <c r="W108" s="25">
        <f>Q108-Q106</f>
        <v>-0.19999999999999998</v>
      </c>
      <c r="X108" s="25">
        <f>Y108/SQRT(C108)</f>
        <v>5.8309518948453008E-2</v>
      </c>
      <c r="Y108" s="25">
        <f>SQRT(S108^2+S106^2)</f>
        <v>0.30298514815086236</v>
      </c>
    </row>
    <row r="109" spans="1:25" x14ac:dyDescent="0.25">
      <c r="A109" s="23" t="s">
        <v>72</v>
      </c>
      <c r="B109" s="22" t="s">
        <v>3</v>
      </c>
      <c r="C109" s="23">
        <v>27</v>
      </c>
      <c r="D109" s="23">
        <v>4</v>
      </c>
      <c r="E109" s="23" t="s">
        <v>35</v>
      </c>
      <c r="G109" s="9">
        <f t="shared" si="178"/>
        <v>64.999999999999986</v>
      </c>
      <c r="H109" s="11">
        <f t="shared" si="179"/>
        <v>12.990381056766582</v>
      </c>
      <c r="I109" s="14">
        <f t="shared" si="180"/>
        <v>39.5388531287375</v>
      </c>
      <c r="J109" s="14">
        <f t="shared" si="181"/>
        <v>90.4611468712625</v>
      </c>
      <c r="M109" s="25">
        <f>G109-G107</f>
        <v>-5.0000000000000142</v>
      </c>
      <c r="N109" s="25">
        <f t="shared" ref="N109:N111" si="182">O109/SQRT(C109)</f>
        <v>10.080316940873447</v>
      </c>
      <c r="O109" s="25">
        <f>SQRT(I109^2+I107^2)</f>
        <v>52.378863293970262</v>
      </c>
      <c r="Q109" s="22">
        <v>0.4</v>
      </c>
      <c r="R109" s="22">
        <v>0.05</v>
      </c>
      <c r="S109" s="25">
        <f t="shared" si="175"/>
        <v>0.25980762113533162</v>
      </c>
      <c r="T109" s="11">
        <f t="shared" si="176"/>
        <v>-0.10922293742524991</v>
      </c>
      <c r="U109" s="11">
        <f t="shared" si="177"/>
        <v>0.90922293742524996</v>
      </c>
      <c r="W109" s="25">
        <f>Q109-Q107</f>
        <v>0.10000000000000003</v>
      </c>
      <c r="X109" s="25">
        <f>Y109/SQRT(C109)</f>
        <v>8.6023252670426278E-2</v>
      </c>
      <c r="Y109" s="25">
        <f>SQRT(S109^2+S107^2)</f>
        <v>0.44698993277254023</v>
      </c>
    </row>
    <row r="110" spans="1:25" x14ac:dyDescent="0.25">
      <c r="A110" s="23" t="s">
        <v>72</v>
      </c>
      <c r="B110" s="23" t="s">
        <v>8</v>
      </c>
      <c r="C110" s="23">
        <v>27</v>
      </c>
      <c r="D110" s="23">
        <v>13</v>
      </c>
      <c r="E110" s="23" t="s">
        <v>35</v>
      </c>
      <c r="G110" s="9">
        <f t="shared" si="178"/>
        <v>79.999999999999986</v>
      </c>
      <c r="H110" s="11">
        <f t="shared" si="179"/>
        <v>5.1961524227066294</v>
      </c>
      <c r="I110" s="14">
        <f t="shared" si="180"/>
        <v>69.815541251495006</v>
      </c>
      <c r="J110" s="14">
        <f t="shared" si="181"/>
        <v>90.184458748504994</v>
      </c>
      <c r="M110" s="25">
        <f>G110-G106</f>
        <v>9.9999999999999858</v>
      </c>
      <c r="N110" s="25">
        <f t="shared" si="182"/>
        <v>15.937283608712471</v>
      </c>
      <c r="O110" s="25">
        <f>SQRT(I110^2+I106^2)</f>
        <v>82.812554834774005</v>
      </c>
      <c r="Q110" s="22">
        <v>0.1</v>
      </c>
      <c r="R110" s="22">
        <v>0.02</v>
      </c>
      <c r="S110" s="25">
        <f t="shared" si="175"/>
        <v>0.10392304845413264</v>
      </c>
      <c r="T110" s="11">
        <f t="shared" si="176"/>
        <v>-0.10368917497009997</v>
      </c>
      <c r="U110" s="11">
        <f t="shared" si="177"/>
        <v>0.30368917497009995</v>
      </c>
      <c r="W110" s="25">
        <f>Q110-Q106</f>
        <v>-0.19999999999999998</v>
      </c>
      <c r="X110" s="25">
        <f>Y110/SQRT(C110)</f>
        <v>5.385164807134505E-2</v>
      </c>
      <c r="Y110" s="25">
        <f>SQRT(S110^2+S106^2)</f>
        <v>0.27982137159266451</v>
      </c>
    </row>
    <row r="111" spans="1:25" x14ac:dyDescent="0.25">
      <c r="A111" s="23" t="s">
        <v>72</v>
      </c>
      <c r="B111" s="22" t="s">
        <v>3</v>
      </c>
      <c r="C111" s="23">
        <v>27</v>
      </c>
      <c r="D111" s="23">
        <v>13</v>
      </c>
      <c r="E111" s="23" t="s">
        <v>35</v>
      </c>
      <c r="G111" s="9">
        <f t="shared" si="178"/>
        <v>64.999999999999986</v>
      </c>
      <c r="H111" s="11">
        <f t="shared" si="179"/>
        <v>10.392304845413264</v>
      </c>
      <c r="I111" s="14">
        <f t="shared" si="180"/>
        <v>44.631082502989997</v>
      </c>
      <c r="J111" s="14">
        <f t="shared" si="181"/>
        <v>85.368917497009988</v>
      </c>
      <c r="M111" s="25">
        <f>G111-G107</f>
        <v>-5.0000000000000142</v>
      </c>
      <c r="N111" s="25">
        <f t="shared" si="182"/>
        <v>10.839157303962624</v>
      </c>
      <c r="O111" s="25">
        <f>SQRT(I111^2+I107^2)</f>
        <v>56.321913485083677</v>
      </c>
      <c r="Q111" s="22">
        <v>0.4</v>
      </c>
      <c r="R111" s="22">
        <v>0.04</v>
      </c>
      <c r="S111" s="25">
        <f t="shared" si="175"/>
        <v>0.20784609690826528</v>
      </c>
      <c r="T111" s="11">
        <f t="shared" si="176"/>
        <v>-7.3783499401999242E-3</v>
      </c>
      <c r="U111" s="11">
        <f t="shared" si="177"/>
        <v>0.80737834994019997</v>
      </c>
      <c r="W111" s="25">
        <f>Q111-Q107</f>
        <v>0.10000000000000003</v>
      </c>
      <c r="X111" s="25">
        <f>Y111/SQRT(C111)</f>
        <v>8.06225774829855E-2</v>
      </c>
      <c r="Y111" s="25">
        <f>SQRT(S111^2+S107^2)</f>
        <v>0.41892720131306826</v>
      </c>
    </row>
  </sheetData>
  <pageMargins left="0.7" right="0.7" top="0.75" bottom="0.75" header="0.3" footer="0.3"/>
  <pageSetup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3F75-B33C-41F0-927A-6547B30AF88B}">
  <dimension ref="A1:E18"/>
  <sheetViews>
    <sheetView workbookViewId="0">
      <selection activeCell="E19" sqref="E19"/>
    </sheetView>
  </sheetViews>
  <sheetFormatPr defaultRowHeight="15" x14ac:dyDescent="0.25"/>
  <sheetData>
    <row r="1" spans="1:5" x14ac:dyDescent="0.25">
      <c r="A1" t="s">
        <v>40</v>
      </c>
    </row>
    <row r="2" spans="1:5" x14ac:dyDescent="0.25">
      <c r="A2" t="s">
        <v>41</v>
      </c>
    </row>
    <row r="3" spans="1:5" x14ac:dyDescent="0.25">
      <c r="A3" t="s">
        <v>42</v>
      </c>
    </row>
    <row r="5" spans="1:5" x14ac:dyDescent="0.25">
      <c r="A5" t="s">
        <v>43</v>
      </c>
    </row>
    <row r="6" spans="1:5" x14ac:dyDescent="0.25">
      <c r="A6" t="s">
        <v>56</v>
      </c>
      <c r="B6" t="s">
        <v>57</v>
      </c>
    </row>
    <row r="7" spans="1:5" x14ac:dyDescent="0.25">
      <c r="A7" t="s">
        <v>22</v>
      </c>
      <c r="B7" t="s">
        <v>58</v>
      </c>
    </row>
    <row r="8" spans="1:5" x14ac:dyDescent="0.25">
      <c r="A8" t="s">
        <v>45</v>
      </c>
      <c r="B8" t="s">
        <v>44</v>
      </c>
    </row>
    <row r="9" spans="1:5" x14ac:dyDescent="0.25">
      <c r="A9" t="s">
        <v>46</v>
      </c>
      <c r="B9" t="s">
        <v>47</v>
      </c>
    </row>
    <row r="10" spans="1:5" x14ac:dyDescent="0.25">
      <c r="A10" t="s">
        <v>59</v>
      </c>
      <c r="B10" t="s">
        <v>60</v>
      </c>
    </row>
    <row r="11" spans="1:5" x14ac:dyDescent="0.25">
      <c r="A11" t="s">
        <v>61</v>
      </c>
      <c r="B11" t="s">
        <v>62</v>
      </c>
    </row>
    <row r="13" spans="1:5" s="22" customFormat="1" x14ac:dyDescent="0.25">
      <c r="A13" s="22" t="s">
        <v>67</v>
      </c>
    </row>
    <row r="14" spans="1:5" x14ac:dyDescent="0.25">
      <c r="A14" s="18" t="s">
        <v>63</v>
      </c>
      <c r="B14" s="18"/>
      <c r="C14" s="18"/>
      <c r="D14" s="18"/>
      <c r="E14" s="18"/>
    </row>
    <row r="15" spans="1:5" x14ac:dyDescent="0.25">
      <c r="A15" s="19" t="s">
        <v>64</v>
      </c>
      <c r="B15" s="19"/>
      <c r="C15" s="19"/>
      <c r="D15" s="19"/>
      <c r="E15" s="19"/>
    </row>
    <row r="16" spans="1:5" x14ac:dyDescent="0.25">
      <c r="A16" s="20" t="s">
        <v>66</v>
      </c>
      <c r="B16" s="20"/>
      <c r="C16" s="20"/>
      <c r="D16" s="20"/>
      <c r="E16" s="20"/>
    </row>
    <row r="17" spans="1:5" x14ac:dyDescent="0.25">
      <c r="A17" s="15" t="s">
        <v>65</v>
      </c>
      <c r="B17" s="15"/>
      <c r="C17" s="15"/>
      <c r="D17" s="15"/>
      <c r="E17" s="15"/>
    </row>
    <row r="18" spans="1:5" x14ac:dyDescent="0.25">
      <c r="A18" s="21" t="s">
        <v>70</v>
      </c>
      <c r="B18" s="21"/>
      <c r="C18" s="21"/>
      <c r="D18" s="21"/>
      <c r="E18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Simmonds</dc:creator>
  <cp:lastModifiedBy>Mark Simmonds</cp:lastModifiedBy>
  <dcterms:created xsi:type="dcterms:W3CDTF">2021-12-21T10:48:53Z</dcterms:created>
  <dcterms:modified xsi:type="dcterms:W3CDTF">2022-11-17T13:09:13Z</dcterms:modified>
</cp:coreProperties>
</file>