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.arnz\Code\quetzal_germany\input\"/>
    </mc:Choice>
  </mc:AlternateContent>
  <xr:revisionPtr revIDLastSave="0" documentId="13_ncr:1_{60B17AA7-1D0F-4047-B5BC-32D90997819A}" xr6:coauthVersionLast="47" xr6:coauthVersionMax="47" xr10:uidLastSave="{00000000-0000-0000-0000-000000000000}"/>
  <bookViews>
    <workbookView xWindow="-90" yWindow="0" windowWidth="9780" windowHeight="10170" firstSheet="13" activeTab="13" xr2:uid="{00000000-000D-0000-FFFF-FFFF00000000}"/>
  </bookViews>
  <sheets>
    <sheet name="leisure_no_car" sheetId="1" r:id="rId1"/>
    <sheet name="leisure_car" sheetId="2" r:id="rId2"/>
    <sheet name="commuting_no_car" sheetId="3" r:id="rId3"/>
    <sheet name="commuting_car" sheetId="4" r:id="rId4"/>
    <sheet name="errands_no_car" sheetId="5" r:id="rId5"/>
    <sheet name="errands_car" sheetId="6" r:id="rId6"/>
    <sheet name="shopping_no_car" sheetId="7" r:id="rId7"/>
    <sheet name="shopping_car" sheetId="8" r:id="rId8"/>
    <sheet name="business_no_car" sheetId="9" r:id="rId9"/>
    <sheet name="business_car" sheetId="10" r:id="rId10"/>
    <sheet name="accompany_no_car" sheetId="11" r:id="rId11"/>
    <sheet name="accompany_car" sheetId="12" r:id="rId12"/>
    <sheet name="education_no_car" sheetId="13" r:id="rId13"/>
    <sheet name="education_car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4" l="1"/>
  <c r="B6" i="14"/>
  <c r="B5" i="14"/>
  <c r="B4" i="14"/>
  <c r="B3" i="14"/>
  <c r="B7" i="13"/>
  <c r="B6" i="13"/>
  <c r="B5" i="13"/>
  <c r="B4" i="13"/>
  <c r="B3" i="13"/>
  <c r="B7" i="12"/>
  <c r="B6" i="12"/>
  <c r="B5" i="12"/>
  <c r="B4" i="12"/>
  <c r="B3" i="12"/>
  <c r="B7" i="11"/>
  <c r="B6" i="11"/>
  <c r="B5" i="11"/>
  <c r="B3" i="11"/>
  <c r="B7" i="10"/>
  <c r="B6" i="10"/>
  <c r="B5" i="10"/>
  <c r="B4" i="10"/>
  <c r="B3" i="10"/>
  <c r="B7" i="9"/>
  <c r="B6" i="9"/>
  <c r="B5" i="9"/>
  <c r="B4" i="9"/>
  <c r="B3" i="9"/>
  <c r="B7" i="8"/>
  <c r="B6" i="8"/>
  <c r="B5" i="8"/>
  <c r="B4" i="8"/>
  <c r="B3" i="8"/>
  <c r="B7" i="7"/>
  <c r="B6" i="7"/>
  <c r="B5" i="7"/>
  <c r="B4" i="7"/>
  <c r="B3" i="7"/>
  <c r="B7" i="6"/>
  <c r="B6" i="6"/>
  <c r="B5" i="6"/>
  <c r="B4" i="6"/>
  <c r="B3" i="6"/>
  <c r="B7" i="5"/>
  <c r="B6" i="5"/>
  <c r="B5" i="5"/>
  <c r="B4" i="5"/>
  <c r="B3" i="5"/>
  <c r="B7" i="4"/>
  <c r="B6" i="4"/>
  <c r="B5" i="4"/>
  <c r="B4" i="4"/>
  <c r="B3" i="4"/>
  <c r="B7" i="3"/>
  <c r="B6" i="3"/>
  <c r="B5" i="3"/>
  <c r="B4" i="3"/>
  <c r="B3" i="3"/>
  <c r="B7" i="2"/>
  <c r="B6" i="2"/>
  <c r="B5" i="2"/>
  <c r="B4" i="2"/>
  <c r="B3" i="2"/>
  <c r="B7" i="1"/>
  <c r="B6" i="1"/>
  <c r="B5" i="1"/>
  <c r="B4" i="1"/>
  <c r="B3" i="1"/>
</calcChain>
</file>

<file path=xl/sharedStrings.xml><?xml version="1.0" encoding="utf-8"?>
<sst xmlns="http://schemas.openxmlformats.org/spreadsheetml/2006/main" count="446" uniqueCount="27">
  <si>
    <t>Value</t>
  </si>
  <si>
    <t>Rob. Std err</t>
  </si>
  <si>
    <t>Rob. t-test</t>
  </si>
  <si>
    <t>Rob. p-value</t>
  </si>
  <si>
    <t>asc_air</t>
  </si>
  <si>
    <t>asc_bus</t>
  </si>
  <si>
    <t>asc_coach</t>
  </si>
  <si>
    <t>asc_non_motor</t>
  </si>
  <si>
    <t>asc_rail_l</t>
  </si>
  <si>
    <t>asc_rail_s</t>
  </si>
  <si>
    <t>b_c</t>
  </si>
  <si>
    <t>b_t</t>
  </si>
  <si>
    <t>Number of estimated parameters</t>
  </si>
  <si>
    <t>Sample size</t>
  </si>
  <si>
    <t>Excluded observations</t>
  </si>
  <si>
    <t>Init log likelihood</t>
  </si>
  <si>
    <t>.7g</t>
  </si>
  <si>
    <t>Final log likelihood</t>
  </si>
  <si>
    <t>Likelihood ratio test for the init. model</t>
  </si>
  <si>
    <t>Rho-square for the init. model</t>
  </si>
  <si>
    <t>.3g</t>
  </si>
  <si>
    <t>Rho-square-bar for the init. model</t>
  </si>
  <si>
    <t>Akaike Information Criterion</t>
  </si>
  <si>
    <t>Bayesian Information Criterion</t>
  </si>
  <si>
    <t>Final gradient norm</t>
  </si>
  <si>
    <t>.4E</t>
  </si>
  <si>
    <t>Nbr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</si>
</sst>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-6.2322460950308631</v>
      </c>
      <c r="C2">
        <v>0.84584228218210589</v>
      </c>
      <c r="D2">
        <v>-7.3680947693379668</v>
      </c>
      <c r="E2">
        <v>1.7297274723659939E-13</v>
      </c>
    </row>
    <row r="3" spans="1:5" x14ac:dyDescent="0.35">
      <c r="A3" s="1" t="s">
        <v>5</v>
      </c>
      <c r="B3">
        <f>2.60530889641204*(1+0.1517+0.1042+0.0758)</f>
        <v>3.4694898573519142</v>
      </c>
      <c r="C3">
        <v>0.26015228238734178</v>
      </c>
      <c r="D3">
        <v>10.014553293570501</v>
      </c>
      <c r="E3">
        <v>0</v>
      </c>
    </row>
    <row r="4" spans="1:5" x14ac:dyDescent="0.35">
      <c r="A4" s="1" t="s">
        <v>6</v>
      </c>
      <c r="B4">
        <f>0.412814598401863*(1+0.1517+0.1042+0.0758)</f>
        <v>0.54974520069176103</v>
      </c>
      <c r="C4">
        <v>0.39403876662571202</v>
      </c>
      <c r="D4">
        <v>1.0476497069994779</v>
      </c>
      <c r="E4">
        <v>0.29480002695773599</v>
      </c>
    </row>
    <row r="5" spans="1:5" x14ac:dyDescent="0.35">
      <c r="A5" s="1" t="s">
        <v>7</v>
      </c>
      <c r="B5">
        <f>-1.03921313700241*(1-(0.2864+0.1+0.0908+0.1108))</f>
        <v>-0.42815581244499296</v>
      </c>
      <c r="C5">
        <v>0.42254482986726338</v>
      </c>
      <c r="D5">
        <v>-2.459415104733067</v>
      </c>
      <c r="E5">
        <v>1.391636066276569E-2</v>
      </c>
    </row>
    <row r="6" spans="1:5" x14ac:dyDescent="0.35">
      <c r="A6" s="1" t="s">
        <v>8</v>
      </c>
      <c r="B6">
        <f>1.85035477200125*(1+0.1517+0.2258+0.2108+0.1042+0.0758)</f>
        <v>3.2719823433298103</v>
      </c>
      <c r="C6">
        <v>0.2172169122843895</v>
      </c>
      <c r="D6">
        <v>8.518465493969849</v>
      </c>
      <c r="E6">
        <v>0</v>
      </c>
    </row>
    <row r="7" spans="1:5" x14ac:dyDescent="0.35">
      <c r="A7" s="1" t="s">
        <v>9</v>
      </c>
      <c r="B7">
        <f>2.40298096517696*(1+0.1517+0.2258+0.2108+0.1042+0.0758)</f>
        <v>4.2491912407224186</v>
      </c>
      <c r="C7">
        <v>0.20610536417318151</v>
      </c>
      <c r="D7">
        <v>11.65899283998178</v>
      </c>
      <c r="E7">
        <v>0</v>
      </c>
    </row>
    <row r="8" spans="1:5" x14ac:dyDescent="0.35">
      <c r="A8" s="1" t="s">
        <v>10</v>
      </c>
      <c r="B8">
        <v>-6.3523708043630556E-2</v>
      </c>
      <c r="C8">
        <v>1.60095212367613E-2</v>
      </c>
      <c r="D8">
        <v>-3.967870563035107</v>
      </c>
      <c r="E8">
        <v>7.251769995386681E-5</v>
      </c>
    </row>
    <row r="9" spans="1:5" x14ac:dyDescent="0.35">
      <c r="A9" s="1" t="s">
        <v>11</v>
      </c>
      <c r="B9">
        <v>-1.354420375276822E-2</v>
      </c>
      <c r="C9">
        <v>4.5193027908131964E-3</v>
      </c>
      <c r="D9">
        <v>-2.9969675367405721</v>
      </c>
      <c r="E9">
        <v>2.7267974919675808E-3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385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-508.08731953450052</v>
      </c>
      <c r="C13" t="s">
        <v>16</v>
      </c>
    </row>
    <row r="14" spans="1:5" x14ac:dyDescent="0.35">
      <c r="A14" s="1" t="s">
        <v>17</v>
      </c>
      <c r="B14">
        <v>-351.90548911859162</v>
      </c>
      <c r="C14" t="s">
        <v>16</v>
      </c>
    </row>
    <row r="15" spans="1:5" x14ac:dyDescent="0.35">
      <c r="A15" s="1" t="s">
        <v>18</v>
      </c>
      <c r="B15">
        <v>312.3636608318177</v>
      </c>
      <c r="C15" t="s">
        <v>16</v>
      </c>
    </row>
    <row r="16" spans="1:5" x14ac:dyDescent="0.35">
      <c r="A16" s="1" t="s">
        <v>19</v>
      </c>
      <c r="B16">
        <v>0.30739171085592049</v>
      </c>
      <c r="C16" t="s">
        <v>20</v>
      </c>
    </row>
    <row r="17" spans="1:3" x14ac:dyDescent="0.35">
      <c r="A17" s="1" t="s">
        <v>21</v>
      </c>
      <c r="B17">
        <v>0.29164638580563301</v>
      </c>
      <c r="C17" t="s">
        <v>20</v>
      </c>
    </row>
    <row r="18" spans="1:3" x14ac:dyDescent="0.35">
      <c r="A18" s="1" t="s">
        <v>22</v>
      </c>
      <c r="B18">
        <v>719.81097823718324</v>
      </c>
      <c r="C18" t="s">
        <v>16</v>
      </c>
    </row>
    <row r="19" spans="1:3" x14ac:dyDescent="0.35">
      <c r="A19" s="1" t="s">
        <v>23</v>
      </c>
      <c r="B19">
        <v>751.43692491148556</v>
      </c>
      <c r="C19" t="s">
        <v>16</v>
      </c>
    </row>
    <row r="20" spans="1:3" x14ac:dyDescent="0.35">
      <c r="A20" s="1" t="s">
        <v>24</v>
      </c>
      <c r="B20">
        <v>1.358565451940017E-3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0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-9.8137289607975589E-2</v>
      </c>
      <c r="C2">
        <v>0.59014577284245728</v>
      </c>
      <c r="D2">
        <v>-0.16629330264502951</v>
      </c>
      <c r="E2">
        <v>0.86792613638186888</v>
      </c>
    </row>
    <row r="3" spans="1:5" x14ac:dyDescent="0.35">
      <c r="A3" s="1" t="s">
        <v>5</v>
      </c>
      <c r="B3">
        <f>-3.2371352921127*(1-(0.1517+0.1042+0.0758))</f>
        <v>-2.1633775157189175</v>
      </c>
      <c r="C3">
        <v>0.21683110013337539</v>
      </c>
      <c r="D3">
        <v>-14.929294230032051</v>
      </c>
      <c r="E3">
        <v>0</v>
      </c>
    </row>
    <row r="4" spans="1:5" x14ac:dyDescent="0.35">
      <c r="A4" s="1" t="s">
        <v>6</v>
      </c>
      <c r="B4">
        <f>-3.12306644199035*(1-(0.1517+0.1042+0.0758))</f>
        <v>-2.087145303182151</v>
      </c>
      <c r="C4">
        <v>0.35844817855916139</v>
      </c>
      <c r="D4">
        <v>-8.712741837729526</v>
      </c>
      <c r="E4">
        <v>0</v>
      </c>
    </row>
    <row r="5" spans="1:5" x14ac:dyDescent="0.35">
      <c r="A5" s="1" t="s">
        <v>7</v>
      </c>
      <c r="B5">
        <f>-8.35651251630691*(1-(0.2864+0.1+0.0908))</f>
        <v>-4.3687847435252536</v>
      </c>
      <c r="C5">
        <v>2.1294077622515348</v>
      </c>
      <c r="D5">
        <v>-3.9243364584484861</v>
      </c>
      <c r="E5">
        <v>8.6969116301016669E-5</v>
      </c>
    </row>
    <row r="6" spans="1:5" x14ac:dyDescent="0.35">
      <c r="A6" s="1" t="s">
        <v>8</v>
      </c>
      <c r="B6">
        <f>-2.28552860788732*(1-(0.1517+0.2258+0.2108+0.1042+0.0758))</f>
        <v>-0.52955697844749205</v>
      </c>
      <c r="C6">
        <v>0.19665630917504201</v>
      </c>
      <c r="D6">
        <v>-11.62194397665114</v>
      </c>
      <c r="E6">
        <v>0</v>
      </c>
    </row>
    <row r="7" spans="1:5" x14ac:dyDescent="0.35">
      <c r="A7" s="1" t="s">
        <v>9</v>
      </c>
      <c r="B7">
        <f>-3.37810308454463*(1-(0.1517+0.2258+0.2108+0.1042+0.0758))</f>
        <v>-0.78270648468899073</v>
      </c>
      <c r="C7">
        <v>0.16126167794295901</v>
      </c>
      <c r="D7">
        <v>-20.947959413764291</v>
      </c>
      <c r="E7">
        <v>0</v>
      </c>
    </row>
    <row r="8" spans="1:5" x14ac:dyDescent="0.35">
      <c r="A8" s="1" t="s">
        <v>11</v>
      </c>
      <c r="B8">
        <v>-1.469878873562006E-2</v>
      </c>
      <c r="C8">
        <v>3.324686320459987E-3</v>
      </c>
      <c r="D8">
        <v>-4.4211054273494304</v>
      </c>
      <c r="E8">
        <v>9.819724494875004E-6</v>
      </c>
    </row>
    <row r="9" spans="1:5" x14ac:dyDescent="0.35">
      <c r="A9" s="1" t="s">
        <v>12</v>
      </c>
      <c r="B9">
        <v>7</v>
      </c>
    </row>
    <row r="10" spans="1:5" x14ac:dyDescent="0.35">
      <c r="A10" s="1" t="s">
        <v>13</v>
      </c>
      <c r="B10">
        <v>2968</v>
      </c>
    </row>
    <row r="11" spans="1:5" x14ac:dyDescent="0.35">
      <c r="A11" s="1" t="s">
        <v>14</v>
      </c>
      <c r="B11">
        <v>0</v>
      </c>
    </row>
    <row r="12" spans="1:5" x14ac:dyDescent="0.35">
      <c r="A12" s="1" t="s">
        <v>15</v>
      </c>
      <c r="B12">
        <v>-3028.8638748948379</v>
      </c>
      <c r="C12" t="s">
        <v>16</v>
      </c>
    </row>
    <row r="13" spans="1:5" x14ac:dyDescent="0.35">
      <c r="A13" s="1" t="s">
        <v>17</v>
      </c>
      <c r="B13">
        <v>-536.23209466425476</v>
      </c>
      <c r="C13" t="s">
        <v>16</v>
      </c>
    </row>
    <row r="14" spans="1:5" x14ac:dyDescent="0.35">
      <c r="A14" s="1" t="s">
        <v>18</v>
      </c>
      <c r="B14">
        <v>4985.2635604611669</v>
      </c>
      <c r="C14" t="s">
        <v>16</v>
      </c>
    </row>
    <row r="15" spans="1:5" x14ac:dyDescent="0.35">
      <c r="A15" s="1" t="s">
        <v>19</v>
      </c>
      <c r="B15">
        <v>0.82295932837758423</v>
      </c>
      <c r="C15" t="s">
        <v>20</v>
      </c>
    </row>
    <row r="16" spans="1:5" x14ac:dyDescent="0.35">
      <c r="A16" s="1" t="s">
        <v>21</v>
      </c>
      <c r="B16">
        <v>0.82064823078814797</v>
      </c>
      <c r="C16" t="s">
        <v>20</v>
      </c>
    </row>
    <row r="17" spans="1:3" x14ac:dyDescent="0.35">
      <c r="A17" s="1" t="s">
        <v>22</v>
      </c>
      <c r="B17">
        <v>1086.46418932851</v>
      </c>
      <c r="C17" t="s">
        <v>16</v>
      </c>
    </row>
    <row r="18" spans="1:3" x14ac:dyDescent="0.35">
      <c r="A18" s="1" t="s">
        <v>23</v>
      </c>
      <c r="B18">
        <v>1128.433694558521</v>
      </c>
      <c r="C18" t="s">
        <v>16</v>
      </c>
    </row>
    <row r="19" spans="1:3" x14ac:dyDescent="0.35">
      <c r="A19" s="1" t="s">
        <v>24</v>
      </c>
      <c r="B19">
        <v>9.5683279990377984E-4</v>
      </c>
      <c r="C19" t="s">
        <v>25</v>
      </c>
    </row>
    <row r="20" spans="1:3" x14ac:dyDescent="0.35">
      <c r="A20" s="1" t="s">
        <v>26</v>
      </c>
      <c r="B20">
        <v>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5</v>
      </c>
      <c r="B3">
        <f>5.60777396291775*(1+0.1517+0.1042+0.0758)</f>
        <v>7.4678725864175677</v>
      </c>
      <c r="C3">
        <v>1.5014102412551209</v>
      </c>
      <c r="D3">
        <v>3.7350044703503991</v>
      </c>
      <c r="E3">
        <v>1.8771185275712199E-4</v>
      </c>
    </row>
    <row r="4" spans="1:5" x14ac:dyDescent="0.35">
      <c r="A4" s="1" t="s">
        <v>6</v>
      </c>
      <c r="B4">
        <v>0</v>
      </c>
      <c r="C4">
        <v>0</v>
      </c>
      <c r="D4">
        <v>0</v>
      </c>
      <c r="E4">
        <v>1</v>
      </c>
    </row>
    <row r="5" spans="1:5" x14ac:dyDescent="0.35">
      <c r="A5" s="1" t="s">
        <v>7</v>
      </c>
      <c r="B5">
        <f>-8.30561411749759*(1-(0.2864+0.1+0.0908))</f>
        <v>-4.3421750606277403</v>
      </c>
      <c r="C5">
        <v>3.171546177271777</v>
      </c>
      <c r="D5">
        <v>-2.6187902219485348</v>
      </c>
      <c r="E5">
        <v>8.8242193985987871E-3</v>
      </c>
    </row>
    <row r="6" spans="1:5" x14ac:dyDescent="0.35">
      <c r="A6" s="1" t="s">
        <v>8</v>
      </c>
      <c r="B6">
        <f>-3.62469384718594*(1-(0.1517+0.2258+0.2108+0.1042+0.0758))</f>
        <v>-0.8398415643929823</v>
      </c>
      <c r="C6">
        <v>6.375832692986604</v>
      </c>
      <c r="D6">
        <v>-0.56850516971267018</v>
      </c>
      <c r="E6">
        <v>0.5696919963607896</v>
      </c>
    </row>
    <row r="7" spans="1:5" x14ac:dyDescent="0.35">
      <c r="A7" s="1" t="s">
        <v>9</v>
      </c>
      <c r="B7">
        <f>6.32253400174444*(1+0.1517+0.2258+0.2108+0.1042+0.0758)</f>
        <v>11.180136875284694</v>
      </c>
      <c r="C7">
        <v>1.9381650344222541</v>
      </c>
      <c r="D7">
        <v>3.2621236527616522</v>
      </c>
      <c r="E7">
        <v>1.1058089662070449E-3</v>
      </c>
    </row>
    <row r="8" spans="1:5" x14ac:dyDescent="0.35">
      <c r="A8" s="1" t="s">
        <v>10</v>
      </c>
      <c r="B8">
        <v>-0.29087329773142079</v>
      </c>
      <c r="C8">
        <v>0.57898961210067035</v>
      </c>
      <c r="D8">
        <v>-0.5023808573630264</v>
      </c>
      <c r="E8">
        <v>0.61539964182549123</v>
      </c>
    </row>
    <row r="9" spans="1:5" x14ac:dyDescent="0.35">
      <c r="A9" s="1" t="s">
        <v>11</v>
      </c>
      <c r="B9">
        <v>-3.2002141735101713E-2</v>
      </c>
      <c r="C9">
        <v>3.8398266555244663E-2</v>
      </c>
      <c r="D9">
        <v>-0.83342673005978873</v>
      </c>
      <c r="E9">
        <v>0.40460410468393748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16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-23.66290446941348</v>
      </c>
      <c r="C13" t="s">
        <v>16</v>
      </c>
    </row>
    <row r="14" spans="1:5" x14ac:dyDescent="0.35">
      <c r="A14" s="1" t="s">
        <v>17</v>
      </c>
      <c r="B14">
        <v>-8.2272028289314605</v>
      </c>
      <c r="C14" t="s">
        <v>16</v>
      </c>
    </row>
    <row r="15" spans="1:5" x14ac:dyDescent="0.35">
      <c r="A15" s="1" t="s">
        <v>18</v>
      </c>
      <c r="B15">
        <v>30.871403280964032</v>
      </c>
      <c r="C15" t="s">
        <v>16</v>
      </c>
    </row>
    <row r="16" spans="1:5" x14ac:dyDescent="0.35">
      <c r="A16" s="1" t="s">
        <v>19</v>
      </c>
      <c r="B16">
        <v>0.65231644156084512</v>
      </c>
      <c r="C16" t="s">
        <v>20</v>
      </c>
    </row>
    <row r="17" spans="1:3" x14ac:dyDescent="0.35">
      <c r="A17" s="1" t="s">
        <v>21</v>
      </c>
      <c r="B17">
        <v>0.31423452899002141</v>
      </c>
      <c r="C17" t="s">
        <v>20</v>
      </c>
    </row>
    <row r="18" spans="1:3" x14ac:dyDescent="0.35">
      <c r="A18" s="1" t="s">
        <v>22</v>
      </c>
      <c r="B18">
        <v>32.454405657862921</v>
      </c>
      <c r="C18" t="s">
        <v>16</v>
      </c>
    </row>
    <row r="19" spans="1:3" x14ac:dyDescent="0.35">
      <c r="A19" s="1" t="s">
        <v>23</v>
      </c>
      <c r="B19">
        <v>38.635115435781167</v>
      </c>
      <c r="C19" t="s">
        <v>16</v>
      </c>
    </row>
    <row r="20" spans="1:3" x14ac:dyDescent="0.35">
      <c r="A20" s="1" t="s">
        <v>24</v>
      </c>
      <c r="B20">
        <v>9.2582828278994534E-5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>
      <selection activeCell="B7" sqref="B7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5</v>
      </c>
      <c r="B3">
        <f>-3.03056724264931*(1-(0.1517+0.1042+0.0758))</f>
        <v>-2.0253280882625337</v>
      </c>
      <c r="C3">
        <v>0.2494397279027176</v>
      </c>
      <c r="D3">
        <v>-12.149497067408779</v>
      </c>
      <c r="E3">
        <v>0</v>
      </c>
    </row>
    <row r="4" spans="1:5" x14ac:dyDescent="0.35">
      <c r="A4" s="1" t="s">
        <v>6</v>
      </c>
      <c r="B4">
        <f>-5.01057669134187*(1-(0.1517+0.1042+0.0758))</f>
        <v>-3.3485684028237719</v>
      </c>
      <c r="C4">
        <v>1.3209235861057269</v>
      </c>
      <c r="D4">
        <v>-3.7932373560788379</v>
      </c>
      <c r="E4">
        <v>1.486958972936048E-4</v>
      </c>
    </row>
    <row r="5" spans="1:5" x14ac:dyDescent="0.35">
      <c r="A5" s="1" t="s">
        <v>7</v>
      </c>
      <c r="B5">
        <f>-5.80997046031376*(1-(0.2864+0.1+0.0908))</f>
        <v>-3.0374525566520343</v>
      </c>
      <c r="C5">
        <v>0.37943165717654281</v>
      </c>
      <c r="D5">
        <v>-15.312297617830261</v>
      </c>
      <c r="E5">
        <v>0</v>
      </c>
    </row>
    <row r="6" spans="1:5" x14ac:dyDescent="0.35">
      <c r="A6" s="1" t="s">
        <v>8</v>
      </c>
      <c r="B6">
        <f>-4.63469040563036*(1-(0.1517+0.2258+0.2108+0.1042+0.0758))</f>
        <v>-1.0738577669845546</v>
      </c>
      <c r="C6">
        <v>2.4323573866832868</v>
      </c>
      <c r="D6">
        <v>-1.905431508956883</v>
      </c>
      <c r="E6">
        <v>5.6724002646187488E-2</v>
      </c>
    </row>
    <row r="7" spans="1:5" x14ac:dyDescent="0.35">
      <c r="A7" s="1" t="s">
        <v>9</v>
      </c>
      <c r="B7">
        <f>-4.21512098751944*(1-(0.1517+0.2258+0.2108+0.1042+0.0758))</f>
        <v>-0.97664353280825433</v>
      </c>
      <c r="C7">
        <v>0.21100629218076319</v>
      </c>
      <c r="D7">
        <v>-19.976281010181719</v>
      </c>
      <c r="E7">
        <v>0</v>
      </c>
    </row>
    <row r="8" spans="1:5" x14ac:dyDescent="0.35">
      <c r="A8" s="1" t="s">
        <v>10</v>
      </c>
      <c r="B8">
        <v>-0.24889162926273181</v>
      </c>
      <c r="C8">
        <v>4.6441721412528447E-2</v>
      </c>
      <c r="D8">
        <v>-5.3592248885845342</v>
      </c>
      <c r="E8">
        <v>8.3579762444330186E-8</v>
      </c>
    </row>
    <row r="9" spans="1:5" x14ac:dyDescent="0.35">
      <c r="A9" s="1" t="s">
        <v>11</v>
      </c>
      <c r="B9">
        <v>-4.0295593872481827E-2</v>
      </c>
      <c r="C9">
        <v>8.1105997686659864E-3</v>
      </c>
      <c r="D9">
        <v>-4.9682631398182728</v>
      </c>
      <c r="E9">
        <v>6.755525070456514E-7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5246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-6437.880550479701</v>
      </c>
      <c r="C13" t="s">
        <v>16</v>
      </c>
    </row>
    <row r="14" spans="1:5" x14ac:dyDescent="0.35">
      <c r="A14" s="1" t="s">
        <v>17</v>
      </c>
      <c r="B14">
        <v>-429.68639045220942</v>
      </c>
      <c r="C14" t="s">
        <v>16</v>
      </c>
    </row>
    <row r="15" spans="1:5" x14ac:dyDescent="0.35">
      <c r="A15" s="1" t="s">
        <v>18</v>
      </c>
      <c r="B15">
        <v>12016.388320054981</v>
      </c>
      <c r="C15" t="s">
        <v>16</v>
      </c>
    </row>
    <row r="16" spans="1:5" x14ac:dyDescent="0.35">
      <c r="A16" s="1" t="s">
        <v>19</v>
      </c>
      <c r="B16">
        <v>0.93325654505655709</v>
      </c>
      <c r="C16" t="s">
        <v>20</v>
      </c>
    </row>
    <row r="17" spans="1:3" x14ac:dyDescent="0.35">
      <c r="A17" s="1" t="s">
        <v>21</v>
      </c>
      <c r="B17">
        <v>0.9320139000684633</v>
      </c>
      <c r="C17" t="s">
        <v>20</v>
      </c>
    </row>
    <row r="18" spans="1:3" x14ac:dyDescent="0.35">
      <c r="A18" s="1" t="s">
        <v>22</v>
      </c>
      <c r="B18">
        <v>875.37278090441873</v>
      </c>
      <c r="C18" t="s">
        <v>16</v>
      </c>
    </row>
    <row r="19" spans="1:3" x14ac:dyDescent="0.35">
      <c r="A19" s="1" t="s">
        <v>23</v>
      </c>
      <c r="B19">
        <v>927.89455018783326</v>
      </c>
      <c r="C19" t="s">
        <v>16</v>
      </c>
    </row>
    <row r="20" spans="1:3" x14ac:dyDescent="0.35">
      <c r="A20" s="1" t="s">
        <v>24</v>
      </c>
      <c r="B20">
        <v>1.788000370761508E-3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E2">
        <v>0</v>
      </c>
    </row>
    <row r="3" spans="1:5" x14ac:dyDescent="0.35">
      <c r="A3" s="1" t="s">
        <v>5</v>
      </c>
      <c r="B3">
        <f>1.72010042121168*(1+0.1517+0.1042+0.0758)</f>
        <v>2.2906577309275944</v>
      </c>
      <c r="C3">
        <v>0.55629978355909615</v>
      </c>
      <c r="D3">
        <v>3.092038631053954</v>
      </c>
      <c r="E3">
        <v>1.9878697761355202E-3</v>
      </c>
    </row>
    <row r="4" spans="1:5" x14ac:dyDescent="0.35">
      <c r="A4" s="1" t="s">
        <v>6</v>
      </c>
      <c r="B4">
        <f>0.820100960471645*(1+0.1517+0.1042+0.0758)</f>
        <v>1.0921284490600898</v>
      </c>
      <c r="C4">
        <v>0.87046482759563926</v>
      </c>
      <c r="D4">
        <v>0.94214141051154621</v>
      </c>
      <c r="E4">
        <v>0.34612024564216531</v>
      </c>
    </row>
    <row r="5" spans="1:5" x14ac:dyDescent="0.35">
      <c r="A5" s="1" t="s">
        <v>7</v>
      </c>
      <c r="B5">
        <f>-4.31563570707381*(1-(0.2864+0.1+0.0908))</f>
        <v>-2.256214347658188</v>
      </c>
      <c r="C5">
        <v>1.841089291721183</v>
      </c>
      <c r="D5">
        <v>-2.3440664863349672</v>
      </c>
      <c r="E5">
        <v>1.907477077302322E-2</v>
      </c>
    </row>
    <row r="6" spans="1:5" x14ac:dyDescent="0.35">
      <c r="A6" s="1" t="s">
        <v>8</v>
      </c>
      <c r="B6">
        <f>0.611489061560127*(1+0.1517+0.2258+0.2108+0.1042+0.0758)</f>
        <v>1.0812961075567724</v>
      </c>
      <c r="C6">
        <v>1.303357309282525</v>
      </c>
      <c r="D6">
        <v>0.46916456232308329</v>
      </c>
      <c r="E6">
        <v>0.63895201368665422</v>
      </c>
    </row>
    <row r="7" spans="1:5" x14ac:dyDescent="0.35">
      <c r="A7" s="1" t="s">
        <v>9</v>
      </c>
      <c r="B7">
        <f>1.16394526383032*(1+0.1517+0.2258+0.2108+0.1042+0.0758)</f>
        <v>2.0582044100311547</v>
      </c>
      <c r="C7">
        <v>0.47328902730304578</v>
      </c>
      <c r="D7">
        <v>2.4592694879550878</v>
      </c>
      <c r="E7">
        <v>1.3922006986963661E-2</v>
      </c>
    </row>
    <row r="8" spans="1:5" x14ac:dyDescent="0.35">
      <c r="A8" s="1" t="s">
        <v>10</v>
      </c>
      <c r="B8">
        <v>-0.1215737650139687</v>
      </c>
      <c r="C8">
        <v>5.474120561607973E-2</v>
      </c>
      <c r="D8">
        <v>-2.220882124274179</v>
      </c>
      <c r="E8">
        <v>2.6358946273758791E-2</v>
      </c>
    </row>
    <row r="9" spans="1:5" x14ac:dyDescent="0.35">
      <c r="A9" s="1" t="s">
        <v>11</v>
      </c>
      <c r="B9">
        <v>-3.2150463993493333E-2</v>
      </c>
      <c r="C9">
        <v>3.0388999615964779E-2</v>
      </c>
      <c r="D9">
        <v>-1.0579638816607571</v>
      </c>
      <c r="E9">
        <v>0.29007190920770309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69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-168.70704678905281</v>
      </c>
      <c r="C13" t="s">
        <v>16</v>
      </c>
    </row>
    <row r="14" spans="1:5" x14ac:dyDescent="0.35">
      <c r="A14" s="1" t="s">
        <v>17</v>
      </c>
      <c r="B14">
        <v>-102.9868379200805</v>
      </c>
      <c r="C14" t="s">
        <v>16</v>
      </c>
    </row>
    <row r="15" spans="1:5" x14ac:dyDescent="0.35">
      <c r="A15" s="1" t="s">
        <v>18</v>
      </c>
      <c r="B15">
        <v>131.44041773794461</v>
      </c>
      <c r="C15" t="s">
        <v>16</v>
      </c>
    </row>
    <row r="16" spans="1:5" x14ac:dyDescent="0.35">
      <c r="A16" s="1" t="s">
        <v>19</v>
      </c>
      <c r="B16">
        <v>0.38955224526659649</v>
      </c>
      <c r="C16" t="s">
        <v>20</v>
      </c>
    </row>
    <row r="17" spans="1:3" x14ac:dyDescent="0.35">
      <c r="A17" s="1" t="s">
        <v>21</v>
      </c>
      <c r="B17">
        <v>0.34213276782175089</v>
      </c>
      <c r="C17" t="s">
        <v>20</v>
      </c>
    </row>
    <row r="18" spans="1:3" x14ac:dyDescent="0.35">
      <c r="A18" s="1" t="s">
        <v>22</v>
      </c>
      <c r="B18">
        <v>221.97367584016109</v>
      </c>
      <c r="C18" t="s">
        <v>16</v>
      </c>
    </row>
    <row r="19" spans="1:3" x14ac:dyDescent="0.35">
      <c r="A19" s="1" t="s">
        <v>23</v>
      </c>
      <c r="B19">
        <v>239.84652787693909</v>
      </c>
      <c r="C19" t="s">
        <v>16</v>
      </c>
    </row>
    <row r="20" spans="1:3" x14ac:dyDescent="0.35">
      <c r="A20" s="1" t="s">
        <v>24</v>
      </c>
      <c r="B20">
        <v>8.2144612919503074E-4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tabSelected="1"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5</v>
      </c>
      <c r="B3">
        <f>0.805836667851388*(1+0.1517+0.1042+0.0758)</f>
        <v>1.0731326905776934</v>
      </c>
      <c r="C3">
        <v>8.931323381641823E-2</v>
      </c>
      <c r="D3">
        <v>9.0225897486566335</v>
      </c>
      <c r="E3">
        <v>0</v>
      </c>
    </row>
    <row r="4" spans="1:5" x14ac:dyDescent="0.35">
      <c r="A4" s="1" t="s">
        <v>6</v>
      </c>
      <c r="B4">
        <f>-0.962099413558238*(1-(0.1517+0.1042+0.0758))</f>
        <v>-0.64297103808097045</v>
      </c>
      <c r="C4">
        <v>0.23144550548851781</v>
      </c>
      <c r="D4">
        <v>-4.1569155189577378</v>
      </c>
      <c r="E4">
        <v>3.2257320551565272E-5</v>
      </c>
    </row>
    <row r="5" spans="1:5" x14ac:dyDescent="0.35">
      <c r="A5" s="1" t="s">
        <v>7</v>
      </c>
      <c r="B5">
        <f>-2.93883167773063*(1-(0.2864+0.1+0.0908))</f>
        <v>-1.5364212011175733</v>
      </c>
      <c r="C5">
        <v>0.1817692277611459</v>
      </c>
      <c r="D5">
        <v>-16.167927398538598</v>
      </c>
      <c r="E5">
        <v>0</v>
      </c>
    </row>
    <row r="6" spans="1:5" x14ac:dyDescent="0.35">
      <c r="A6" s="1" t="s">
        <v>8</v>
      </c>
      <c r="B6">
        <f>-2.13422256221579*(1-(0.1517+0.2258+0.2108+0.1042+0.0758))</f>
        <v>-0.49449936766539865</v>
      </c>
      <c r="C6">
        <v>0.50349253034270158</v>
      </c>
      <c r="D6">
        <v>-4.2388365935898484</v>
      </c>
      <c r="E6">
        <v>2.2468111965157082E-5</v>
      </c>
    </row>
    <row r="7" spans="1:5" x14ac:dyDescent="0.35">
      <c r="A7" s="1" t="s">
        <v>9</v>
      </c>
      <c r="B7">
        <f>-0.354767505278795*(1-(0.1517+0.2258+0.2108+0.1042+0.0758))</f>
        <v>-8.2199630973096807E-2</v>
      </c>
      <c r="C7">
        <v>6.6489118007188999E-2</v>
      </c>
      <c r="D7">
        <v>-5.3357228357343658</v>
      </c>
      <c r="E7">
        <v>9.5164675251169228E-8</v>
      </c>
    </row>
    <row r="8" spans="1:5" x14ac:dyDescent="0.35">
      <c r="A8" s="1" t="s">
        <v>10</v>
      </c>
      <c r="B8">
        <v>-7.4143809381882239E-2</v>
      </c>
      <c r="C8">
        <v>8.7248795838749255E-3</v>
      </c>
      <c r="D8">
        <v>-8.4979750917035837</v>
      </c>
      <c r="E8">
        <v>0</v>
      </c>
    </row>
    <row r="9" spans="1:5" x14ac:dyDescent="0.35">
      <c r="A9" s="1" t="s">
        <v>11</v>
      </c>
      <c r="B9">
        <v>-3.953679452608725E-2</v>
      </c>
      <c r="C9">
        <v>4.512025454640114E-3</v>
      </c>
      <c r="D9">
        <v>-8.7625380050611366</v>
      </c>
      <c r="E9">
        <v>0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2589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-3334.025990199621</v>
      </c>
      <c r="C13" t="s">
        <v>16</v>
      </c>
    </row>
    <row r="14" spans="1:5" x14ac:dyDescent="0.35">
      <c r="A14" s="1" t="s">
        <v>17</v>
      </c>
      <c r="B14">
        <v>-2605.3037438758638</v>
      </c>
      <c r="C14" t="s">
        <v>16</v>
      </c>
    </row>
    <row r="15" spans="1:5" x14ac:dyDescent="0.35">
      <c r="A15" s="1" t="s">
        <v>18</v>
      </c>
      <c r="B15">
        <v>1457.444492647513</v>
      </c>
      <c r="C15" t="s">
        <v>16</v>
      </c>
    </row>
    <row r="16" spans="1:5" x14ac:dyDescent="0.35">
      <c r="A16" s="1" t="s">
        <v>19</v>
      </c>
      <c r="B16">
        <v>0.21857125543287231</v>
      </c>
      <c r="C16" t="s">
        <v>20</v>
      </c>
    </row>
    <row r="17" spans="1:3" x14ac:dyDescent="0.35">
      <c r="A17" s="1" t="s">
        <v>21</v>
      </c>
      <c r="B17">
        <v>0.21617175404220651</v>
      </c>
      <c r="C17" t="s">
        <v>20</v>
      </c>
    </row>
    <row r="18" spans="1:3" x14ac:dyDescent="0.35">
      <c r="A18" s="1" t="s">
        <v>22</v>
      </c>
      <c r="B18">
        <v>5226.6074877517294</v>
      </c>
      <c r="C18" t="s">
        <v>16</v>
      </c>
    </row>
    <row r="19" spans="1:3" x14ac:dyDescent="0.35">
      <c r="A19" s="1" t="s">
        <v>23</v>
      </c>
      <c r="B19">
        <v>5273.4797035897409</v>
      </c>
      <c r="C19" t="s">
        <v>16</v>
      </c>
    </row>
    <row r="20" spans="1:3" x14ac:dyDescent="0.35">
      <c r="A20" s="1" t="s">
        <v>24</v>
      </c>
      <c r="B20">
        <v>2.0930473914765419E-4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0.99783421800255256</v>
      </c>
      <c r="C2">
        <v>0.56152008721682167</v>
      </c>
      <c r="D2">
        <v>1.7770231924352431</v>
      </c>
      <c r="E2">
        <v>7.5564424033489619E-2</v>
      </c>
    </row>
    <row r="3" spans="1:5" x14ac:dyDescent="0.35">
      <c r="A3" s="1" t="s">
        <v>5</v>
      </c>
      <c r="B3">
        <f>-2.54208627075638*(1-(0.1517+0.1042+0.0758))</f>
        <v>-1.6988762547464886</v>
      </c>
      <c r="C3">
        <v>6.8802129648912191E-2</v>
      </c>
      <c r="D3">
        <v>-36.947784664926793</v>
      </c>
      <c r="E3">
        <v>0</v>
      </c>
    </row>
    <row r="4" spans="1:5" x14ac:dyDescent="0.35">
      <c r="A4" s="1" t="s">
        <v>6</v>
      </c>
      <c r="B4">
        <f>-2.89133545361223*(1-(0.1517+0.1042+0.0758))</f>
        <v>-1.9322794836490536</v>
      </c>
      <c r="C4">
        <v>0.18874915664174149</v>
      </c>
      <c r="D4">
        <v>-15.31840197357902</v>
      </c>
      <c r="E4">
        <v>0</v>
      </c>
    </row>
    <row r="5" spans="1:5" x14ac:dyDescent="0.35">
      <c r="A5" s="1" t="s">
        <v>7</v>
      </c>
      <c r="B5">
        <f>-3.6193953774531*(1-(0.2864+0.1+0.0908+0.1108))</f>
        <v>-1.4911908955106772</v>
      </c>
      <c r="C5">
        <v>8.5205827532901457E-2</v>
      </c>
      <c r="D5">
        <v>-42.478260962320952</v>
      </c>
      <c r="E5">
        <v>0</v>
      </c>
    </row>
    <row r="6" spans="1:5" x14ac:dyDescent="0.35">
      <c r="A6" s="1" t="s">
        <v>8</v>
      </c>
      <c r="B6">
        <f>-2.66586250038345*(1-(0.1517+0.2258+0.2108+0.1042+0.0758))</f>
        <v>-0.61768034133884542</v>
      </c>
      <c r="C6">
        <v>0.1773410537247494</v>
      </c>
      <c r="D6">
        <v>-15.032404761286299</v>
      </c>
      <c r="E6">
        <v>0</v>
      </c>
    </row>
    <row r="7" spans="1:5" x14ac:dyDescent="0.35">
      <c r="A7" s="1" t="s">
        <v>9</v>
      </c>
      <c r="B7">
        <f>-2.50401784308458*(1-(0.1517+0.2258+0.2108+0.1042+0.0758))</f>
        <v>-0.58018093424269723</v>
      </c>
      <c r="C7">
        <v>4.9936880685116543E-2</v>
      </c>
      <c r="D7">
        <v>-50.143657527869799</v>
      </c>
      <c r="E7">
        <v>0</v>
      </c>
    </row>
    <row r="8" spans="1:5" x14ac:dyDescent="0.35">
      <c r="A8" s="1" t="s">
        <v>10</v>
      </c>
      <c r="B8">
        <v>-2.385279439734329E-2</v>
      </c>
      <c r="C8">
        <v>7.9509507333823254E-3</v>
      </c>
      <c r="D8">
        <v>-2.999992730076487</v>
      </c>
      <c r="E8">
        <v>2.699860502360929E-3</v>
      </c>
    </row>
    <row r="9" spans="1:5" x14ac:dyDescent="0.35">
      <c r="A9" s="1" t="s">
        <v>11</v>
      </c>
      <c r="B9">
        <v>-1.8454677803358421E-2</v>
      </c>
      <c r="C9">
        <v>1.537553778213448E-3</v>
      </c>
      <c r="D9">
        <v>-12.002622649597161</v>
      </c>
      <c r="E9">
        <v>0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17199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-19169.03376525121</v>
      </c>
      <c r="C13" t="s">
        <v>16</v>
      </c>
    </row>
    <row r="14" spans="1:5" x14ac:dyDescent="0.35">
      <c r="A14" s="1" t="s">
        <v>17</v>
      </c>
      <c r="B14">
        <v>-5576.7282185917957</v>
      </c>
      <c r="C14" t="s">
        <v>16</v>
      </c>
    </row>
    <row r="15" spans="1:5" x14ac:dyDescent="0.35">
      <c r="A15" s="1" t="s">
        <v>18</v>
      </c>
      <c r="B15">
        <v>27184.611093318821</v>
      </c>
      <c r="C15" t="s">
        <v>16</v>
      </c>
    </row>
    <row r="16" spans="1:5" x14ac:dyDescent="0.35">
      <c r="A16" s="1" t="s">
        <v>19</v>
      </c>
      <c r="B16">
        <v>0.70907619617734485</v>
      </c>
      <c r="C16" t="s">
        <v>20</v>
      </c>
    </row>
    <row r="17" spans="1:3" x14ac:dyDescent="0.35">
      <c r="A17" s="1" t="s">
        <v>21</v>
      </c>
      <c r="B17">
        <v>0.70865885641478976</v>
      </c>
      <c r="C17" t="s">
        <v>20</v>
      </c>
    </row>
    <row r="18" spans="1:3" x14ac:dyDescent="0.35">
      <c r="A18" s="1" t="s">
        <v>22</v>
      </c>
      <c r="B18">
        <v>11169.45643718359</v>
      </c>
      <c r="C18" t="s">
        <v>16</v>
      </c>
    </row>
    <row r="19" spans="1:3" x14ac:dyDescent="0.35">
      <c r="A19" s="1" t="s">
        <v>23</v>
      </c>
      <c r="B19">
        <v>11231.4772893562</v>
      </c>
      <c r="C19" t="s">
        <v>16</v>
      </c>
    </row>
    <row r="20" spans="1:3" x14ac:dyDescent="0.35">
      <c r="A20" s="1" t="s">
        <v>24</v>
      </c>
      <c r="B20">
        <v>1.3512697280706001E-2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5</v>
      </c>
      <c r="B3">
        <f>1.32541807278338*(1+0.1517+0.1042+0.0758)</f>
        <v>1.7650592475256273</v>
      </c>
      <c r="C3">
        <v>0.2088525836338414</v>
      </c>
      <c r="D3">
        <v>6.3461894975026727</v>
      </c>
      <c r="E3">
        <v>2.2071344751850569E-10</v>
      </c>
    </row>
    <row r="4" spans="1:5" x14ac:dyDescent="0.35">
      <c r="A4" s="1" t="s">
        <v>6</v>
      </c>
      <c r="B4">
        <f>-0.989954126029816*(1-(0.1517+0.1042+0.0758))</f>
        <v>-0.661586342425726</v>
      </c>
      <c r="C4">
        <v>0.33958851528922229</v>
      </c>
      <c r="D4">
        <v>-2.915157849748502</v>
      </c>
      <c r="E4">
        <v>3.5550868239939688E-3</v>
      </c>
    </row>
    <row r="5" spans="1:5" x14ac:dyDescent="0.35">
      <c r="A5" s="1" t="s">
        <v>7</v>
      </c>
      <c r="B5">
        <f>-2.90541314749667*(1-(0.2864+0.1+0.0908+0.08))</f>
        <v>-1.2865169417115256</v>
      </c>
      <c r="C5">
        <v>0.5578949088408075</v>
      </c>
      <c r="D5">
        <v>-5.2078144135309117</v>
      </c>
      <c r="E5">
        <v>1.910778903990717E-7</v>
      </c>
    </row>
    <row r="6" spans="1:5" x14ac:dyDescent="0.35">
      <c r="A6" s="1" t="s">
        <v>8</v>
      </c>
      <c r="B6">
        <f>0.781850064742261*(1+0.1517+0.2258+0.2108+0.1042+0.0758)</f>
        <v>1.3825454694837402</v>
      </c>
      <c r="C6">
        <v>0.47407005081925019</v>
      </c>
      <c r="D6">
        <v>1.6492289765850641</v>
      </c>
      <c r="E6">
        <v>9.9100733707297328E-2</v>
      </c>
    </row>
    <row r="7" spans="1:5" x14ac:dyDescent="0.35">
      <c r="A7" s="1" t="s">
        <v>9</v>
      </c>
      <c r="B7">
        <f>1.78809913600084*(1+0.1517+0.2258+0.2108+0.1042+0.0758)</f>
        <v>3.1618957021902854</v>
      </c>
      <c r="C7">
        <v>0.1965899426245675</v>
      </c>
      <c r="D7">
        <v>9.0955778923829236</v>
      </c>
      <c r="E7">
        <v>0</v>
      </c>
    </row>
    <row r="8" spans="1:5" x14ac:dyDescent="0.35">
      <c r="A8" s="1" t="s">
        <v>10</v>
      </c>
      <c r="B8">
        <v>-4.3986903859831623E-2</v>
      </c>
      <c r="C8">
        <v>2.7916563335977859E-2</v>
      </c>
      <c r="D8">
        <v>-1.575656119646464</v>
      </c>
      <c r="E8">
        <v>0.11510507524628449</v>
      </c>
    </row>
    <row r="9" spans="1:5" x14ac:dyDescent="0.35">
      <c r="A9" s="1" t="s">
        <v>11</v>
      </c>
      <c r="B9">
        <v>0</v>
      </c>
      <c r="C9">
        <v>2.4988815276966989E-3</v>
      </c>
      <c r="D9">
        <v>1.2728324137879921</v>
      </c>
      <c r="E9">
        <v>0.2030775164218421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351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-609.83515302317971</v>
      </c>
      <c r="C13" t="s">
        <v>16</v>
      </c>
    </row>
    <row r="14" spans="1:5" x14ac:dyDescent="0.35">
      <c r="A14" s="1" t="s">
        <v>17</v>
      </c>
      <c r="B14">
        <v>-404.3554694398839</v>
      </c>
      <c r="C14" t="s">
        <v>16</v>
      </c>
    </row>
    <row r="15" spans="1:5" x14ac:dyDescent="0.35">
      <c r="A15" s="1" t="s">
        <v>18</v>
      </c>
      <c r="B15">
        <v>410.95936716659162</v>
      </c>
      <c r="C15" t="s">
        <v>16</v>
      </c>
    </row>
    <row r="16" spans="1:5" x14ac:dyDescent="0.35">
      <c r="A16" s="1" t="s">
        <v>19</v>
      </c>
      <c r="B16">
        <v>0.33694299609436518</v>
      </c>
      <c r="C16" t="s">
        <v>20</v>
      </c>
    </row>
    <row r="17" spans="1:3" x14ac:dyDescent="0.35">
      <c r="A17" s="1" t="s">
        <v>21</v>
      </c>
      <c r="B17">
        <v>0.32382469689442389</v>
      </c>
      <c r="C17" t="s">
        <v>20</v>
      </c>
    </row>
    <row r="18" spans="1:3" x14ac:dyDescent="0.35">
      <c r="A18" s="1" t="s">
        <v>22</v>
      </c>
      <c r="B18">
        <v>824.71093887976781</v>
      </c>
      <c r="C18" t="s">
        <v>16</v>
      </c>
    </row>
    <row r="19" spans="1:3" x14ac:dyDescent="0.35">
      <c r="A19" s="1" t="s">
        <v>23</v>
      </c>
      <c r="B19">
        <v>855.59722866749473</v>
      </c>
      <c r="C19" t="s">
        <v>16</v>
      </c>
    </row>
    <row r="20" spans="1:3" x14ac:dyDescent="0.35">
      <c r="A20" s="1" t="s">
        <v>24</v>
      </c>
      <c r="B20">
        <v>9.4085929846914563E-7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5</v>
      </c>
      <c r="B3">
        <f>-2.72958218634117*(1-(0.1517+0.1042+0.0758))</f>
        <v>-1.8241797751318038</v>
      </c>
      <c r="C3">
        <v>8.6747223014969815E-2</v>
      </c>
      <c r="D3">
        <v>-31.46593160532791</v>
      </c>
      <c r="E3">
        <v>0</v>
      </c>
    </row>
    <row r="4" spans="1:5" x14ac:dyDescent="0.35">
      <c r="A4" s="1" t="s">
        <v>6</v>
      </c>
      <c r="B4">
        <f>-6.29023856310582*(1-(0.1517+0.1042+0.0758))</f>
        <v>-4.2037664317236194</v>
      </c>
      <c r="C4">
        <v>0.5617180998289808</v>
      </c>
      <c r="D4">
        <v>-11.198212350680761</v>
      </c>
      <c r="E4">
        <v>0</v>
      </c>
    </row>
    <row r="5" spans="1:5" x14ac:dyDescent="0.35">
      <c r="A5" s="1" t="s">
        <v>7</v>
      </c>
      <c r="B5">
        <f>-7.19411170404299*(1-(0.2864+0.1+0.0908))</f>
        <v>-3.7610815988736754</v>
      </c>
      <c r="C5">
        <v>0.25667720340185629</v>
      </c>
      <c r="D5">
        <v>-28.02785603355596</v>
      </c>
      <c r="E5">
        <v>0</v>
      </c>
    </row>
    <row r="6" spans="1:5" x14ac:dyDescent="0.35">
      <c r="A6" s="1" t="s">
        <v>8</v>
      </c>
      <c r="B6">
        <f>0.758184327692607*(1+0.1517+0.2258+0.2108+0.1042+0.0758)</f>
        <v>1.340697346658837</v>
      </c>
      <c r="C6">
        <v>0.21387610860161591</v>
      </c>
      <c r="D6">
        <v>3.5449697147093051</v>
      </c>
      <c r="E6">
        <v>3.9265819899236831E-4</v>
      </c>
    </row>
    <row r="7" spans="1:5" x14ac:dyDescent="0.35">
      <c r="A7" s="1" t="s">
        <v>9</v>
      </c>
      <c r="B7">
        <f>-2.56939061608771*(1-(0.1517+0.2258+0.2108+0.1042+0.0758))</f>
        <v>-0.59532780574752242</v>
      </c>
      <c r="C7">
        <v>5.008244034503187E-2</v>
      </c>
      <c r="D7">
        <v>-51.30322321329519</v>
      </c>
      <c r="E7">
        <v>0</v>
      </c>
    </row>
    <row r="8" spans="1:5" x14ac:dyDescent="0.35">
      <c r="A8" s="1" t="s">
        <v>10</v>
      </c>
      <c r="B8">
        <v>-0.28115749530568979</v>
      </c>
      <c r="C8">
        <v>1.3597323718745811E-2</v>
      </c>
      <c r="D8">
        <v>-20.67741425601826</v>
      </c>
      <c r="E8">
        <v>0</v>
      </c>
    </row>
    <row r="9" spans="1:5" x14ac:dyDescent="0.35">
      <c r="A9" s="1" t="s">
        <v>11</v>
      </c>
      <c r="B9">
        <v>-1.364896613508457E-2</v>
      </c>
      <c r="C9">
        <v>1.233398974145715E-3</v>
      </c>
      <c r="D9">
        <v>-11.066140333494451</v>
      </c>
      <c r="E9">
        <v>0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14898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-17465.86759717411</v>
      </c>
      <c r="C13" t="s">
        <v>16</v>
      </c>
    </row>
    <row r="14" spans="1:5" x14ac:dyDescent="0.35">
      <c r="A14" s="1" t="s">
        <v>17</v>
      </c>
      <c r="B14">
        <v>-4798.8974302239994</v>
      </c>
      <c r="C14" t="s">
        <v>16</v>
      </c>
    </row>
    <row r="15" spans="1:5" x14ac:dyDescent="0.35">
      <c r="A15" s="1" t="s">
        <v>18</v>
      </c>
      <c r="B15">
        <v>25333.94033390022</v>
      </c>
      <c r="C15" t="s">
        <v>16</v>
      </c>
    </row>
    <row r="16" spans="1:5" x14ac:dyDescent="0.35">
      <c r="A16" s="1" t="s">
        <v>19</v>
      </c>
      <c r="B16">
        <v>0.72524139419215361</v>
      </c>
      <c r="C16" t="s">
        <v>20</v>
      </c>
    </row>
    <row r="17" spans="1:3" x14ac:dyDescent="0.35">
      <c r="A17" s="1" t="s">
        <v>21</v>
      </c>
      <c r="B17">
        <v>0.72478335797062088</v>
      </c>
      <c r="C17" t="s">
        <v>20</v>
      </c>
    </row>
    <row r="18" spans="1:3" x14ac:dyDescent="0.35">
      <c r="A18" s="1" t="s">
        <v>22</v>
      </c>
      <c r="B18">
        <v>9613.7948604479989</v>
      </c>
      <c r="C18" t="s">
        <v>16</v>
      </c>
    </row>
    <row r="19" spans="1:3" x14ac:dyDescent="0.35">
      <c r="A19" s="1" t="s">
        <v>23</v>
      </c>
      <c r="B19">
        <v>9674.6667184858889</v>
      </c>
      <c r="C19" t="s">
        <v>16</v>
      </c>
    </row>
    <row r="20" spans="1:3" x14ac:dyDescent="0.35">
      <c r="A20" s="1" t="s">
        <v>24</v>
      </c>
      <c r="B20">
        <v>1.7783078747774791E-2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5</v>
      </c>
      <c r="B3">
        <f>2.60806170646401*(1+0.1517+0.1042+0.0758)</f>
        <v>3.4731557744981227</v>
      </c>
      <c r="C3">
        <v>0.49665687170469908</v>
      </c>
      <c r="D3">
        <v>5.2512345143081047</v>
      </c>
      <c r="E3">
        <v>1.510831753037678E-7</v>
      </c>
    </row>
    <row r="4" spans="1:5" x14ac:dyDescent="0.35">
      <c r="A4" s="1" t="s">
        <v>6</v>
      </c>
      <c r="B4">
        <f>0.806226030713152*(1+0.1517+0.1042+0.0758)</f>
        <v>1.0736512051007046</v>
      </c>
      <c r="C4">
        <v>0.66983548401701032</v>
      </c>
      <c r="D4">
        <v>1.2036179777729989</v>
      </c>
      <c r="E4">
        <v>0.228737267647287</v>
      </c>
    </row>
    <row r="5" spans="1:5" x14ac:dyDescent="0.35">
      <c r="A5" s="1" t="s">
        <v>7</v>
      </c>
      <c r="B5">
        <f>-1.34898923280022*(1-(0.2864+0.1+0.0908+0.1))</f>
        <v>-0.57035264762793314</v>
      </c>
      <c r="C5">
        <v>0.76679327582204648</v>
      </c>
      <c r="D5">
        <v>-1.759260644733782</v>
      </c>
      <c r="E5">
        <v>7.8533247860401501E-2</v>
      </c>
    </row>
    <row r="6" spans="1:5" x14ac:dyDescent="0.35">
      <c r="A6" s="1" t="s">
        <v>8</v>
      </c>
      <c r="B6">
        <f>-4.00612291148409*(1-(0.1517+0.2258+0.2108+0.1042+0.0758))</f>
        <v>-0.92821867859086382</v>
      </c>
      <c r="C6">
        <v>1.595770193575937</v>
      </c>
      <c r="D6">
        <v>-2.51046355397003</v>
      </c>
      <c r="E6">
        <v>1.205727677319168E-2</v>
      </c>
    </row>
    <row r="7" spans="1:5" x14ac:dyDescent="0.35">
      <c r="A7" s="1" t="s">
        <v>9</v>
      </c>
      <c r="B7">
        <f>1.94082440710714*(1+0.1517+0.2258+0.2108+0.1042+0.0758)</f>
        <v>3.4319597990875557</v>
      </c>
      <c r="C7">
        <v>0.4838869154849581</v>
      </c>
      <c r="D7">
        <v>4.010904913934322</v>
      </c>
      <c r="E7">
        <v>6.0486468716147712E-5</v>
      </c>
    </row>
    <row r="8" spans="1:5" x14ac:dyDescent="0.35">
      <c r="A8" s="1" t="s">
        <v>10</v>
      </c>
      <c r="B8">
        <v>0</v>
      </c>
      <c r="C8">
        <v>4.0810807650271577E-2</v>
      </c>
      <c r="D8">
        <v>2.818435391200584</v>
      </c>
      <c r="E8">
        <v>4.8258322082257443E-3</v>
      </c>
    </row>
    <row r="9" spans="1:5" x14ac:dyDescent="0.35">
      <c r="A9" s="1" t="s">
        <v>11</v>
      </c>
      <c r="B9">
        <v>-7.0872474034295016E-2</v>
      </c>
      <c r="C9">
        <v>1.3785984053590871E-2</v>
      </c>
      <c r="D9">
        <v>-5.1409078785228006</v>
      </c>
      <c r="E9">
        <v>2.7341409181147469E-7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164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-267.80717898397768</v>
      </c>
      <c r="C13" t="s">
        <v>16</v>
      </c>
    </row>
    <row r="14" spans="1:5" x14ac:dyDescent="0.35">
      <c r="A14" s="1" t="s">
        <v>17</v>
      </c>
      <c r="B14">
        <v>-158.40800348739469</v>
      </c>
      <c r="C14" t="s">
        <v>16</v>
      </c>
    </row>
    <row r="15" spans="1:5" x14ac:dyDescent="0.35">
      <c r="A15" s="1" t="s">
        <v>18</v>
      </c>
      <c r="B15">
        <v>218.798350993166</v>
      </c>
      <c r="C15" t="s">
        <v>16</v>
      </c>
    </row>
    <row r="16" spans="1:5" x14ac:dyDescent="0.35">
      <c r="A16" s="1" t="s">
        <v>19</v>
      </c>
      <c r="B16">
        <v>0.40849978671829451</v>
      </c>
      <c r="C16" t="s">
        <v>20</v>
      </c>
    </row>
    <row r="17" spans="1:3" x14ac:dyDescent="0.35">
      <c r="A17" s="1" t="s">
        <v>21</v>
      </c>
      <c r="B17">
        <v>0.37862754792936099</v>
      </c>
      <c r="C17" t="s">
        <v>20</v>
      </c>
    </row>
    <row r="18" spans="1:3" x14ac:dyDescent="0.35">
      <c r="A18" s="1" t="s">
        <v>22</v>
      </c>
      <c r="B18">
        <v>332.81600697478939</v>
      </c>
      <c r="C18" t="s">
        <v>16</v>
      </c>
    </row>
    <row r="19" spans="1:3" x14ac:dyDescent="0.35">
      <c r="A19" s="1" t="s">
        <v>23</v>
      </c>
      <c r="B19">
        <v>357.61493839738301</v>
      </c>
      <c r="C19" t="s">
        <v>16</v>
      </c>
    </row>
    <row r="20" spans="1:3" x14ac:dyDescent="0.35">
      <c r="A20" s="1" t="s">
        <v>24</v>
      </c>
      <c r="B20">
        <v>2.0801912899156911E-7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3.705243274177338</v>
      </c>
      <c r="C2">
        <v>2.3426045368736488</v>
      </c>
      <c r="D2">
        <v>1.5816768113674931</v>
      </c>
      <c r="E2">
        <v>0.1137233689900685</v>
      </c>
    </row>
    <row r="3" spans="1:5" x14ac:dyDescent="0.35">
      <c r="A3" s="1" t="s">
        <v>5</v>
      </c>
      <c r="B3">
        <f>-3.06361324270319*(1-(0.1517+0.1042+0.0758))</f>
        <v>-2.0474127300985421</v>
      </c>
      <c r="C3">
        <v>0.118284376731653</v>
      </c>
      <c r="D3">
        <v>-25.90040483244449</v>
      </c>
      <c r="E3">
        <v>0</v>
      </c>
    </row>
    <row r="4" spans="1:5" x14ac:dyDescent="0.35">
      <c r="A4" s="1" t="s">
        <v>6</v>
      </c>
      <c r="B4">
        <f>-3.87925501676566*(1-(0.1517+0.1042+0.0758))</f>
        <v>-2.5925061277044907</v>
      </c>
      <c r="C4">
        <v>0.35613279560295608</v>
      </c>
      <c r="D4">
        <v>-10.892720537567531</v>
      </c>
      <c r="E4">
        <v>0</v>
      </c>
    </row>
    <row r="5" spans="1:5" x14ac:dyDescent="0.35">
      <c r="A5" s="1" t="s">
        <v>7</v>
      </c>
      <c r="B5">
        <f>-5.23547731796245*(1-(0.2864+0.1+0.0908+0.1))</f>
        <v>-2.213559810034524</v>
      </c>
      <c r="C5">
        <v>0.21523191114173479</v>
      </c>
      <c r="D5">
        <v>-24.324819169192711</v>
      </c>
      <c r="E5">
        <v>0</v>
      </c>
    </row>
    <row r="6" spans="1:5" x14ac:dyDescent="0.35">
      <c r="A6" s="1" t="s">
        <v>8</v>
      </c>
      <c r="B6">
        <f>-2.97758033018254*(1-(0.1517+0.2258+0.2108+0.1042+0.0758))</f>
        <v>-0.68990536250329459</v>
      </c>
      <c r="C6">
        <v>0.41920828728169568</v>
      </c>
      <c r="D6">
        <v>-7.102866094299551</v>
      </c>
      <c r="E6">
        <v>1.2219114609024471E-12</v>
      </c>
    </row>
    <row r="7" spans="1:5" x14ac:dyDescent="0.35">
      <c r="A7" s="1" t="s">
        <v>9</v>
      </c>
      <c r="B7">
        <f>-3.0090298005718*(1-(0.1517+0.2258+0.2108+0.1042+0.0758))</f>
        <v>-0.69719220479248611</v>
      </c>
      <c r="C7">
        <v>8.5064720681338454E-2</v>
      </c>
      <c r="D7">
        <v>-35.373416575879297</v>
      </c>
      <c r="E7">
        <v>0</v>
      </c>
    </row>
    <row r="8" spans="1:5" x14ac:dyDescent="0.35">
      <c r="A8" s="1" t="s">
        <v>10</v>
      </c>
      <c r="B8">
        <v>-9.7006552513896185E-2</v>
      </c>
      <c r="C8">
        <v>1.48708630892623E-2</v>
      </c>
      <c r="D8">
        <v>-6.523263103937861</v>
      </c>
      <c r="E8">
        <v>6.8794081542478125E-11</v>
      </c>
    </row>
    <row r="9" spans="1:5" x14ac:dyDescent="0.35">
      <c r="A9" s="1" t="s">
        <v>11</v>
      </c>
      <c r="B9">
        <v>-4.4285051651081382E-2</v>
      </c>
      <c r="C9">
        <v>6.5594176085053317E-3</v>
      </c>
      <c r="D9">
        <v>-6.7513694498820653</v>
      </c>
      <c r="E9">
        <v>1.4645618051645221E-11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10107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-10983.47506039397</v>
      </c>
      <c r="C13" t="s">
        <v>16</v>
      </c>
    </row>
    <row r="14" spans="1:5" x14ac:dyDescent="0.35">
      <c r="A14" s="1" t="s">
        <v>17</v>
      </c>
      <c r="B14">
        <v>-1876.5022913065211</v>
      </c>
      <c r="C14" t="s">
        <v>16</v>
      </c>
    </row>
    <row r="15" spans="1:5" x14ac:dyDescent="0.35">
      <c r="A15" s="1" t="s">
        <v>18</v>
      </c>
      <c r="B15">
        <v>18213.945538174899</v>
      </c>
      <c r="C15" t="s">
        <v>16</v>
      </c>
    </row>
    <row r="16" spans="1:5" x14ac:dyDescent="0.35">
      <c r="A16" s="1" t="s">
        <v>19</v>
      </c>
      <c r="B16">
        <v>0.82915222359150031</v>
      </c>
      <c r="C16" t="s">
        <v>20</v>
      </c>
    </row>
    <row r="17" spans="1:3" x14ac:dyDescent="0.35">
      <c r="A17" s="1" t="s">
        <v>21</v>
      </c>
      <c r="B17">
        <v>0.82842385666245366</v>
      </c>
      <c r="C17" t="s">
        <v>20</v>
      </c>
    </row>
    <row r="18" spans="1:3" x14ac:dyDescent="0.35">
      <c r="A18" s="1" t="s">
        <v>22</v>
      </c>
      <c r="B18">
        <v>3769.0045826130431</v>
      </c>
      <c r="C18" t="s">
        <v>16</v>
      </c>
    </row>
    <row r="19" spans="1:3" x14ac:dyDescent="0.35">
      <c r="A19" s="1" t="s">
        <v>23</v>
      </c>
      <c r="B19">
        <v>3826.7724508696401</v>
      </c>
      <c r="C19" t="s">
        <v>16</v>
      </c>
    </row>
    <row r="20" spans="1:3" x14ac:dyDescent="0.35">
      <c r="A20" s="1" t="s">
        <v>24</v>
      </c>
      <c r="B20">
        <v>1.5921379527638689E-2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5</v>
      </c>
      <c r="B3">
        <f>3.81250743214909*(1+0.1517+0.1042+0.0758)</f>
        <v>5.0771161473929434</v>
      </c>
      <c r="C3">
        <v>0.38444366450150208</v>
      </c>
      <c r="D3">
        <v>9.9169469656696538</v>
      </c>
      <c r="E3">
        <v>0</v>
      </c>
    </row>
    <row r="4" spans="1:5" x14ac:dyDescent="0.35">
      <c r="A4" s="1" t="s">
        <v>6</v>
      </c>
      <c r="B4">
        <f>3.96848245338581*(1+0.1517+0.1042+0.0758)</f>
        <v>5.2848280831738839</v>
      </c>
      <c r="C4">
        <v>0.71192959795259525</v>
      </c>
      <c r="D4">
        <v>5.5742624899970252</v>
      </c>
      <c r="E4">
        <v>2.4858068714550541E-8</v>
      </c>
    </row>
    <row r="5" spans="1:5" x14ac:dyDescent="0.35">
      <c r="A5" s="1" t="s">
        <v>7</v>
      </c>
      <c r="B5">
        <f>0.656579418398497*(1+0.2864+0.1+0.0908+0.1)</f>
        <v>1.0355570586981095</v>
      </c>
      <c r="C5">
        <v>0.33975842549856178</v>
      </c>
      <c r="D5">
        <v>1.932488995482692</v>
      </c>
      <c r="E5">
        <v>5.3299179013275737E-2</v>
      </c>
    </row>
    <row r="6" spans="1:5" x14ac:dyDescent="0.35">
      <c r="A6" s="1" t="s">
        <v>8</v>
      </c>
      <c r="B6">
        <f>-11.1075547524774*(1-(0.1517+0.2258+0.2108+0.1042+0.0758))</f>
        <v>-2.5736204361490138</v>
      </c>
      <c r="C6">
        <v>0.82428070006143528</v>
      </c>
      <c r="D6">
        <v>-13.475451689757611</v>
      </c>
      <c r="E6">
        <v>0</v>
      </c>
    </row>
    <row r="7" spans="1:5" x14ac:dyDescent="0.35">
      <c r="A7" s="1" t="s">
        <v>9</v>
      </c>
      <c r="B7">
        <f>2.66998544850264*(1+0.1517+0.2258+0.2108+0.1042+0.0758)</f>
        <v>4.7213352685872181</v>
      </c>
      <c r="C7">
        <v>0.22239218905060071</v>
      </c>
      <c r="D7">
        <v>12.00575191017677</v>
      </c>
      <c r="E7">
        <v>0</v>
      </c>
    </row>
    <row r="8" spans="1:5" x14ac:dyDescent="0.35">
      <c r="A8" s="1" t="s">
        <v>10</v>
      </c>
      <c r="B8">
        <v>-2.8012608384226839E-2</v>
      </c>
      <c r="C8">
        <v>4.6073986064738739E-2</v>
      </c>
      <c r="D8">
        <v>-0.60799185781031007</v>
      </c>
      <c r="E8">
        <v>0.54319287410761552</v>
      </c>
    </row>
    <row r="9" spans="1:5" x14ac:dyDescent="0.35">
      <c r="A9" s="1" t="s">
        <v>11</v>
      </c>
      <c r="B9">
        <v>-0.105189649998854</v>
      </c>
      <c r="C9">
        <v>2.3564482325759029E-2</v>
      </c>
      <c r="D9">
        <v>-4.4639066772058076</v>
      </c>
      <c r="E9">
        <v>8.0478627897395683E-6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96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-151.3958697344564</v>
      </c>
      <c r="C13" t="s">
        <v>16</v>
      </c>
    </row>
    <row r="14" spans="1:5" x14ac:dyDescent="0.35">
      <c r="A14" s="1" t="s">
        <v>17</v>
      </c>
      <c r="B14">
        <v>-88.887562215887669</v>
      </c>
      <c r="C14" t="s">
        <v>16</v>
      </c>
    </row>
    <row r="15" spans="1:5" x14ac:dyDescent="0.35">
      <c r="A15" s="1" t="s">
        <v>18</v>
      </c>
      <c r="B15">
        <v>125.0166150371375</v>
      </c>
      <c r="C15" t="s">
        <v>16</v>
      </c>
    </row>
    <row r="16" spans="1:5" x14ac:dyDescent="0.35">
      <c r="A16" s="1" t="s">
        <v>19</v>
      </c>
      <c r="B16">
        <v>0.4128798733294794</v>
      </c>
      <c r="C16" t="s">
        <v>20</v>
      </c>
    </row>
    <row r="17" spans="1:3" x14ac:dyDescent="0.35">
      <c r="A17" s="1" t="s">
        <v>21</v>
      </c>
      <c r="B17">
        <v>0.3600382732644859</v>
      </c>
      <c r="C17" t="s">
        <v>20</v>
      </c>
    </row>
    <row r="18" spans="1:3" x14ac:dyDescent="0.35">
      <c r="A18" s="1" t="s">
        <v>22</v>
      </c>
      <c r="B18">
        <v>193.77512443177531</v>
      </c>
      <c r="C18" t="s">
        <v>16</v>
      </c>
    </row>
    <row r="19" spans="1:3" x14ac:dyDescent="0.35">
      <c r="A19" s="1" t="s">
        <v>23</v>
      </c>
      <c r="B19">
        <v>214.289909963518</v>
      </c>
      <c r="C19" t="s">
        <v>16</v>
      </c>
    </row>
    <row r="20" spans="1:3" x14ac:dyDescent="0.35">
      <c r="A20" s="1" t="s">
        <v>24</v>
      </c>
      <c r="B20">
        <v>7.3083455968120153E-4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0</v>
      </c>
      <c r="C2">
        <v>0</v>
      </c>
      <c r="D2">
        <v>0</v>
      </c>
      <c r="E2">
        <v>0</v>
      </c>
    </row>
    <row r="3" spans="1:5" x14ac:dyDescent="0.35">
      <c r="A3" s="1" t="s">
        <v>5</v>
      </c>
      <c r="B3">
        <f>-3.16597802986118*(1-(0.1517+0.1042+0.0758))</f>
        <v>-2.1158231173562267</v>
      </c>
      <c r="C3">
        <v>0.15582294587106091</v>
      </c>
      <c r="D3">
        <v>-20.317790888647011</v>
      </c>
      <c r="E3">
        <v>0</v>
      </c>
    </row>
    <row r="4" spans="1:5" x14ac:dyDescent="0.35">
      <c r="A4" s="1" t="s">
        <v>6</v>
      </c>
      <c r="B4">
        <f>-5.55829256008223*(1-(0.1517+0.1042+0.0758))</f>
        <v>-3.7146069179029544</v>
      </c>
      <c r="C4">
        <v>1.060900115384251</v>
      </c>
      <c r="D4">
        <v>-5.2392232590803891</v>
      </c>
      <c r="E4">
        <v>1.6125386159693281E-7</v>
      </c>
    </row>
    <row r="5" spans="1:5" x14ac:dyDescent="0.35">
      <c r="A5" s="1" t="s">
        <v>7</v>
      </c>
      <c r="B5">
        <f>-4.72938875081542*(1-(0.2864+0.1+0.0908+0.1))</f>
        <v>-1.9995855638447597</v>
      </c>
      <c r="C5">
        <v>0.205717088896751</v>
      </c>
      <c r="D5">
        <v>-22.989770933367069</v>
      </c>
      <c r="E5">
        <v>0</v>
      </c>
    </row>
    <row r="6" spans="1:5" x14ac:dyDescent="0.35">
      <c r="A6" s="1" t="s">
        <v>8</v>
      </c>
      <c r="B6">
        <f>-2.16638958398123*(1-(0.1517+0.2258+0.2108+0.1042+0.0758))</f>
        <v>-0.50195246660845105</v>
      </c>
      <c r="C6">
        <v>0.5352350591577415</v>
      </c>
      <c r="D6">
        <v>-4.0475479827317562</v>
      </c>
      <c r="E6">
        <v>5.175697431569759E-5</v>
      </c>
    </row>
    <row r="7" spans="1:5" x14ac:dyDescent="0.35">
      <c r="A7" s="1" t="s">
        <v>9</v>
      </c>
      <c r="B7">
        <f>-3.66777756042684*(1-(0.1517+0.2258+0.2108+0.1042+0.0758))</f>
        <v>-0.84982406075089889</v>
      </c>
      <c r="C7">
        <v>0.11972094442281001</v>
      </c>
      <c r="D7">
        <v>-30.636056022692301</v>
      </c>
      <c r="E7">
        <v>0</v>
      </c>
    </row>
    <row r="8" spans="1:5" x14ac:dyDescent="0.35">
      <c r="A8" s="1" t="s">
        <v>10</v>
      </c>
      <c r="B8">
        <v>-0.15414176555902981</v>
      </c>
      <c r="C8">
        <v>2.313458087702969E-2</v>
      </c>
      <c r="D8">
        <v>-6.6628293971851056</v>
      </c>
      <c r="E8">
        <v>2.6860513813176109E-11</v>
      </c>
    </row>
    <row r="9" spans="1:5" x14ac:dyDescent="0.35">
      <c r="A9" s="1" t="s">
        <v>11</v>
      </c>
      <c r="B9">
        <v>-6.2320527466123453E-2</v>
      </c>
      <c r="C9">
        <v>8.7830446896477298E-3</v>
      </c>
      <c r="D9">
        <v>-7.0955493986702001</v>
      </c>
      <c r="E9">
        <v>1.2883027977750321E-12</v>
      </c>
    </row>
    <row r="10" spans="1:5" x14ac:dyDescent="0.35">
      <c r="A10" s="1" t="s">
        <v>12</v>
      </c>
      <c r="B10">
        <v>8</v>
      </c>
    </row>
    <row r="11" spans="1:5" x14ac:dyDescent="0.35">
      <c r="A11" s="1" t="s">
        <v>13</v>
      </c>
      <c r="B11">
        <v>9406</v>
      </c>
    </row>
    <row r="12" spans="1:5" x14ac:dyDescent="0.35">
      <c r="A12" s="1" t="s">
        <v>14</v>
      </c>
      <c r="B12">
        <v>0</v>
      </c>
    </row>
    <row r="13" spans="1:5" x14ac:dyDescent="0.35">
      <c r="A13" s="1" t="s">
        <v>15</v>
      </c>
      <c r="B13">
        <v>-10069.804818002191</v>
      </c>
      <c r="C13" t="s">
        <v>16</v>
      </c>
    </row>
    <row r="14" spans="1:5" x14ac:dyDescent="0.35">
      <c r="A14" s="1" t="s">
        <v>17</v>
      </c>
      <c r="B14">
        <v>-1228.9191613987271</v>
      </c>
      <c r="C14" t="s">
        <v>16</v>
      </c>
    </row>
    <row r="15" spans="1:5" x14ac:dyDescent="0.35">
      <c r="A15" s="1" t="s">
        <v>18</v>
      </c>
      <c r="B15">
        <v>17681.77131320694</v>
      </c>
      <c r="C15" t="s">
        <v>16</v>
      </c>
    </row>
    <row r="16" spans="1:5" x14ac:dyDescent="0.35">
      <c r="A16" s="1" t="s">
        <v>19</v>
      </c>
      <c r="B16">
        <v>0.87795998198478098</v>
      </c>
      <c r="C16" t="s">
        <v>20</v>
      </c>
    </row>
    <row r="17" spans="1:3" x14ac:dyDescent="0.35">
      <c r="A17" s="1" t="s">
        <v>21</v>
      </c>
      <c r="B17">
        <v>0.877165527658745</v>
      </c>
      <c r="C17" t="s">
        <v>20</v>
      </c>
    </row>
    <row r="18" spans="1:3" x14ac:dyDescent="0.35">
      <c r="A18" s="1" t="s">
        <v>22</v>
      </c>
      <c r="B18">
        <v>2473.8383227974532</v>
      </c>
      <c r="C18" t="s">
        <v>16</v>
      </c>
    </row>
    <row r="19" spans="1:3" x14ac:dyDescent="0.35">
      <c r="A19" s="1" t="s">
        <v>23</v>
      </c>
      <c r="B19">
        <v>2531.0311472974931</v>
      </c>
      <c r="C19" t="s">
        <v>16</v>
      </c>
    </row>
    <row r="20" spans="1:3" x14ac:dyDescent="0.35">
      <c r="A20" s="1" t="s">
        <v>24</v>
      </c>
      <c r="B20">
        <v>8.1982540656340072E-3</v>
      </c>
      <c r="C20" t="s">
        <v>25</v>
      </c>
    </row>
    <row r="21" spans="1:3" x14ac:dyDescent="0.35">
      <c r="A21" s="1" t="s">
        <v>26</v>
      </c>
      <c r="B21">
        <v>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0"/>
  <sheetViews>
    <sheetView workbookViewId="0">
      <selection activeCell="B8" sqref="B8"/>
    </sheetView>
  </sheetViews>
  <sheetFormatPr baseColWidth="10" defaultColWidth="8.7265625"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-8.9222686023293889</v>
      </c>
      <c r="C2">
        <v>0.82800018004566867</v>
      </c>
      <c r="D2">
        <v>-10.7756843746547</v>
      </c>
      <c r="E2">
        <v>0</v>
      </c>
    </row>
    <row r="3" spans="1:5" x14ac:dyDescent="0.35">
      <c r="A3" s="1" t="s">
        <v>5</v>
      </c>
      <c r="B3">
        <f>2.91857432777651*(1+0.1517+0.1042+0.0758)</f>
        <v>3.8866654322999787</v>
      </c>
      <c r="C3">
        <v>0.75150296426339669</v>
      </c>
      <c r="D3">
        <v>3.8836497879116338</v>
      </c>
      <c r="E3">
        <v>1.0290009113989031E-4</v>
      </c>
    </row>
    <row r="4" spans="1:5" x14ac:dyDescent="0.35">
      <c r="A4" s="1" t="s">
        <v>6</v>
      </c>
      <c r="B4">
        <f>0.946561354863777*(1+0.1517+0.1042+0.0758)</f>
        <v>1.260535756272092</v>
      </c>
      <c r="C4">
        <v>0.92063837909468371</v>
      </c>
      <c r="D4">
        <v>1.028157609282577</v>
      </c>
      <c r="E4">
        <v>0.30387569514037671</v>
      </c>
    </row>
    <row r="5" spans="1:5" x14ac:dyDescent="0.35">
      <c r="A5" s="1" t="s">
        <v>7</v>
      </c>
      <c r="B5">
        <f>0.441391732490003*(1+0.2864+0.1+0.0908)</f>
        <v>0.65202386723423245</v>
      </c>
      <c r="C5">
        <v>1.7044499752326689</v>
      </c>
      <c r="D5">
        <v>0.25896432215897081</v>
      </c>
      <c r="E5">
        <v>0.79566276846224016</v>
      </c>
    </row>
    <row r="6" spans="1:5" x14ac:dyDescent="0.35">
      <c r="A6" s="1" t="s">
        <v>8</v>
      </c>
      <c r="B6">
        <f>1.87044091687594*(1+0.1517+0.2258+0.2108+0.1042+0.0758)</f>
        <v>3.3075006733117247</v>
      </c>
      <c r="C6">
        <v>0.65021143583864105</v>
      </c>
      <c r="D6">
        <v>2.8766656717802142</v>
      </c>
      <c r="E6">
        <v>4.0190116065643711E-3</v>
      </c>
    </row>
    <row r="7" spans="1:5" x14ac:dyDescent="0.35">
      <c r="A7" s="1" t="s">
        <v>9</v>
      </c>
      <c r="B7">
        <f>2.74530027022344*(1+0.1517+0.2258+0.2108+0.1042+0.0758)</f>
        <v>4.8545144678361085</v>
      </c>
      <c r="C7">
        <v>0.55514816281835322</v>
      </c>
      <c r="D7">
        <v>4.9451668114800524</v>
      </c>
      <c r="E7">
        <v>7.6078689614789141E-7</v>
      </c>
    </row>
    <row r="8" spans="1:5" x14ac:dyDescent="0.35">
      <c r="A8" s="1" t="s">
        <v>11</v>
      </c>
      <c r="B8">
        <v>-2.0888352142721101E-2</v>
      </c>
      <c r="C8">
        <v>1.4230444794745001E-2</v>
      </c>
      <c r="D8">
        <v>-1.4678636152282969</v>
      </c>
      <c r="E8">
        <v>0.1421412732216196</v>
      </c>
    </row>
    <row r="9" spans="1:5" x14ac:dyDescent="0.35">
      <c r="A9" s="1" t="s">
        <v>12</v>
      </c>
      <c r="B9">
        <v>7</v>
      </c>
    </row>
    <row r="10" spans="1:5" x14ac:dyDescent="0.35">
      <c r="A10" s="1" t="s">
        <v>13</v>
      </c>
      <c r="B10">
        <v>38</v>
      </c>
    </row>
    <row r="11" spans="1:5" x14ac:dyDescent="0.35">
      <c r="A11" s="1" t="s">
        <v>14</v>
      </c>
      <c r="B11">
        <v>0</v>
      </c>
    </row>
    <row r="12" spans="1:5" x14ac:dyDescent="0.35">
      <c r="A12" s="1" t="s">
        <v>15</v>
      </c>
      <c r="B12">
        <v>-37.729598455444517</v>
      </c>
      <c r="C12" t="s">
        <v>16</v>
      </c>
    </row>
    <row r="13" spans="1:5" x14ac:dyDescent="0.35">
      <c r="A13" s="1" t="s">
        <v>17</v>
      </c>
      <c r="B13">
        <v>-28.641191885508661</v>
      </c>
      <c r="C13" t="s">
        <v>16</v>
      </c>
    </row>
    <row r="14" spans="1:5" x14ac:dyDescent="0.35">
      <c r="A14" s="1" t="s">
        <v>18</v>
      </c>
      <c r="B14">
        <v>18.176813139871729</v>
      </c>
      <c r="C14" t="s">
        <v>16</v>
      </c>
    </row>
    <row r="15" spans="1:5" x14ac:dyDescent="0.35">
      <c r="A15" s="1" t="s">
        <v>19</v>
      </c>
      <c r="B15">
        <v>0.24088267413363831</v>
      </c>
      <c r="C15" t="s">
        <v>20</v>
      </c>
    </row>
    <row r="16" spans="1:5" x14ac:dyDescent="0.35">
      <c r="A16" s="1" t="s">
        <v>21</v>
      </c>
      <c r="B16">
        <v>5.5351942650598167E-2</v>
      </c>
      <c r="C16" t="s">
        <v>20</v>
      </c>
    </row>
    <row r="17" spans="1:3" x14ac:dyDescent="0.35">
      <c r="A17" s="1" t="s">
        <v>22</v>
      </c>
      <c r="B17">
        <v>71.282383771017322</v>
      </c>
      <c r="C17" t="s">
        <v>16</v>
      </c>
    </row>
    <row r="18" spans="1:3" x14ac:dyDescent="0.35">
      <c r="A18" s="1" t="s">
        <v>23</v>
      </c>
      <c r="B18">
        <v>82.745486889102011</v>
      </c>
      <c r="C18" t="s">
        <v>16</v>
      </c>
    </row>
    <row r="19" spans="1:3" x14ac:dyDescent="0.35">
      <c r="A19" s="1" t="s">
        <v>24</v>
      </c>
      <c r="B19">
        <v>1.182978350206984E-4</v>
      </c>
      <c r="C19" t="s">
        <v>25</v>
      </c>
    </row>
    <row r="20" spans="1:3" x14ac:dyDescent="0.35">
      <c r="A20" s="1" t="s">
        <v>26</v>
      </c>
      <c r="B20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leisure_no_car</vt:lpstr>
      <vt:lpstr>leisure_car</vt:lpstr>
      <vt:lpstr>commuting_no_car</vt:lpstr>
      <vt:lpstr>commuting_car</vt:lpstr>
      <vt:lpstr>errands_no_car</vt:lpstr>
      <vt:lpstr>errands_car</vt:lpstr>
      <vt:lpstr>shopping_no_car</vt:lpstr>
      <vt:lpstr>shopping_car</vt:lpstr>
      <vt:lpstr>business_no_car</vt:lpstr>
      <vt:lpstr>business_car</vt:lpstr>
      <vt:lpstr>accompany_no_car</vt:lpstr>
      <vt:lpstr>accompany_car</vt:lpstr>
      <vt:lpstr>education_no_car</vt:lpstr>
      <vt:lpstr>education_car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Marlin Arnz</cp:lastModifiedBy>
  <dcterms:created xsi:type="dcterms:W3CDTF">2024-09-19T18:08:38Z</dcterms:created>
  <dcterms:modified xsi:type="dcterms:W3CDTF">2024-10-01T14:34:00Z</dcterms:modified>
</cp:coreProperties>
</file>