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NOTEBOOK\excel-2021-01\Pedro\"/>
    </mc:Choice>
  </mc:AlternateContent>
  <bookViews>
    <workbookView xWindow="-120" yWindow="-120" windowWidth="20730" windowHeight="11160"/>
  </bookViews>
  <sheets>
    <sheet name="Folha de Pagamento" sheetId="2" r:id="rId1"/>
    <sheet name="Exerc 23-10" sheetId="7" r:id="rId2"/>
    <sheet name="Funcionários" sheetId="1" r:id="rId3"/>
    <sheet name="Cargos" sheetId="3" r:id="rId4"/>
    <sheet name="Cargos Folha" sheetId="6" r:id="rId5"/>
    <sheet name="INSS" sheetId="4" state="hidden" r:id="rId6"/>
    <sheet name="IRRF" sheetId="5" state="hidden" r:id="rId7"/>
  </sheets>
  <definedNames>
    <definedName name="Cargos">Cargos!$A$3:$C$17</definedName>
    <definedName name="cotacao" localSheetId="1">'Exerc 23-10'!$A$1:$N$13</definedName>
    <definedName name="cotacao" localSheetId="0">'Folha de Pagamento'!$P$5:$AC$17</definedName>
    <definedName name="INSS">INSS!$A$4:$C$7</definedName>
    <definedName name="INSSs">'Folha de Pagamento'!$F$6:$F$21</definedName>
    <definedName name="IRRF">IRRF!$A$4:$C$11</definedName>
    <definedName name="SalariosBrutos">'Folha de Pagamento'!$E$6:$E$21</definedName>
    <definedName name="SalariosLiquidos">'Folha de Pagamento'!$K$6:$K$21</definedName>
    <definedName name="tabfunc">'Folha de Pagamento'!$A$5:$K$21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2" i="2" l="1"/>
  <c r="T23" i="2"/>
  <c r="T21" i="2"/>
  <c r="S22" i="2"/>
  <c r="S23" i="2"/>
  <c r="S24" i="2"/>
  <c r="S25" i="2"/>
  <c r="S26" i="2"/>
  <c r="S27" i="2"/>
  <c r="S28" i="2"/>
  <c r="S29" i="2"/>
  <c r="S30" i="2"/>
  <c r="S31" i="2"/>
  <c r="S32" i="2"/>
  <c r="S21" i="2"/>
  <c r="R22" i="2"/>
  <c r="R23" i="2"/>
  <c r="R24" i="2"/>
  <c r="R25" i="2"/>
  <c r="R26" i="2"/>
  <c r="R27" i="2"/>
  <c r="R28" i="2"/>
  <c r="R29" i="2"/>
  <c r="R30" i="2"/>
  <c r="R31" i="2"/>
  <c r="R32" i="2"/>
  <c r="R21" i="2"/>
  <c r="Q22" i="2"/>
  <c r="Q23" i="2"/>
  <c r="Q24" i="2"/>
  <c r="Q25" i="2"/>
  <c r="Q26" i="2"/>
  <c r="Q27" i="2"/>
  <c r="Q28" i="2"/>
  <c r="Q29" i="2"/>
  <c r="Q30" i="2"/>
  <c r="Q31" i="2"/>
  <c r="Q32" i="2"/>
  <c r="Q21" i="2"/>
  <c r="B2" i="6" l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6" i="2"/>
  <c r="E3" i="2" l="1"/>
  <c r="D7" i="2" l="1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C7" i="2"/>
  <c r="H7" i="2" s="1"/>
  <c r="C8" i="2"/>
  <c r="H8" i="2" s="1"/>
  <c r="C9" i="2"/>
  <c r="H9" i="2" s="1"/>
  <c r="C10" i="2"/>
  <c r="H10" i="2" s="1"/>
  <c r="C11" i="2"/>
  <c r="H11" i="2" s="1"/>
  <c r="C12" i="2"/>
  <c r="H12" i="2" s="1"/>
  <c r="C13" i="2"/>
  <c r="H13" i="2" s="1"/>
  <c r="C14" i="2"/>
  <c r="H14" i="2" s="1"/>
  <c r="C15" i="2"/>
  <c r="H15" i="2" s="1"/>
  <c r="C16" i="2"/>
  <c r="H16" i="2" s="1"/>
  <c r="C17" i="2"/>
  <c r="H17" i="2" s="1"/>
  <c r="C18" i="2"/>
  <c r="H18" i="2" s="1"/>
  <c r="C19" i="2"/>
  <c r="H19" i="2" s="1"/>
  <c r="C20" i="2"/>
  <c r="H20" i="2" s="1"/>
  <c r="C21" i="2"/>
  <c r="H21" i="2" s="1"/>
  <c r="D6" i="2"/>
  <c r="E6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  <c r="C6" i="2"/>
  <c r="H6" i="2" s="1"/>
  <c r="H23" i="2" l="1"/>
  <c r="H25" i="2"/>
  <c r="H22" i="2"/>
  <c r="H24" i="2"/>
  <c r="K7" i="2"/>
  <c r="C2" i="6"/>
  <c r="I6" i="2"/>
  <c r="F6" i="2"/>
  <c r="J6" i="2" s="1"/>
  <c r="I21" i="2"/>
  <c r="F21" i="2"/>
  <c r="J21" i="2" s="1"/>
  <c r="K21" i="2" s="1"/>
  <c r="I17" i="2"/>
  <c r="F17" i="2"/>
  <c r="J17" i="2" s="1"/>
  <c r="K17" i="2" s="1"/>
  <c r="I13" i="2"/>
  <c r="F13" i="2"/>
  <c r="J13" i="2" s="1"/>
  <c r="K13" i="2" s="1"/>
  <c r="I9" i="2"/>
  <c r="F9" i="2"/>
  <c r="J9" i="2" s="1"/>
  <c r="K9" i="2" s="1"/>
  <c r="I20" i="2"/>
  <c r="F20" i="2"/>
  <c r="J20" i="2" s="1"/>
  <c r="K20" i="2" s="1"/>
  <c r="F16" i="2"/>
  <c r="I16" i="2"/>
  <c r="I12" i="2"/>
  <c r="F12" i="2"/>
  <c r="J12" i="2" s="1"/>
  <c r="K12" i="2" s="1"/>
  <c r="F8" i="2"/>
  <c r="I8" i="2"/>
  <c r="I19" i="2"/>
  <c r="F19" i="2"/>
  <c r="J19" i="2" s="1"/>
  <c r="K19" i="2" s="1"/>
  <c r="I15" i="2"/>
  <c r="F15" i="2"/>
  <c r="J15" i="2" s="1"/>
  <c r="K15" i="2" s="1"/>
  <c r="I11" i="2"/>
  <c r="F11" i="2"/>
  <c r="J11" i="2" s="1"/>
  <c r="K11" i="2" s="1"/>
  <c r="I7" i="2"/>
  <c r="F7" i="2"/>
  <c r="J7" i="2" s="1"/>
  <c r="I18" i="2"/>
  <c r="F18" i="2"/>
  <c r="J18" i="2" s="1"/>
  <c r="K18" i="2" s="1"/>
  <c r="I14" i="2"/>
  <c r="F14" i="2"/>
  <c r="J14" i="2" s="1"/>
  <c r="K14" i="2" s="1"/>
  <c r="I10" i="2"/>
  <c r="F10" i="2"/>
  <c r="J10" i="2" s="1"/>
  <c r="K10" i="2" s="1"/>
  <c r="E23" i="2"/>
  <c r="E24" i="2"/>
  <c r="E22" i="2"/>
  <c r="E25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6" i="2"/>
  <c r="J25" i="2" l="1"/>
  <c r="K6" i="2"/>
  <c r="J8" i="2"/>
  <c r="K8" i="2" s="1"/>
  <c r="J16" i="2"/>
  <c r="K16" i="2" s="1"/>
  <c r="F22" i="2"/>
  <c r="F25" i="2"/>
  <c r="F24" i="2"/>
  <c r="F23" i="2"/>
  <c r="I24" i="2"/>
  <c r="I23" i="2"/>
  <c r="I22" i="2"/>
  <c r="I25" i="2"/>
  <c r="J23" i="2" l="1"/>
  <c r="J22" i="2"/>
  <c r="K25" i="2"/>
  <c r="K23" i="2"/>
  <c r="K22" i="2"/>
  <c r="K24" i="2"/>
  <c r="J24" i="2"/>
</calcChain>
</file>

<file path=xl/connections.xml><?xml version="1.0" encoding="utf-8"?>
<connections xmlns="http://schemas.openxmlformats.org/spreadsheetml/2006/main">
  <connection id="1" name="Conexão" type="4" refreshedVersion="6" background="1" saveData="1">
    <webPr sourceData="1" parsePre="1" consecutive="1" xl2000="1" url="http://notebook/excel/cotacao.html" htmlTables="1">
      <tables count="1">
        <x v="2"/>
      </tables>
    </webPr>
  </connection>
  <connection id="2" name="Conexão1" type="4" refreshedVersion="6" background="1" saveData="1">
    <webPr sourceData="1" parsePre="1" consecutive="1" xl2000="1" url="http://notebook/excel/cotacao.html" htmlTables="1">
      <tables count="1">
        <x v="2"/>
      </tables>
    </webPr>
  </connection>
</connections>
</file>

<file path=xl/sharedStrings.xml><?xml version="1.0" encoding="utf-8"?>
<sst xmlns="http://schemas.openxmlformats.org/spreadsheetml/2006/main" count="136" uniqueCount="93">
  <si>
    <t>Silva</t>
  </si>
  <si>
    <t>de</t>
  </si>
  <si>
    <t>Malaquias</t>
  </si>
  <si>
    <t>Souza</t>
  </si>
  <si>
    <t>Cezar         Pedro</t>
  </si>
  <si>
    <t>Jesus</t>
  </si>
  <si>
    <t>da</t>
  </si>
  <si>
    <t>Antonio</t>
  </si>
  <si>
    <t xml:space="preserve">Mario        Antonio </t>
  </si>
  <si>
    <t>Juliana</t>
  </si>
  <si>
    <t>Simões</t>
  </si>
  <si>
    <t xml:space="preserve">Pedro </t>
  </si>
  <si>
    <t>Almeida</t>
  </si>
  <si>
    <t>Complemento</t>
  </si>
  <si>
    <t>Nome</t>
  </si>
  <si>
    <t>Sobrenome</t>
  </si>
  <si>
    <t xml:space="preserve">josé carlos </t>
  </si>
  <si>
    <t>marisa    Abreu</t>
  </si>
  <si>
    <t>almeida</t>
  </si>
  <si>
    <t>jesus</t>
  </si>
  <si>
    <t>vera</t>
  </si>
  <si>
    <t>mario Paulo</t>
  </si>
  <si>
    <t xml:space="preserve">sheila       maria </t>
  </si>
  <si>
    <t>garcia</t>
  </si>
  <si>
    <t xml:space="preserve">maria      Lourdes </t>
  </si>
  <si>
    <t>abreu</t>
  </si>
  <si>
    <t>juliano</t>
  </si>
  <si>
    <t>wanda          Silva</t>
  </si>
  <si>
    <t>silva</t>
  </si>
  <si>
    <t>abel</t>
  </si>
  <si>
    <t>marinho</t>
  </si>
  <si>
    <t>antonia</t>
  </si>
  <si>
    <t>josefa</t>
  </si>
  <si>
    <t>sonia</t>
  </si>
  <si>
    <t>Empresas Simul &amp; Ação Ltda. - Folha de Pagamento Inteligente</t>
  </si>
  <si>
    <t>Salário mínimo:</t>
  </si>
  <si>
    <t>Mês:</t>
  </si>
  <si>
    <t>Funcionário</t>
  </si>
  <si>
    <t>Cód.Cargo</t>
  </si>
  <si>
    <t>Cargo</t>
  </si>
  <si>
    <t xml:space="preserve">Nr. Sal. </t>
  </si>
  <si>
    <t xml:space="preserve">Sal. Bruto </t>
  </si>
  <si>
    <t>INSS</t>
  </si>
  <si>
    <t>Dep.</t>
  </si>
  <si>
    <t xml:space="preserve">Sal. Fam. </t>
  </si>
  <si>
    <t xml:space="preserve">IRRF </t>
  </si>
  <si>
    <t xml:space="preserve">Tot. Desc. </t>
  </si>
  <si>
    <t xml:space="preserve">Sal. Líq. </t>
  </si>
  <si>
    <t>Cargos</t>
  </si>
  <si>
    <t>Código</t>
  </si>
  <si>
    <t>Salários</t>
  </si>
  <si>
    <t>Análista de Salários</t>
  </si>
  <si>
    <t>Auxiliar de Contabilidade</t>
  </si>
  <si>
    <t>Chefe de Cobrança</t>
  </si>
  <si>
    <t>Chefe de Expedição</t>
  </si>
  <si>
    <t>Contador</t>
  </si>
  <si>
    <t>Diretor de Divisão</t>
  </si>
  <si>
    <t>Auxiliar de Escritório</t>
  </si>
  <si>
    <t>Gerente Comercial</t>
  </si>
  <si>
    <t>Gerente de Pessoal</t>
  </si>
  <si>
    <t>Gerente de Treinamento</t>
  </si>
  <si>
    <t>Gerente Financeiro</t>
  </si>
  <si>
    <t>Contínuo</t>
  </si>
  <si>
    <t>Operador de Computador</t>
  </si>
  <si>
    <t>Programador de Computador</t>
  </si>
  <si>
    <t>Analista de Sistemas</t>
  </si>
  <si>
    <t>Total de Salários Pagos</t>
  </si>
  <si>
    <t>Média de Salários Pagos</t>
  </si>
  <si>
    <t xml:space="preserve">Maior Salário Pago </t>
  </si>
  <si>
    <t>Menor Salário Pago</t>
  </si>
  <si>
    <t>Aliquota</t>
  </si>
  <si>
    <t>De</t>
  </si>
  <si>
    <t>Até</t>
  </si>
  <si>
    <t>em diante</t>
  </si>
  <si>
    <t>IRRF</t>
  </si>
  <si>
    <t>Crachá</t>
  </si>
  <si>
    <t>Cód.Barra</t>
  </si>
  <si>
    <t>Total Bruto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</si>
  <si>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</si>
  <si>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</si>
  <si>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</si>
  <si>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</si>
  <si>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</si>
  <si>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</si>
  <si>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</si>
  <si>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</si>
  <si>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</si>
  <si>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</si>
  <si>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</si>
  <si>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</si>
  <si>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 xml:space="preserve">Janeiro </t>
  </si>
  <si>
    <t xml:space="preserve">Maio </t>
  </si>
  <si>
    <t>Atividade 23/10/2021 (Folha em Dólares)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</si>
</sst>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R$&quot;\ * #,##0.00_-;\-&quot;R$&quot;\ * #,##0.00_-;_-&quot;R$&quot;\ * &quot;-&quot;??_-;_-@_-"/>
    <numFmt numFmtId="164" formatCode="mmmm\,\ yyyy;@"/>
    <numFmt numFmtId="169" formatCode="_-[$$-409]* #,##0.00_ ;_-[$$-409]* \-#,##0.00\ ;_-[$$-409]* &quot;-&quot;??_ ;_-@_ 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Barcode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37">
    <xf numFmtId="0" fontId="0" fillId="0" borderId="0" xfId="0"/>
    <xf numFmtId="0" fontId="1" fillId="0" borderId="0" xfId="0" applyFont="1"/>
    <xf numFmtId="0" fontId="2" fillId="2" borderId="2" xfId="0" applyFont="1" applyFill="1" applyBorder="1"/>
    <xf numFmtId="44" fontId="0" fillId="0" borderId="0" xfId="1" applyFont="1"/>
    <xf numFmtId="0" fontId="1" fillId="0" borderId="0" xfId="0" applyFont="1" applyAlignment="1">
      <alignment horizontal="center"/>
    </xf>
    <xf numFmtId="0" fontId="1" fillId="3" borderId="1" xfId="0" applyFont="1" applyFill="1" applyBorder="1"/>
    <xf numFmtId="0" fontId="0" fillId="3" borderId="2" xfId="0" applyFont="1" applyFill="1" applyBorder="1"/>
    <xf numFmtId="0" fontId="1" fillId="0" borderId="1" xfId="0" applyFont="1" applyBorder="1"/>
    <xf numFmtId="0" fontId="0" fillId="0" borderId="2" xfId="0" applyFont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6" xfId="0" applyFont="1" applyFill="1" applyBorder="1"/>
    <xf numFmtId="0" fontId="1" fillId="0" borderId="7" xfId="0" applyFont="1" applyBorder="1"/>
    <xf numFmtId="0" fontId="0" fillId="0" borderId="8" xfId="0" applyFont="1" applyBorder="1"/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44" fontId="1" fillId="3" borderId="2" xfId="1" applyFont="1" applyFill="1" applyBorder="1"/>
    <xf numFmtId="44" fontId="0" fillId="3" borderId="2" xfId="1" applyFont="1" applyFill="1" applyBorder="1"/>
    <xf numFmtId="44" fontId="1" fillId="3" borderId="3" xfId="1" applyFont="1" applyFill="1" applyBorder="1"/>
    <xf numFmtId="44" fontId="0" fillId="0" borderId="2" xfId="1" applyFont="1" applyBorder="1"/>
    <xf numFmtId="44" fontId="0" fillId="0" borderId="3" xfId="1" applyFont="1" applyBorder="1"/>
    <xf numFmtId="44" fontId="0" fillId="3" borderId="3" xfId="1" applyFont="1" applyFill="1" applyBorder="1"/>
    <xf numFmtId="44" fontId="0" fillId="0" borderId="8" xfId="1" applyFont="1" applyBorder="1"/>
    <xf numFmtId="44" fontId="0" fillId="0" borderId="9" xfId="1" applyFont="1" applyBorder="1"/>
    <xf numFmtId="44" fontId="0" fillId="0" borderId="0" xfId="0" applyNumberFormat="1"/>
    <xf numFmtId="0" fontId="5" fillId="0" borderId="0" xfId="0" applyFont="1"/>
    <xf numFmtId="0" fontId="2" fillId="2" borderId="5" xfId="0" applyFont="1" applyFill="1" applyBorder="1" applyProtection="1">
      <protection locked="0"/>
    </xf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0" xfId="0" applyBorder="1"/>
    <xf numFmtId="0" fontId="6" fillId="0" borderId="10" xfId="0" applyFont="1" applyBorder="1"/>
    <xf numFmtId="44" fontId="6" fillId="0" borderId="0" xfId="0" applyNumberFormat="1" applyFont="1" applyBorder="1"/>
    <xf numFmtId="169" fontId="6" fillId="0" borderId="10" xfId="0" applyNumberFormat="1" applyFont="1" applyBorder="1"/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4">
    <dxf>
      <font>
        <strike val="0"/>
        <outline val="0"/>
        <shadow val="0"/>
        <u val="none"/>
        <vertAlign val="baseline"/>
        <sz val="11"/>
        <color theme="1"/>
        <name val="Barcode"/>
        <scheme val="none"/>
      </font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cotacao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cotacao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abela1" displayName="Tabela1" ref="A5:K25" totalsRowShown="0" headerRowDxfId="3" headerRowBorderDxfId="2" tableBorderDxfId="1">
  <autoFilter ref="A5:K25"/>
  <tableColumns count="11">
    <tableColumn id="1" name="Funcionário"/>
    <tableColumn id="2" name="Cód.Cargo"/>
    <tableColumn id="3" name="Cargo"/>
    <tableColumn id="4" name="Nr. Sal. "/>
    <tableColumn id="5" name="Sal. Bruto "/>
    <tableColumn id="6" name="INSS"/>
    <tableColumn id="7" name="Dep."/>
    <tableColumn id="8" name="Sal. Fam. "/>
    <tableColumn id="9" name="IRRF "/>
    <tableColumn id="10" name="Tot. Desc. "/>
    <tableColumn id="11" name="Sal. Líq.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M5:N21" totalsRowShown="0">
  <autoFilter ref="M5:N21"/>
  <tableColumns count="2">
    <tableColumn id="1" name="Crachá">
      <calculatedColumnFormula>RANDBETWEEN(10000000,99999999)</calculatedColumnFormula>
    </tableColumn>
    <tableColumn id="2" name="Cód.Barra" dataDxfId="0">
      <calculatedColumnFormula>RANDBETWEEN(10000000,99999999)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abSelected="1" topLeftCell="F1" workbookViewId="0">
      <selection activeCell="W31" sqref="W31"/>
    </sheetView>
  </sheetViews>
  <sheetFormatPr defaultRowHeight="15"/>
  <cols>
    <col min="1" max="1" width="23.85546875" customWidth="1"/>
    <col min="2" max="2" width="12.7109375" customWidth="1"/>
    <col min="3" max="3" width="23.85546875" bestFit="1" customWidth="1"/>
    <col min="4" max="4" width="9.85546875" customWidth="1"/>
    <col min="5" max="5" width="14.28515625" bestFit="1" customWidth="1"/>
    <col min="6" max="6" width="13.28515625" bestFit="1" customWidth="1"/>
    <col min="8" max="8" width="12.140625" bestFit="1" customWidth="1"/>
    <col min="9" max="10" width="13.28515625" bestFit="1" customWidth="1"/>
    <col min="11" max="11" width="14.28515625" bestFit="1" customWidth="1"/>
    <col min="13" max="13" width="10.5703125" customWidth="1"/>
    <col min="14" max="14" width="10.140625" bestFit="1" customWidth="1"/>
    <col min="16" max="16" width="10" customWidth="1"/>
    <col min="17" max="20" width="14.7109375" bestFit="1" customWidth="1"/>
  </cols>
  <sheetData>
    <row r="1" spans="1:29">
      <c r="A1" s="29" t="s">
        <v>34</v>
      </c>
      <c r="B1" s="29"/>
      <c r="C1" s="29"/>
      <c r="D1" s="29"/>
      <c r="E1" s="29"/>
      <c r="F1" s="29"/>
      <c r="G1" s="29"/>
      <c r="H1" s="29"/>
      <c r="I1" s="29"/>
      <c r="J1" s="29"/>
      <c r="K1" s="29"/>
    </row>
    <row r="2" spans="1:29">
      <c r="P2" s="36" t="s">
        <v>92</v>
      </c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>
      <c r="A3" t="s">
        <v>35</v>
      </c>
      <c r="B3" s="3">
        <v>1100</v>
      </c>
      <c r="D3" s="27" t="s">
        <v>36</v>
      </c>
      <c r="E3" s="28">
        <f>DATE(2021,10,2)</f>
        <v>44471</v>
      </c>
    </row>
    <row r="5" spans="1:29">
      <c r="A5" s="9" t="s">
        <v>37</v>
      </c>
      <c r="B5" s="26" t="s">
        <v>38</v>
      </c>
      <c r="C5" s="10" t="s">
        <v>39</v>
      </c>
      <c r="D5" s="10" t="s">
        <v>40</v>
      </c>
      <c r="E5" s="10" t="s">
        <v>41</v>
      </c>
      <c r="F5" s="10" t="s">
        <v>42</v>
      </c>
      <c r="G5" s="10" t="s">
        <v>43</v>
      </c>
      <c r="H5" s="10" t="s">
        <v>44</v>
      </c>
      <c r="I5" s="10" t="s">
        <v>45</v>
      </c>
      <c r="J5" s="10" t="s">
        <v>46</v>
      </c>
      <c r="K5" s="11" t="s">
        <v>47</v>
      </c>
      <c r="M5" t="s">
        <v>75</v>
      </c>
      <c r="N5" t="s">
        <v>76</v>
      </c>
      <c r="P5" s="32"/>
      <c r="Q5" s="32">
        <v>2007</v>
      </c>
      <c r="R5" s="32">
        <v>2008</v>
      </c>
      <c r="S5" s="32">
        <v>2009</v>
      </c>
      <c r="T5" s="32">
        <v>2010</v>
      </c>
      <c r="U5" s="32">
        <v>2011</v>
      </c>
      <c r="V5" s="32">
        <v>2012</v>
      </c>
      <c r="W5" s="32">
        <v>2013</v>
      </c>
      <c r="X5" s="32">
        <v>2014</v>
      </c>
      <c r="Y5" s="32">
        <v>2015</v>
      </c>
      <c r="Z5" s="32">
        <v>2016</v>
      </c>
      <c r="AA5" s="32">
        <v>2017</v>
      </c>
      <c r="AB5" s="32">
        <v>2018</v>
      </c>
      <c r="AC5" s="32">
        <v>2019</v>
      </c>
    </row>
    <row r="6" spans="1:29">
      <c r="A6" t="str">
        <f>TRIM(CONCATENATE(PROPER(Funcionários!B2)," ",Funcionários!C2," ", PROPER(Funcionários!A2)))</f>
        <v>José Carlos de Almeida</v>
      </c>
      <c r="B6" s="27">
        <v>2</v>
      </c>
      <c r="C6" t="str">
        <f t="shared" ref="C6:C21" si="0">IF(AND($B6&gt;=1,$B6&lt;=15),VLOOKUP($B6,Cargos,2,FALSE), "Cargo Inexistente")</f>
        <v>Auxiliar de Contabilidade</v>
      </c>
      <c r="D6">
        <f t="shared" ref="D6:D21" si="1">IF(AND($B6&gt;=1,$B6&lt;=15),VLOOKUP($B6,Cargos,3,FALSE), "")</f>
        <v>6</v>
      </c>
      <c r="E6" s="3">
        <f>PRODUCT(D6*B$3)</f>
        <v>6600</v>
      </c>
      <c r="F6" s="24">
        <f t="shared" ref="F6:F21" si="2">VLOOKUP(D6,INSS,3,TRUE)*E6</f>
        <v>462.00000000000006</v>
      </c>
      <c r="G6" s="27">
        <v>1</v>
      </c>
      <c r="H6" s="3">
        <f>IF(C6="ERRO!!!",0,B$3/8*G6)</f>
        <v>137.5</v>
      </c>
      <c r="I6" s="24">
        <f t="shared" ref="I6:I21" si="3">VLOOKUP($G6,IRRF,3,TRUE)*E6</f>
        <v>132</v>
      </c>
      <c r="J6" s="3">
        <f>Tabela1[[#This Row],[INSS]]+Tabela1[[#This Row],[IRRF ]]</f>
        <v>594</v>
      </c>
      <c r="K6" s="24">
        <f>E6-J6</f>
        <v>6006</v>
      </c>
      <c r="M6">
        <f ca="1">RANDBETWEEN(10000000,99999999)</f>
        <v>30139203</v>
      </c>
      <c r="N6" s="25">
        <f ca="1">RANDBETWEEN(10000000,99999999)</f>
        <v>17807188</v>
      </c>
      <c r="P6" s="32" t="s">
        <v>78</v>
      </c>
      <c r="Q6" s="32">
        <v>2.1389999999999998</v>
      </c>
      <c r="R6" s="32">
        <v>1.774</v>
      </c>
      <c r="S6" s="32">
        <v>2.3069999999999999</v>
      </c>
      <c r="T6" s="32">
        <v>1.778</v>
      </c>
      <c r="U6" s="32">
        <v>1.675</v>
      </c>
      <c r="V6" s="32">
        <v>1.7909999999999999</v>
      </c>
      <c r="W6" s="32">
        <v>2.0310000000000001</v>
      </c>
      <c r="X6" s="32">
        <v>2.3820000000000001</v>
      </c>
      <c r="Y6" s="32">
        <v>2.6379999999999999</v>
      </c>
      <c r="Z6" s="32">
        <v>4.0540000000000003</v>
      </c>
      <c r="AA6" s="32">
        <v>3.1970000000000001</v>
      </c>
      <c r="AB6" s="32">
        <v>3.2130000000000001</v>
      </c>
      <c r="AC6" s="32">
        <v>3.7349999999999999</v>
      </c>
    </row>
    <row r="7" spans="1:29">
      <c r="A7" t="str">
        <f>TRIM(CONCATENATE(PROPER(Funcionários!B3)," ",Funcionários!C3," ", PROPER(Funcionários!A3)))</f>
        <v>Marisa Abreu Silva</v>
      </c>
      <c r="B7" s="27">
        <v>2</v>
      </c>
      <c r="C7" t="str">
        <f t="shared" si="0"/>
        <v>Auxiliar de Contabilidade</v>
      </c>
      <c r="D7">
        <f t="shared" si="1"/>
        <v>6</v>
      </c>
      <c r="E7" s="3">
        <f t="shared" ref="E7:E21" si="4">PRODUCT(D7*B$3)</f>
        <v>6600</v>
      </c>
      <c r="F7" s="24">
        <f t="shared" si="2"/>
        <v>462.00000000000006</v>
      </c>
      <c r="G7" s="27">
        <v>2</v>
      </c>
      <c r="H7" s="3">
        <f t="shared" ref="H7:H21" si="5">IF(C7="ERRO!!!",0,B$3/8*G7)</f>
        <v>275</v>
      </c>
      <c r="I7" s="24">
        <f t="shared" si="3"/>
        <v>264</v>
      </c>
      <c r="J7" s="3">
        <f>Tabela1[[#This Row],[INSS]]+Tabela1[[#This Row],[IRRF ]]</f>
        <v>726</v>
      </c>
      <c r="K7" s="24">
        <f t="shared" ref="K7:K21" si="6">E7-J7</f>
        <v>5874</v>
      </c>
      <c r="M7">
        <f t="shared" ref="M7:N21" ca="1" si="7">RANDBETWEEN(10000000,99999999)</f>
        <v>72332097</v>
      </c>
      <c r="N7" s="25">
        <f t="shared" ca="1" si="7"/>
        <v>61960350</v>
      </c>
      <c r="P7" s="32" t="s">
        <v>79</v>
      </c>
      <c r="Q7" s="32">
        <v>2.0960000000000001</v>
      </c>
      <c r="R7" s="32">
        <v>1.728</v>
      </c>
      <c r="S7" s="32">
        <v>2.3130000000000002</v>
      </c>
      <c r="T7" s="32">
        <v>1.8420000000000001</v>
      </c>
      <c r="U7" s="32">
        <v>1.6679999999999999</v>
      </c>
      <c r="V7" s="32">
        <v>1.718</v>
      </c>
      <c r="W7" s="32">
        <v>1.9730000000000001</v>
      </c>
      <c r="X7" s="32">
        <v>2.3839999999999999</v>
      </c>
      <c r="Y7" s="32">
        <v>2.8170000000000002</v>
      </c>
      <c r="Z7" s="32">
        <v>3.9780000000000002</v>
      </c>
      <c r="AA7" s="32">
        <v>3.1030000000000002</v>
      </c>
      <c r="AB7" s="32">
        <v>3.2429999999999999</v>
      </c>
      <c r="AC7" s="32">
        <v>3.718</v>
      </c>
    </row>
    <row r="8" spans="1:29">
      <c r="A8" t="str">
        <f>TRIM(CONCATENATE(PROPER(Funcionários!B4)," ",Funcionários!C4," ", PROPER(Funcionários!A4)))</f>
        <v>Pedro de Almeida</v>
      </c>
      <c r="B8" s="27">
        <v>3</v>
      </c>
      <c r="C8" t="str">
        <f t="shared" si="0"/>
        <v>Chefe de Cobrança</v>
      </c>
      <c r="D8">
        <f t="shared" si="1"/>
        <v>7</v>
      </c>
      <c r="E8" s="3">
        <f t="shared" si="4"/>
        <v>7700</v>
      </c>
      <c r="F8" s="24">
        <f t="shared" si="2"/>
        <v>539</v>
      </c>
      <c r="G8" s="27">
        <v>3</v>
      </c>
      <c r="H8" s="3">
        <f t="shared" si="5"/>
        <v>412.5</v>
      </c>
      <c r="I8" s="24">
        <f t="shared" si="3"/>
        <v>308</v>
      </c>
      <c r="J8" s="3">
        <f>Tabela1[[#This Row],[INSS]]+Tabela1[[#This Row],[IRRF ]]</f>
        <v>847</v>
      </c>
      <c r="K8" s="24">
        <f t="shared" si="6"/>
        <v>6853</v>
      </c>
      <c r="M8">
        <f t="shared" ca="1" si="7"/>
        <v>25112979</v>
      </c>
      <c r="N8" s="25">
        <f t="shared" ca="1" si="7"/>
        <v>21046122</v>
      </c>
      <c r="P8" s="32" t="s">
        <v>80</v>
      </c>
      <c r="Q8" s="32">
        <v>2.089</v>
      </c>
      <c r="R8" s="32">
        <v>1.708</v>
      </c>
      <c r="S8" s="32">
        <v>2.3140000000000001</v>
      </c>
      <c r="T8" s="32">
        <v>1.786</v>
      </c>
      <c r="U8" s="32">
        <v>1.659</v>
      </c>
      <c r="V8" s="32">
        <v>1.7949999999999999</v>
      </c>
      <c r="W8" s="32">
        <v>1.9830000000000001</v>
      </c>
      <c r="X8" s="32">
        <v>2.3260000000000001</v>
      </c>
      <c r="Y8" s="32">
        <v>3.14</v>
      </c>
      <c r="Z8" s="32">
        <v>3.694</v>
      </c>
      <c r="AA8" s="32">
        <v>3.1269999999999998</v>
      </c>
      <c r="AB8" s="32">
        <v>3.2770000000000001</v>
      </c>
      <c r="AC8" s="32">
        <v>3.8370000000000002</v>
      </c>
    </row>
    <row r="9" spans="1:29">
      <c r="A9" t="str">
        <f>TRIM(CONCATENATE(PROPER(Funcionários!B5)," ",Funcionários!C5," ", PROPER(Funcionários!A5)))</f>
        <v>Vera Jesus</v>
      </c>
      <c r="B9" s="27">
        <v>4</v>
      </c>
      <c r="C9" t="str">
        <f t="shared" si="0"/>
        <v>Chefe de Expedição</v>
      </c>
      <c r="D9">
        <f t="shared" si="1"/>
        <v>7</v>
      </c>
      <c r="E9" s="3">
        <f t="shared" si="4"/>
        <v>7700</v>
      </c>
      <c r="F9" s="24">
        <f t="shared" si="2"/>
        <v>539</v>
      </c>
      <c r="G9" s="27">
        <v>0</v>
      </c>
      <c r="H9" s="3">
        <f t="shared" si="5"/>
        <v>0</v>
      </c>
      <c r="I9" s="24">
        <f t="shared" si="3"/>
        <v>154</v>
      </c>
      <c r="J9" s="3">
        <f>Tabela1[[#This Row],[INSS]]+Tabela1[[#This Row],[IRRF ]]</f>
        <v>693</v>
      </c>
      <c r="K9" s="24">
        <f t="shared" si="6"/>
        <v>7007</v>
      </c>
      <c r="M9">
        <f t="shared" ca="1" si="7"/>
        <v>70576078</v>
      </c>
      <c r="N9" s="25">
        <f t="shared" ca="1" si="7"/>
        <v>64084647</v>
      </c>
      <c r="P9" s="32" t="s">
        <v>81</v>
      </c>
      <c r="Q9" s="32">
        <v>2.0329999999999999</v>
      </c>
      <c r="R9" s="32">
        <v>1.6890000000000001</v>
      </c>
      <c r="S9" s="32">
        <v>2.206</v>
      </c>
      <c r="T9" s="32">
        <v>1.7569999999999999</v>
      </c>
      <c r="U9" s="32">
        <v>1.5860000000000001</v>
      </c>
      <c r="V9" s="32">
        <v>1.855</v>
      </c>
      <c r="W9" s="32">
        <v>2.0019999999999998</v>
      </c>
      <c r="X9" s="32">
        <v>2.2330000000000001</v>
      </c>
      <c r="Y9" s="32">
        <v>3.044</v>
      </c>
      <c r="Z9" s="32">
        <v>3.5510000000000002</v>
      </c>
      <c r="AA9" s="32">
        <v>3.14</v>
      </c>
      <c r="AB9" s="32">
        <v>3.4089999999999998</v>
      </c>
      <c r="AC9" s="32"/>
    </row>
    <row r="10" spans="1:29">
      <c r="A10" t="str">
        <f>TRIM(CONCATENATE(PROPER(Funcionários!B6)," ",Funcionários!C6," ", PROPER(Funcionários!A6)))</f>
        <v>Mario Paulo Simões</v>
      </c>
      <c r="B10" s="27">
        <v>5</v>
      </c>
      <c r="C10" t="str">
        <f t="shared" si="0"/>
        <v>Contador</v>
      </c>
      <c r="D10">
        <f t="shared" si="1"/>
        <v>13</v>
      </c>
      <c r="E10" s="3">
        <f t="shared" si="4"/>
        <v>14300</v>
      </c>
      <c r="F10" s="24">
        <f t="shared" si="2"/>
        <v>1430</v>
      </c>
      <c r="G10" s="27">
        <v>0</v>
      </c>
      <c r="H10" s="3">
        <f t="shared" si="5"/>
        <v>0</v>
      </c>
      <c r="I10" s="24">
        <f t="shared" si="3"/>
        <v>286</v>
      </c>
      <c r="J10" s="3">
        <f>Tabela1[[#This Row],[INSS]]+Tabela1[[#This Row],[IRRF ]]</f>
        <v>1716</v>
      </c>
      <c r="K10" s="24">
        <f t="shared" si="6"/>
        <v>12584</v>
      </c>
      <c r="M10">
        <f t="shared" ca="1" si="7"/>
        <v>79446737</v>
      </c>
      <c r="N10" s="25">
        <f t="shared" ca="1" si="7"/>
        <v>11904475</v>
      </c>
      <c r="P10" s="32" t="s">
        <v>82</v>
      </c>
      <c r="Q10" s="32">
        <v>1.982</v>
      </c>
      <c r="R10" s="32">
        <v>1.661</v>
      </c>
      <c r="S10" s="32">
        <v>2.0609999999999999</v>
      </c>
      <c r="T10" s="32">
        <v>1.8129999999999999</v>
      </c>
      <c r="U10" s="32">
        <v>1.6140000000000001</v>
      </c>
      <c r="V10" s="32">
        <v>1.986</v>
      </c>
      <c r="W10" s="32">
        <v>2.0350000000000001</v>
      </c>
      <c r="X10" s="32">
        <v>2.2210000000000001</v>
      </c>
      <c r="Y10" s="32">
        <v>3.0640000000000001</v>
      </c>
      <c r="Z10" s="32">
        <v>3.5489999999999999</v>
      </c>
      <c r="AA10" s="32">
        <v>3.2090000000000001</v>
      </c>
      <c r="AB10" s="32">
        <v>3.6339999999999999</v>
      </c>
      <c r="AC10" s="32"/>
    </row>
    <row r="11" spans="1:29">
      <c r="A11" t="str">
        <f>TRIM(CONCATENATE(PROPER(Funcionários!B7)," ",Funcionários!C7," ", PROPER(Funcionários!A7)))</f>
        <v>Sheila Maria de Souza</v>
      </c>
      <c r="B11" s="27">
        <v>6</v>
      </c>
      <c r="C11" t="str">
        <f t="shared" si="0"/>
        <v>Diretor de Divisão</v>
      </c>
      <c r="D11">
        <f t="shared" si="1"/>
        <v>20</v>
      </c>
      <c r="E11" s="3">
        <f t="shared" si="4"/>
        <v>22000</v>
      </c>
      <c r="F11" s="24">
        <f t="shared" si="2"/>
        <v>2200</v>
      </c>
      <c r="G11" s="27">
        <v>3</v>
      </c>
      <c r="H11" s="3">
        <f t="shared" si="5"/>
        <v>412.5</v>
      </c>
      <c r="I11" s="24">
        <f t="shared" si="3"/>
        <v>880</v>
      </c>
      <c r="J11" s="3">
        <f>Tabela1[[#This Row],[INSS]]+Tabela1[[#This Row],[IRRF ]]</f>
        <v>3080</v>
      </c>
      <c r="K11" s="24">
        <f t="shared" si="6"/>
        <v>18920</v>
      </c>
      <c r="M11">
        <f t="shared" ca="1" si="7"/>
        <v>76561640</v>
      </c>
      <c r="N11" s="25">
        <f t="shared" ca="1" si="7"/>
        <v>40285797</v>
      </c>
      <c r="P11" s="32" t="s">
        <v>83</v>
      </c>
      <c r="Q11" s="32">
        <v>1.9319999999999999</v>
      </c>
      <c r="R11" s="32">
        <v>1.619</v>
      </c>
      <c r="S11" s="32">
        <v>1.958</v>
      </c>
      <c r="T11" s="32">
        <v>1.8069999999999999</v>
      </c>
      <c r="U11" s="32">
        <v>1.587</v>
      </c>
      <c r="V11" s="32">
        <v>2.0489999999999999</v>
      </c>
      <c r="W11" s="32">
        <v>2.173</v>
      </c>
      <c r="X11" s="32">
        <v>2.2360000000000002</v>
      </c>
      <c r="Y11" s="32">
        <v>3.1110000000000002</v>
      </c>
      <c r="Z11" s="32">
        <v>3.4180000000000001</v>
      </c>
      <c r="AA11" s="32">
        <v>3.2970000000000002</v>
      </c>
      <c r="AB11" s="32">
        <v>3.7829999999999999</v>
      </c>
      <c r="AC11" s="32"/>
    </row>
    <row r="12" spans="1:29">
      <c r="A12" t="str">
        <f>TRIM(CONCATENATE(PROPER(Funcionários!B8)," ",Funcionários!C8," ", PROPER(Funcionários!A8)))</f>
        <v>Maria Lourdes Garcia</v>
      </c>
      <c r="B12" s="27">
        <v>5</v>
      </c>
      <c r="C12" t="str">
        <f t="shared" si="0"/>
        <v>Contador</v>
      </c>
      <c r="D12">
        <f t="shared" si="1"/>
        <v>13</v>
      </c>
      <c r="E12" s="3">
        <f t="shared" si="4"/>
        <v>14300</v>
      </c>
      <c r="F12" s="24">
        <f t="shared" si="2"/>
        <v>1430</v>
      </c>
      <c r="G12" s="27">
        <v>4</v>
      </c>
      <c r="H12" s="3">
        <f t="shared" si="5"/>
        <v>550</v>
      </c>
      <c r="I12" s="24">
        <f t="shared" si="3"/>
        <v>858</v>
      </c>
      <c r="J12" s="3">
        <f>Tabela1[[#This Row],[INSS]]+Tabela1[[#This Row],[IRRF ]]</f>
        <v>2288</v>
      </c>
      <c r="K12" s="24">
        <f t="shared" si="6"/>
        <v>12012</v>
      </c>
      <c r="M12">
        <f t="shared" ca="1" si="7"/>
        <v>52759792</v>
      </c>
      <c r="N12" s="25">
        <f t="shared" ca="1" si="7"/>
        <v>83203707</v>
      </c>
      <c r="P12" s="32" t="s">
        <v>84</v>
      </c>
      <c r="Q12" s="32">
        <v>1.8819999999999999</v>
      </c>
      <c r="R12" s="32">
        <v>1.591</v>
      </c>
      <c r="S12" s="32">
        <v>1.93</v>
      </c>
      <c r="T12" s="32">
        <v>1.77</v>
      </c>
      <c r="U12" s="32">
        <v>1.5640000000000001</v>
      </c>
      <c r="V12" s="32">
        <v>2.0289999999999999</v>
      </c>
      <c r="W12" s="32">
        <v>2.2519999999999998</v>
      </c>
      <c r="X12" s="32">
        <v>2.2250000000000001</v>
      </c>
      <c r="Y12" s="32">
        <v>3.2240000000000002</v>
      </c>
      <c r="Z12" s="32">
        <v>3.278</v>
      </c>
      <c r="AA12" s="32">
        <v>3.2050000000000001</v>
      </c>
      <c r="AB12" s="32">
        <v>3.823</v>
      </c>
      <c r="AC12" s="32"/>
    </row>
    <row r="13" spans="1:29">
      <c r="A13" t="str">
        <f>TRIM(CONCATENATE(PROPER(Funcionários!B9)," ",Funcionários!C9," ", PROPER(Funcionários!A9)))</f>
        <v>Juliana da Silva</v>
      </c>
      <c r="B13" s="27">
        <v>6</v>
      </c>
      <c r="C13" t="str">
        <f t="shared" si="0"/>
        <v>Diretor de Divisão</v>
      </c>
      <c r="D13">
        <f t="shared" si="1"/>
        <v>20</v>
      </c>
      <c r="E13" s="3">
        <f t="shared" si="4"/>
        <v>22000</v>
      </c>
      <c r="F13" s="24">
        <f t="shared" si="2"/>
        <v>2200</v>
      </c>
      <c r="G13" s="27">
        <v>0</v>
      </c>
      <c r="H13" s="3">
        <f t="shared" si="5"/>
        <v>0</v>
      </c>
      <c r="I13" s="24">
        <f t="shared" si="3"/>
        <v>440</v>
      </c>
      <c r="J13" s="3">
        <f>Tabela1[[#This Row],[INSS]]+Tabela1[[#This Row],[IRRF ]]</f>
        <v>2640</v>
      </c>
      <c r="K13" s="24">
        <f t="shared" si="6"/>
        <v>19360</v>
      </c>
      <c r="M13">
        <f t="shared" ca="1" si="7"/>
        <v>21852729</v>
      </c>
      <c r="N13" s="25">
        <f t="shared" ca="1" si="7"/>
        <v>99612392</v>
      </c>
      <c r="P13" s="32" t="s">
        <v>85</v>
      </c>
      <c r="Q13" s="32">
        <v>1.966</v>
      </c>
      <c r="R13" s="32">
        <v>1.6120000000000001</v>
      </c>
      <c r="S13" s="32">
        <v>1.845</v>
      </c>
      <c r="T13" s="32">
        <v>1.76</v>
      </c>
      <c r="U13" s="32">
        <v>1.597</v>
      </c>
      <c r="V13" s="32">
        <v>2.0289999999999999</v>
      </c>
      <c r="W13" s="32">
        <v>2.3420000000000001</v>
      </c>
      <c r="X13" s="32">
        <v>2.2679999999999998</v>
      </c>
      <c r="Y13" s="32">
        <v>3.5150000000000001</v>
      </c>
      <c r="Z13" s="32">
        <v>3.2080000000000002</v>
      </c>
      <c r="AA13" s="32">
        <v>3.153</v>
      </c>
      <c r="AB13" s="32">
        <v>3.9329999999999998</v>
      </c>
      <c r="AC13" s="32"/>
    </row>
    <row r="14" spans="1:29">
      <c r="A14" t="str">
        <f>TRIM(CONCATENATE(PROPER(Funcionários!B10)," ",Funcionários!C10," ", PROPER(Funcionários!A10)))</f>
        <v>Mario Antonio de Abreu</v>
      </c>
      <c r="B14" s="27">
        <v>2</v>
      </c>
      <c r="C14" t="str">
        <f t="shared" si="0"/>
        <v>Auxiliar de Contabilidade</v>
      </c>
      <c r="D14">
        <f t="shared" si="1"/>
        <v>6</v>
      </c>
      <c r="E14" s="3">
        <f t="shared" si="4"/>
        <v>6600</v>
      </c>
      <c r="F14" s="24">
        <f t="shared" si="2"/>
        <v>462.00000000000006</v>
      </c>
      <c r="G14" s="27">
        <v>2</v>
      </c>
      <c r="H14" s="3">
        <f t="shared" si="5"/>
        <v>275</v>
      </c>
      <c r="I14" s="24">
        <f t="shared" si="3"/>
        <v>264</v>
      </c>
      <c r="J14" s="3">
        <f>Tabela1[[#This Row],[INSS]]+Tabela1[[#This Row],[IRRF ]]</f>
        <v>726</v>
      </c>
      <c r="K14" s="24">
        <f t="shared" si="6"/>
        <v>5874</v>
      </c>
      <c r="M14">
        <f t="shared" ca="1" si="7"/>
        <v>28397869</v>
      </c>
      <c r="N14" s="25">
        <f t="shared" ca="1" si="7"/>
        <v>75497561</v>
      </c>
      <c r="P14" s="32" t="s">
        <v>86</v>
      </c>
      <c r="Q14" s="32">
        <v>1.9</v>
      </c>
      <c r="R14" s="32">
        <v>1.8</v>
      </c>
      <c r="S14" s="32">
        <v>1.82</v>
      </c>
      <c r="T14" s="32">
        <v>1.7190000000000001</v>
      </c>
      <c r="U14" s="32">
        <v>1.75</v>
      </c>
      <c r="V14" s="32">
        <v>2.028</v>
      </c>
      <c r="W14" s="32">
        <v>2.27</v>
      </c>
      <c r="X14" s="32">
        <v>2.3330000000000002</v>
      </c>
      <c r="Y14" s="32">
        <v>3.8959999999999999</v>
      </c>
      <c r="Z14" s="32">
        <v>3.2559999999999998</v>
      </c>
      <c r="AA14" s="32">
        <v>3.1379999999999999</v>
      </c>
      <c r="AB14" s="32">
        <v>4.1079999999999997</v>
      </c>
      <c r="AC14" s="32"/>
    </row>
    <row r="15" spans="1:29">
      <c r="A15" t="str">
        <f>TRIM(CONCATENATE(PROPER(Funcionários!B11)," ",Funcionários!C11," ", PROPER(Funcionários!A11)))</f>
        <v>Wanda Silva Juliano</v>
      </c>
      <c r="B15" s="27">
        <v>3</v>
      </c>
      <c r="C15" t="str">
        <f t="shared" si="0"/>
        <v>Chefe de Cobrança</v>
      </c>
      <c r="D15">
        <f t="shared" si="1"/>
        <v>7</v>
      </c>
      <c r="E15" s="3">
        <f t="shared" si="4"/>
        <v>7700</v>
      </c>
      <c r="F15" s="24">
        <f t="shared" si="2"/>
        <v>539</v>
      </c>
      <c r="G15" s="27">
        <v>1</v>
      </c>
      <c r="H15" s="3">
        <f t="shared" si="5"/>
        <v>137.5</v>
      </c>
      <c r="I15" s="24">
        <f t="shared" si="3"/>
        <v>154</v>
      </c>
      <c r="J15" s="3">
        <f>Tabela1[[#This Row],[INSS]]+Tabela1[[#This Row],[IRRF ]]</f>
        <v>693</v>
      </c>
      <c r="K15" s="24">
        <f t="shared" si="6"/>
        <v>7007</v>
      </c>
      <c r="M15">
        <f t="shared" ca="1" si="7"/>
        <v>44217604</v>
      </c>
      <c r="N15" s="25">
        <f t="shared" ca="1" si="7"/>
        <v>76123393</v>
      </c>
      <c r="P15" s="32" t="s">
        <v>87</v>
      </c>
      <c r="Q15" s="32">
        <v>1.8009999999999999</v>
      </c>
      <c r="R15" s="32">
        <v>2.173</v>
      </c>
      <c r="S15" s="32">
        <v>1.738</v>
      </c>
      <c r="T15" s="32">
        <v>1.6839999999999999</v>
      </c>
      <c r="U15" s="32">
        <v>1.7729999999999999</v>
      </c>
      <c r="V15" s="32">
        <v>2.0289999999999999</v>
      </c>
      <c r="W15" s="32">
        <v>2.1890000000000001</v>
      </c>
      <c r="X15" s="32">
        <v>2.448</v>
      </c>
      <c r="Y15" s="32">
        <v>3.8759999999999999</v>
      </c>
      <c r="Z15" s="32">
        <v>3.1859999999999999</v>
      </c>
      <c r="AA15" s="32">
        <v>3.1960000000000002</v>
      </c>
      <c r="AB15" s="32">
        <v>3.7610000000000001</v>
      </c>
      <c r="AC15" s="32"/>
    </row>
    <row r="16" spans="1:29">
      <c r="A16" t="str">
        <f>TRIM(CONCATENATE(PROPER(Funcionários!B12)," ",Funcionários!C12," ", PROPER(Funcionários!A12)))</f>
        <v>Antonio da Silva</v>
      </c>
      <c r="B16" s="27">
        <v>4</v>
      </c>
      <c r="C16" t="str">
        <f t="shared" si="0"/>
        <v>Chefe de Expedição</v>
      </c>
      <c r="D16">
        <f t="shared" si="1"/>
        <v>7</v>
      </c>
      <c r="E16" s="3">
        <f t="shared" si="4"/>
        <v>7700</v>
      </c>
      <c r="F16" s="24">
        <f t="shared" si="2"/>
        <v>539</v>
      </c>
      <c r="G16" s="27">
        <v>1</v>
      </c>
      <c r="H16" s="3">
        <f t="shared" si="5"/>
        <v>137.5</v>
      </c>
      <c r="I16" s="24">
        <f t="shared" si="3"/>
        <v>154</v>
      </c>
      <c r="J16" s="3">
        <f>Tabela1[[#This Row],[INSS]]+Tabela1[[#This Row],[IRRF ]]</f>
        <v>693</v>
      </c>
      <c r="K16" s="24">
        <f t="shared" si="6"/>
        <v>7007</v>
      </c>
      <c r="M16">
        <f t="shared" ca="1" si="7"/>
        <v>85992525</v>
      </c>
      <c r="N16" s="25">
        <f t="shared" ca="1" si="7"/>
        <v>68460042</v>
      </c>
      <c r="P16" s="32" t="s">
        <v>88</v>
      </c>
      <c r="Q16" s="32">
        <v>1.77</v>
      </c>
      <c r="R16" s="32">
        <v>2.266</v>
      </c>
      <c r="S16" s="32">
        <v>1.726</v>
      </c>
      <c r="T16" s="32">
        <v>1.7130000000000001</v>
      </c>
      <c r="U16" s="32">
        <v>1.7909999999999999</v>
      </c>
      <c r="V16" s="32">
        <v>2.0670000000000002</v>
      </c>
      <c r="W16" s="32">
        <v>2.2970000000000002</v>
      </c>
      <c r="X16" s="32">
        <v>2.5379999999999998</v>
      </c>
      <c r="Y16" s="32">
        <v>3.778</v>
      </c>
      <c r="Z16" s="32">
        <v>3.339</v>
      </c>
      <c r="AA16" s="32">
        <v>3.2570000000000001</v>
      </c>
      <c r="AB16" s="32">
        <v>3.7879999999999998</v>
      </c>
      <c r="AC16" s="32"/>
    </row>
    <row r="17" spans="1:29">
      <c r="A17" t="str">
        <f>TRIM(CONCATENATE(PROPER(Funcionários!B13)," ",Funcionários!C13," ", PROPER(Funcionários!A13)))</f>
        <v>Cezar Pedro de Jesus</v>
      </c>
      <c r="B17" s="27">
        <v>5</v>
      </c>
      <c r="C17" t="str">
        <f t="shared" si="0"/>
        <v>Contador</v>
      </c>
      <c r="D17">
        <f t="shared" si="1"/>
        <v>13</v>
      </c>
      <c r="E17" s="3">
        <f t="shared" si="4"/>
        <v>14300</v>
      </c>
      <c r="F17" s="24">
        <f t="shared" si="2"/>
        <v>1430</v>
      </c>
      <c r="G17" s="27">
        <v>0</v>
      </c>
      <c r="H17" s="3">
        <f t="shared" si="5"/>
        <v>0</v>
      </c>
      <c r="I17" s="24">
        <f t="shared" si="3"/>
        <v>286</v>
      </c>
      <c r="J17" s="3">
        <f>Tabela1[[#This Row],[INSS]]+Tabela1[[#This Row],[IRRF ]]</f>
        <v>1716</v>
      </c>
      <c r="K17" s="24">
        <f t="shared" si="6"/>
        <v>12584</v>
      </c>
      <c r="M17">
        <f t="shared" ca="1" si="7"/>
        <v>67315428</v>
      </c>
      <c r="N17" s="25">
        <f t="shared" ca="1" si="7"/>
        <v>42229429</v>
      </c>
      <c r="P17" s="32" t="s">
        <v>89</v>
      </c>
      <c r="Q17" s="32">
        <v>1.7869999999999999</v>
      </c>
      <c r="R17" s="32">
        <v>2.3980000000000001</v>
      </c>
      <c r="S17" s="32">
        <v>1.7509999999999999</v>
      </c>
      <c r="T17" s="32">
        <v>1.6950000000000001</v>
      </c>
      <c r="U17" s="32">
        <v>1.837</v>
      </c>
      <c r="V17" s="32">
        <v>2.08</v>
      </c>
      <c r="W17" s="32">
        <v>2.3450000000000002</v>
      </c>
      <c r="X17" s="32">
        <v>2.6440000000000001</v>
      </c>
      <c r="Y17" s="32">
        <v>3.8690000000000002</v>
      </c>
      <c r="Z17" s="32">
        <v>3.351</v>
      </c>
      <c r="AA17" s="32">
        <v>3.2970000000000002</v>
      </c>
      <c r="AB17" s="32">
        <v>3.8839999999999999</v>
      </c>
      <c r="AC17" s="32"/>
    </row>
    <row r="18" spans="1:29">
      <c r="A18" t="str">
        <f>TRIM(CONCATENATE(PROPER(Funcionários!B14)," ",Funcionários!C14," ", PROPER(Funcionários!A14)))</f>
        <v>Abel de Souza</v>
      </c>
      <c r="B18" s="27">
        <v>1</v>
      </c>
      <c r="C18" t="str">
        <f t="shared" si="0"/>
        <v>Análista de Salários</v>
      </c>
      <c r="D18">
        <f t="shared" si="1"/>
        <v>10</v>
      </c>
      <c r="E18" s="3">
        <f t="shared" si="4"/>
        <v>11000</v>
      </c>
      <c r="F18" s="24">
        <f t="shared" si="2"/>
        <v>935.00000000000011</v>
      </c>
      <c r="G18" s="27">
        <v>3</v>
      </c>
      <c r="H18" s="3">
        <f t="shared" si="5"/>
        <v>412.5</v>
      </c>
      <c r="I18" s="24">
        <f t="shared" si="3"/>
        <v>440</v>
      </c>
      <c r="J18" s="3">
        <f>Tabela1[[#This Row],[INSS]]+Tabela1[[#This Row],[IRRF ]]</f>
        <v>1375</v>
      </c>
      <c r="K18" s="24">
        <f t="shared" si="6"/>
        <v>9625</v>
      </c>
      <c r="M18">
        <f t="shared" ca="1" si="7"/>
        <v>35835166</v>
      </c>
      <c r="N18" s="25">
        <f t="shared" ca="1" si="7"/>
        <v>73118927</v>
      </c>
    </row>
    <row r="19" spans="1:29">
      <c r="A19" t="str">
        <f>TRIM(CONCATENATE(PROPER(Funcionários!B15)," ",Funcionários!C15," ", PROPER(Funcionários!A15)))</f>
        <v>Antonia de Marinho</v>
      </c>
      <c r="B19" s="27">
        <v>2</v>
      </c>
      <c r="C19" t="str">
        <f t="shared" si="0"/>
        <v>Auxiliar de Contabilidade</v>
      </c>
      <c r="D19">
        <f t="shared" si="1"/>
        <v>6</v>
      </c>
      <c r="E19" s="3">
        <f t="shared" si="4"/>
        <v>6600</v>
      </c>
      <c r="F19" s="24">
        <f t="shared" si="2"/>
        <v>462.00000000000006</v>
      </c>
      <c r="G19" s="27">
        <v>2</v>
      </c>
      <c r="H19" s="3">
        <f t="shared" si="5"/>
        <v>275</v>
      </c>
      <c r="I19" s="24">
        <f t="shared" si="3"/>
        <v>264</v>
      </c>
      <c r="J19" s="3">
        <f>Tabela1[[#This Row],[INSS]]+Tabela1[[#This Row],[IRRF ]]</f>
        <v>726</v>
      </c>
      <c r="K19" s="24">
        <f t="shared" si="6"/>
        <v>5874</v>
      </c>
      <c r="M19">
        <f t="shared" ca="1" si="7"/>
        <v>77901387</v>
      </c>
      <c r="N19" s="25">
        <f t="shared" ca="1" si="7"/>
        <v>47266502</v>
      </c>
    </row>
    <row r="20" spans="1:29" ht="15.75">
      <c r="A20" t="str">
        <f>TRIM(CONCATENATE(PROPER(Funcionários!B16)," ",Funcionários!C16," ", PROPER(Funcionários!A16)))</f>
        <v>Josefa de Malaquias</v>
      </c>
      <c r="B20" s="27">
        <v>3</v>
      </c>
      <c r="C20" t="str">
        <f t="shared" si="0"/>
        <v>Chefe de Cobrança</v>
      </c>
      <c r="D20">
        <f t="shared" si="1"/>
        <v>7</v>
      </c>
      <c r="E20" s="3">
        <f t="shared" si="4"/>
        <v>7700</v>
      </c>
      <c r="F20" s="24">
        <f t="shared" si="2"/>
        <v>539</v>
      </c>
      <c r="G20" s="27">
        <v>0</v>
      </c>
      <c r="H20" s="3">
        <f t="shared" si="5"/>
        <v>0</v>
      </c>
      <c r="I20" s="24">
        <f t="shared" si="3"/>
        <v>154</v>
      </c>
      <c r="J20" s="3">
        <f>Tabela1[[#This Row],[INSS]]+Tabela1[[#This Row],[IRRF ]]</f>
        <v>693</v>
      </c>
      <c r="K20" s="24">
        <f t="shared" si="6"/>
        <v>7007</v>
      </c>
      <c r="M20">
        <f t="shared" ca="1" si="7"/>
        <v>23504642</v>
      </c>
      <c r="N20" s="25">
        <f t="shared" ca="1" si="7"/>
        <v>81306989</v>
      </c>
      <c r="P20" s="33"/>
      <c r="Q20" s="33">
        <v>2016</v>
      </c>
      <c r="R20" s="33">
        <v>2017</v>
      </c>
      <c r="S20" s="33">
        <v>2018</v>
      </c>
      <c r="T20" s="33">
        <v>2019</v>
      </c>
    </row>
    <row r="21" spans="1:29" ht="15.75">
      <c r="A21" t="str">
        <f>TRIM(CONCATENATE(PROPER(Funcionários!B17)," ",Funcionários!C17," ", PROPER(Funcionários!A17)))</f>
        <v>Sonia Silva</v>
      </c>
      <c r="B21" s="27">
        <v>6</v>
      </c>
      <c r="C21" t="str">
        <f t="shared" si="0"/>
        <v>Diretor de Divisão</v>
      </c>
      <c r="D21">
        <f t="shared" si="1"/>
        <v>20</v>
      </c>
      <c r="E21" s="3">
        <f t="shared" si="4"/>
        <v>22000</v>
      </c>
      <c r="F21" s="24">
        <f t="shared" si="2"/>
        <v>2200</v>
      </c>
      <c r="G21" s="27">
        <v>1</v>
      </c>
      <c r="H21" s="3">
        <f t="shared" si="5"/>
        <v>137.5</v>
      </c>
      <c r="I21" s="24">
        <f t="shared" si="3"/>
        <v>440</v>
      </c>
      <c r="J21" s="3">
        <f>Tabela1[[#This Row],[INSS]]+Tabela1[[#This Row],[IRRF ]]</f>
        <v>2640</v>
      </c>
      <c r="K21" s="24">
        <f t="shared" si="6"/>
        <v>19360</v>
      </c>
      <c r="M21">
        <f t="shared" ca="1" si="7"/>
        <v>99720005</v>
      </c>
      <c r="N21" s="25">
        <f t="shared" ca="1" si="7"/>
        <v>61808184</v>
      </c>
      <c r="P21" s="33" t="s">
        <v>90</v>
      </c>
      <c r="Q21" s="35">
        <f>E$22/Z6</f>
        <v>45584.607794770593</v>
      </c>
      <c r="R21" s="35">
        <f>E$22/AA6</f>
        <v>57804.191429465121</v>
      </c>
      <c r="S21" s="35">
        <f>E$22/AB6</f>
        <v>57516.339869281044</v>
      </c>
      <c r="T21" s="35">
        <f>E$22/AC6</f>
        <v>49477.911646586348</v>
      </c>
    </row>
    <row r="22" spans="1:29" ht="15.75">
      <c r="A22" s="5" t="s">
        <v>66</v>
      </c>
      <c r="B22" s="6"/>
      <c r="C22" s="6"/>
      <c r="D22" s="6"/>
      <c r="E22" s="16">
        <f>SUM(SalariosBrutos)</f>
        <v>184800</v>
      </c>
      <c r="F22" s="17">
        <f>SUM(INSSs)</f>
        <v>16368</v>
      </c>
      <c r="G22" s="17"/>
      <c r="H22" s="17">
        <f>SUM(H6:H21)</f>
        <v>3162.5</v>
      </c>
      <c r="I22" s="17">
        <f>SUM(I6:I21)</f>
        <v>5478</v>
      </c>
      <c r="J22" s="17">
        <f>SUM(J6:J21)</f>
        <v>21846</v>
      </c>
      <c r="K22" s="18">
        <f>SUM(SalariosLiquidos)</f>
        <v>162954</v>
      </c>
      <c r="P22" s="33" t="s">
        <v>79</v>
      </c>
      <c r="Q22" s="35">
        <f t="shared" ref="Q22:Q32" si="8">E$22/Z7</f>
        <v>46455.505279034689</v>
      </c>
      <c r="R22" s="35">
        <f t="shared" ref="R22:R32" si="9">E$22/AA7</f>
        <v>59555.269094424744</v>
      </c>
      <c r="S22" s="35">
        <f t="shared" ref="S22:S32" si="10">E$22/AB7</f>
        <v>56984.273820536546</v>
      </c>
      <c r="T22" s="35">
        <f t="shared" ref="T22:T32" si="11">E$22/AC7</f>
        <v>49704.142011834323</v>
      </c>
    </row>
    <row r="23" spans="1:29" ht="15.75">
      <c r="A23" s="7" t="s">
        <v>67</v>
      </c>
      <c r="B23" s="8"/>
      <c r="C23" s="8"/>
      <c r="D23" s="8"/>
      <c r="E23" s="19">
        <f>AVERAGE(E6:E21)</f>
        <v>11550</v>
      </c>
      <c r="F23" s="19">
        <f>AVERAGE(F6:F21)</f>
        <v>1023</v>
      </c>
      <c r="G23" s="19"/>
      <c r="H23" s="19">
        <f>AVERAGE(H6:H21)</f>
        <v>197.65625</v>
      </c>
      <c r="I23" s="19">
        <f>AVERAGE(I6:I21)</f>
        <v>342.375</v>
      </c>
      <c r="J23" s="19">
        <f>AVERAGE(J6:J21)</f>
        <v>1365.375</v>
      </c>
      <c r="K23" s="20">
        <f>AVERAGE(K6:K21)</f>
        <v>10184.625</v>
      </c>
      <c r="P23" s="33" t="s">
        <v>80</v>
      </c>
      <c r="Q23" s="35">
        <f t="shared" si="8"/>
        <v>50027.070925825661</v>
      </c>
      <c r="R23" s="35">
        <f t="shared" si="9"/>
        <v>59098.177166613372</v>
      </c>
      <c r="S23" s="35">
        <f t="shared" si="10"/>
        <v>56393.04241684467</v>
      </c>
      <c r="T23" s="35">
        <f t="shared" si="11"/>
        <v>48162.627052384676</v>
      </c>
    </row>
    <row r="24" spans="1:29" ht="15.75">
      <c r="A24" s="5" t="s">
        <v>68</v>
      </c>
      <c r="B24" s="6"/>
      <c r="C24" s="6"/>
      <c r="D24" s="6"/>
      <c r="E24" s="17">
        <f>MAX(E6:E21)</f>
        <v>22000</v>
      </c>
      <c r="F24" s="17">
        <f>MAX(F6:F21)</f>
        <v>2200</v>
      </c>
      <c r="G24" s="17"/>
      <c r="H24" s="17">
        <f>MAX(H6:H21)</f>
        <v>550</v>
      </c>
      <c r="I24" s="17">
        <f>MAX(I6:I21)</f>
        <v>880</v>
      </c>
      <c r="J24" s="17">
        <f>MAX(J6:J21)</f>
        <v>3080</v>
      </c>
      <c r="K24" s="21">
        <f>MAX(K6:K21)</f>
        <v>19360</v>
      </c>
      <c r="P24" s="33" t="s">
        <v>81</v>
      </c>
      <c r="Q24" s="35">
        <f t="shared" si="8"/>
        <v>52041.678400450575</v>
      </c>
      <c r="R24" s="35">
        <f t="shared" si="9"/>
        <v>58853.503184713372</v>
      </c>
      <c r="S24" s="35">
        <f t="shared" si="10"/>
        <v>54209.44558521561</v>
      </c>
      <c r="T24" s="34"/>
    </row>
    <row r="25" spans="1:29" ht="15.75">
      <c r="A25" s="12" t="s">
        <v>69</v>
      </c>
      <c r="B25" s="13"/>
      <c r="C25" s="13"/>
      <c r="D25" s="13"/>
      <c r="E25" s="22">
        <f>MIN(E6:E21)</f>
        <v>6600</v>
      </c>
      <c r="F25" s="22">
        <f>MIN(F6:F21)</f>
        <v>462.00000000000006</v>
      </c>
      <c r="G25" s="22"/>
      <c r="H25" s="22">
        <f>MIN(H6:H21)</f>
        <v>0</v>
      </c>
      <c r="I25" s="22">
        <f>MIN(I6:I21)</f>
        <v>132</v>
      </c>
      <c r="J25" s="22">
        <f>MIN(J6:J21)</f>
        <v>594</v>
      </c>
      <c r="K25" s="23">
        <f>MIN(K6:K21)</f>
        <v>5874</v>
      </c>
      <c r="P25" s="33" t="s">
        <v>91</v>
      </c>
      <c r="Q25" s="35">
        <f t="shared" si="8"/>
        <v>52071.005917159768</v>
      </c>
      <c r="R25" s="35">
        <f t="shared" si="9"/>
        <v>57588.033655344341</v>
      </c>
      <c r="S25" s="35">
        <f t="shared" si="10"/>
        <v>50853.054485415523</v>
      </c>
      <c r="T25" s="34"/>
    </row>
    <row r="26" spans="1:29" ht="15.75">
      <c r="P26" s="33" t="s">
        <v>83</v>
      </c>
      <c r="Q26" s="35">
        <f t="shared" si="8"/>
        <v>54066.705675833822</v>
      </c>
      <c r="R26" s="35">
        <f t="shared" si="9"/>
        <v>56050.955414012737</v>
      </c>
      <c r="S26" s="35">
        <f t="shared" si="10"/>
        <v>48850.118953211735</v>
      </c>
      <c r="T26" s="34"/>
    </row>
    <row r="27" spans="1:29" ht="15.75">
      <c r="P27" s="33" t="s">
        <v>84</v>
      </c>
      <c r="Q27" s="35">
        <f t="shared" si="8"/>
        <v>56375.838926174496</v>
      </c>
      <c r="R27" s="35">
        <f t="shared" si="9"/>
        <v>57659.90639625585</v>
      </c>
      <c r="S27" s="35">
        <f t="shared" si="10"/>
        <v>48339.000784724041</v>
      </c>
      <c r="T27" s="34"/>
    </row>
    <row r="28" spans="1:29" ht="15.75">
      <c r="P28" s="33" t="s">
        <v>85</v>
      </c>
      <c r="Q28" s="35">
        <f t="shared" si="8"/>
        <v>57605.985037406477</v>
      </c>
      <c r="R28" s="35">
        <f t="shared" si="9"/>
        <v>58610.846812559466</v>
      </c>
      <c r="S28" s="35">
        <f t="shared" si="10"/>
        <v>46987.032799389781</v>
      </c>
      <c r="T28" s="34"/>
    </row>
    <row r="29" spans="1:29" ht="15.75">
      <c r="P29" s="33" t="s">
        <v>86</v>
      </c>
      <c r="Q29" s="35">
        <f t="shared" si="8"/>
        <v>56756.75675675676</v>
      </c>
      <c r="R29" s="35">
        <f t="shared" si="9"/>
        <v>58891.013384321224</v>
      </c>
      <c r="S29" s="35">
        <f t="shared" si="10"/>
        <v>44985.394352482966</v>
      </c>
      <c r="T29" s="34"/>
    </row>
    <row r="30" spans="1:29" ht="15.75">
      <c r="P30" s="33" t="s">
        <v>87</v>
      </c>
      <c r="Q30" s="35">
        <f t="shared" si="8"/>
        <v>58003.766478342754</v>
      </c>
      <c r="R30" s="35">
        <f t="shared" si="9"/>
        <v>57822.277847309131</v>
      </c>
      <c r="S30" s="35">
        <f t="shared" si="10"/>
        <v>49135.868120180799</v>
      </c>
      <c r="T30" s="34"/>
    </row>
    <row r="31" spans="1:29" ht="15.75">
      <c r="P31" s="33" t="s">
        <v>88</v>
      </c>
      <c r="Q31" s="35">
        <f t="shared" si="8"/>
        <v>55345.911949685535</v>
      </c>
      <c r="R31" s="35">
        <f t="shared" si="9"/>
        <v>56739.330672397911</v>
      </c>
      <c r="S31" s="35">
        <f t="shared" si="10"/>
        <v>48785.638859556493</v>
      </c>
      <c r="T31" s="34"/>
    </row>
    <row r="32" spans="1:29" ht="15.75">
      <c r="P32" s="33" t="s">
        <v>89</v>
      </c>
      <c r="Q32" s="35">
        <f t="shared" si="8"/>
        <v>55147.717099373323</v>
      </c>
      <c r="R32" s="35">
        <f t="shared" si="9"/>
        <v>56050.955414012737</v>
      </c>
      <c r="S32" s="35">
        <f t="shared" si="10"/>
        <v>47579.814624098872</v>
      </c>
      <c r="T32" s="34"/>
    </row>
  </sheetData>
  <sheetProtection selectLockedCells="1"/>
  <mergeCells count="2">
    <mergeCell ref="A1:K1"/>
    <mergeCell ref="P2:AC2"/>
  </mergeCells>
  <dataValidations xWindow="742" yWindow="342" count="1">
    <dataValidation type="custom" allowBlank="1" showInputMessage="1" showErrorMessage="1" error="O número de dependentes ultrapassou os parâmetros" prompt="A quantidade de dependentes não pode causar um salário família maior que 10% do salário bruto do funcionário" sqref="G6:G21">
      <formula1>G6*H6&lt;(0.1*E6)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xWindow="742" yWindow="342" count="1">
        <x14:dataValidation type="list" errorStyle="warning" allowBlank="1" showInputMessage="1" showErrorMessage="1" error="Verifique novamente os dados" promptTitle="Atenção" prompt="Se atente ao códigos">
          <x14:formula1>
            <xm:f>Cargos!$A$3:$A$17</xm:f>
          </x14:formula1>
          <xm:sqref>B6:B21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sqref="A1:N13"/>
    </sheetView>
  </sheetViews>
  <sheetFormatPr defaultRowHeight="15"/>
  <cols>
    <col min="1" max="1" width="10.42578125" bestFit="1" customWidth="1"/>
    <col min="2" max="14" width="6" bestFit="1" customWidth="1"/>
    <col min="17" max="17" width="13.42578125" bestFit="1" customWidth="1"/>
  </cols>
  <sheetData>
    <row r="1" spans="1:14">
      <c r="A1" s="32"/>
      <c r="B1" s="32">
        <v>2007</v>
      </c>
      <c r="C1" s="32">
        <v>2008</v>
      </c>
      <c r="D1" s="32">
        <v>2009</v>
      </c>
      <c r="E1" s="32">
        <v>2010</v>
      </c>
      <c r="F1" s="32">
        <v>2011</v>
      </c>
      <c r="G1" s="32">
        <v>2012</v>
      </c>
      <c r="H1" s="32">
        <v>2013</v>
      </c>
      <c r="I1" s="32">
        <v>2014</v>
      </c>
      <c r="J1" s="32">
        <v>2015</v>
      </c>
      <c r="K1" s="32">
        <v>2016</v>
      </c>
      <c r="L1" s="32">
        <v>2017</v>
      </c>
      <c r="M1" s="32">
        <v>2018</v>
      </c>
      <c r="N1" s="32">
        <v>2019</v>
      </c>
    </row>
    <row r="2" spans="1:14">
      <c r="A2" s="32" t="s">
        <v>78</v>
      </c>
      <c r="B2" s="32">
        <v>2.1389999999999998</v>
      </c>
      <c r="C2" s="32">
        <v>1.774</v>
      </c>
      <c r="D2" s="32">
        <v>2.3069999999999999</v>
      </c>
      <c r="E2" s="32">
        <v>1.778</v>
      </c>
      <c r="F2" s="32">
        <v>1.675</v>
      </c>
      <c r="G2" s="32">
        <v>1.7909999999999999</v>
      </c>
      <c r="H2" s="32">
        <v>2.0310000000000001</v>
      </c>
      <c r="I2" s="32">
        <v>2.3820000000000001</v>
      </c>
      <c r="J2" s="32">
        <v>2.6379999999999999</v>
      </c>
      <c r="K2" s="32">
        <v>4.0540000000000003</v>
      </c>
      <c r="L2" s="32">
        <v>3.1970000000000001</v>
      </c>
      <c r="M2" s="32">
        <v>3.2130000000000001</v>
      </c>
      <c r="N2" s="32">
        <v>3.7349999999999999</v>
      </c>
    </row>
    <row r="3" spans="1:14">
      <c r="A3" s="32" t="s">
        <v>79</v>
      </c>
      <c r="B3" s="32">
        <v>2.0960000000000001</v>
      </c>
      <c r="C3" s="32">
        <v>1.728</v>
      </c>
      <c r="D3" s="32">
        <v>2.3130000000000002</v>
      </c>
      <c r="E3" s="32">
        <v>1.8420000000000001</v>
      </c>
      <c r="F3" s="32">
        <v>1.6679999999999999</v>
      </c>
      <c r="G3" s="32">
        <v>1.718</v>
      </c>
      <c r="H3" s="32">
        <v>1.9730000000000001</v>
      </c>
      <c r="I3" s="32">
        <v>2.3839999999999999</v>
      </c>
      <c r="J3" s="32">
        <v>2.8170000000000002</v>
      </c>
      <c r="K3" s="32">
        <v>3.9780000000000002</v>
      </c>
      <c r="L3" s="32">
        <v>3.1030000000000002</v>
      </c>
      <c r="M3" s="32">
        <v>3.2429999999999999</v>
      </c>
      <c r="N3" s="32">
        <v>3.718</v>
      </c>
    </row>
    <row r="4" spans="1:14">
      <c r="A4" s="32" t="s">
        <v>80</v>
      </c>
      <c r="B4" s="32">
        <v>2.089</v>
      </c>
      <c r="C4" s="32">
        <v>1.708</v>
      </c>
      <c r="D4" s="32">
        <v>2.3140000000000001</v>
      </c>
      <c r="E4" s="32">
        <v>1.786</v>
      </c>
      <c r="F4" s="32">
        <v>1.659</v>
      </c>
      <c r="G4" s="32">
        <v>1.7949999999999999</v>
      </c>
      <c r="H4" s="32">
        <v>1.9830000000000001</v>
      </c>
      <c r="I4" s="32">
        <v>2.3260000000000001</v>
      </c>
      <c r="J4" s="32">
        <v>3.14</v>
      </c>
      <c r="K4" s="32">
        <v>3.694</v>
      </c>
      <c r="L4" s="32">
        <v>3.1269999999999998</v>
      </c>
      <c r="M4" s="32">
        <v>3.2770000000000001</v>
      </c>
      <c r="N4" s="32">
        <v>3.8370000000000002</v>
      </c>
    </row>
    <row r="5" spans="1:14">
      <c r="A5" s="32" t="s">
        <v>81</v>
      </c>
      <c r="B5" s="32">
        <v>2.0329999999999999</v>
      </c>
      <c r="C5" s="32">
        <v>1.6890000000000001</v>
      </c>
      <c r="D5" s="32">
        <v>2.206</v>
      </c>
      <c r="E5" s="32">
        <v>1.7569999999999999</v>
      </c>
      <c r="F5" s="32">
        <v>1.5860000000000001</v>
      </c>
      <c r="G5" s="32">
        <v>1.855</v>
      </c>
      <c r="H5" s="32">
        <v>2.0019999999999998</v>
      </c>
      <c r="I5" s="32">
        <v>2.2330000000000001</v>
      </c>
      <c r="J5" s="32">
        <v>3.044</v>
      </c>
      <c r="K5" s="32">
        <v>3.5510000000000002</v>
      </c>
      <c r="L5" s="32">
        <v>3.14</v>
      </c>
      <c r="M5" s="32">
        <v>3.4089999999999998</v>
      </c>
      <c r="N5" s="32"/>
    </row>
    <row r="6" spans="1:14">
      <c r="A6" s="32" t="s">
        <v>82</v>
      </c>
      <c r="B6" s="32">
        <v>1.982</v>
      </c>
      <c r="C6" s="32">
        <v>1.661</v>
      </c>
      <c r="D6" s="32">
        <v>2.0609999999999999</v>
      </c>
      <c r="E6" s="32">
        <v>1.8129999999999999</v>
      </c>
      <c r="F6" s="32">
        <v>1.6140000000000001</v>
      </c>
      <c r="G6" s="32">
        <v>1.986</v>
      </c>
      <c r="H6" s="32">
        <v>2.0350000000000001</v>
      </c>
      <c r="I6" s="32">
        <v>2.2210000000000001</v>
      </c>
      <c r="J6" s="32">
        <v>3.0640000000000001</v>
      </c>
      <c r="K6" s="32">
        <v>3.5489999999999999</v>
      </c>
      <c r="L6" s="32">
        <v>3.2090000000000001</v>
      </c>
      <c r="M6" s="32">
        <v>3.6339999999999999</v>
      </c>
      <c r="N6" s="32"/>
    </row>
    <row r="7" spans="1:14">
      <c r="A7" s="32" t="s">
        <v>83</v>
      </c>
      <c r="B7" s="32">
        <v>1.9319999999999999</v>
      </c>
      <c r="C7" s="32">
        <v>1.619</v>
      </c>
      <c r="D7" s="32">
        <v>1.958</v>
      </c>
      <c r="E7" s="32">
        <v>1.8069999999999999</v>
      </c>
      <c r="F7" s="32">
        <v>1.587</v>
      </c>
      <c r="G7" s="32">
        <v>2.0489999999999999</v>
      </c>
      <c r="H7" s="32">
        <v>2.173</v>
      </c>
      <c r="I7" s="32">
        <v>2.2360000000000002</v>
      </c>
      <c r="J7" s="32">
        <v>3.1110000000000002</v>
      </c>
      <c r="K7" s="32">
        <v>3.4180000000000001</v>
      </c>
      <c r="L7" s="32">
        <v>3.2970000000000002</v>
      </c>
      <c r="M7" s="32">
        <v>3.7829999999999999</v>
      </c>
      <c r="N7" s="32"/>
    </row>
    <row r="8" spans="1:14">
      <c r="A8" s="32" t="s">
        <v>84</v>
      </c>
      <c r="B8" s="32">
        <v>1.8819999999999999</v>
      </c>
      <c r="C8" s="32">
        <v>1.591</v>
      </c>
      <c r="D8" s="32">
        <v>1.93</v>
      </c>
      <c r="E8" s="32">
        <v>1.77</v>
      </c>
      <c r="F8" s="32">
        <v>1.5640000000000001</v>
      </c>
      <c r="G8" s="32">
        <v>2.0289999999999999</v>
      </c>
      <c r="H8" s="32">
        <v>2.2519999999999998</v>
      </c>
      <c r="I8" s="32">
        <v>2.2250000000000001</v>
      </c>
      <c r="J8" s="32">
        <v>3.2240000000000002</v>
      </c>
      <c r="K8" s="32">
        <v>3.278</v>
      </c>
      <c r="L8" s="32">
        <v>3.2050000000000001</v>
      </c>
      <c r="M8" s="32">
        <v>3.823</v>
      </c>
      <c r="N8" s="32"/>
    </row>
    <row r="9" spans="1:14">
      <c r="A9" s="32" t="s">
        <v>85</v>
      </c>
      <c r="B9" s="32">
        <v>1.966</v>
      </c>
      <c r="C9" s="32">
        <v>1.6120000000000001</v>
      </c>
      <c r="D9" s="32">
        <v>1.845</v>
      </c>
      <c r="E9" s="32">
        <v>1.76</v>
      </c>
      <c r="F9" s="32">
        <v>1.597</v>
      </c>
      <c r="G9" s="32">
        <v>2.0289999999999999</v>
      </c>
      <c r="H9" s="32">
        <v>2.3420000000000001</v>
      </c>
      <c r="I9" s="32">
        <v>2.2679999999999998</v>
      </c>
      <c r="J9" s="32">
        <v>3.5150000000000001</v>
      </c>
      <c r="K9" s="32">
        <v>3.2080000000000002</v>
      </c>
      <c r="L9" s="32">
        <v>3.153</v>
      </c>
      <c r="M9" s="32">
        <v>3.9329999999999998</v>
      </c>
      <c r="N9" s="32"/>
    </row>
    <row r="10" spans="1:14">
      <c r="A10" s="32" t="s">
        <v>86</v>
      </c>
      <c r="B10" s="32">
        <v>1.9</v>
      </c>
      <c r="C10" s="32">
        <v>1.8</v>
      </c>
      <c r="D10" s="32">
        <v>1.82</v>
      </c>
      <c r="E10" s="32">
        <v>1.7190000000000001</v>
      </c>
      <c r="F10" s="32">
        <v>1.75</v>
      </c>
      <c r="G10" s="32">
        <v>2.028</v>
      </c>
      <c r="H10" s="32">
        <v>2.27</v>
      </c>
      <c r="I10" s="32">
        <v>2.3330000000000002</v>
      </c>
      <c r="J10" s="32">
        <v>3.8959999999999999</v>
      </c>
      <c r="K10" s="32">
        <v>3.2559999999999998</v>
      </c>
      <c r="L10" s="32">
        <v>3.1379999999999999</v>
      </c>
      <c r="M10" s="32">
        <v>4.1079999999999997</v>
      </c>
      <c r="N10" s="32"/>
    </row>
    <row r="11" spans="1:14">
      <c r="A11" s="32" t="s">
        <v>87</v>
      </c>
      <c r="B11" s="32">
        <v>1.8009999999999999</v>
      </c>
      <c r="C11" s="32">
        <v>2.173</v>
      </c>
      <c r="D11" s="32">
        <v>1.738</v>
      </c>
      <c r="E11" s="32">
        <v>1.6839999999999999</v>
      </c>
      <c r="F11" s="32">
        <v>1.7729999999999999</v>
      </c>
      <c r="G11" s="32">
        <v>2.0289999999999999</v>
      </c>
      <c r="H11" s="32">
        <v>2.1890000000000001</v>
      </c>
      <c r="I11" s="32">
        <v>2.448</v>
      </c>
      <c r="J11" s="32">
        <v>3.8759999999999999</v>
      </c>
      <c r="K11" s="32">
        <v>3.1859999999999999</v>
      </c>
      <c r="L11" s="32">
        <v>3.1960000000000002</v>
      </c>
      <c r="M11" s="32">
        <v>3.7610000000000001</v>
      </c>
      <c r="N11" s="32"/>
    </row>
    <row r="12" spans="1:14">
      <c r="A12" s="32" t="s">
        <v>88</v>
      </c>
      <c r="B12" s="32">
        <v>1.77</v>
      </c>
      <c r="C12" s="32">
        <v>2.266</v>
      </c>
      <c r="D12" s="32">
        <v>1.726</v>
      </c>
      <c r="E12" s="32">
        <v>1.7130000000000001</v>
      </c>
      <c r="F12" s="32">
        <v>1.7909999999999999</v>
      </c>
      <c r="G12" s="32">
        <v>2.0670000000000002</v>
      </c>
      <c r="H12" s="32">
        <v>2.2970000000000002</v>
      </c>
      <c r="I12" s="32">
        <v>2.5379999999999998</v>
      </c>
      <c r="J12" s="32">
        <v>3.778</v>
      </c>
      <c r="K12" s="32">
        <v>3.339</v>
      </c>
      <c r="L12" s="32">
        <v>3.2570000000000001</v>
      </c>
      <c r="M12" s="32">
        <v>3.7879999999999998</v>
      </c>
      <c r="N12" s="32"/>
    </row>
    <row r="13" spans="1:14">
      <c r="A13" s="32" t="s">
        <v>89</v>
      </c>
      <c r="B13" s="32">
        <v>1.7869999999999999</v>
      </c>
      <c r="C13" s="32">
        <v>2.3980000000000001</v>
      </c>
      <c r="D13" s="32">
        <v>1.7509999999999999</v>
      </c>
      <c r="E13" s="32">
        <v>1.6950000000000001</v>
      </c>
      <c r="F13" s="32">
        <v>1.837</v>
      </c>
      <c r="G13" s="32">
        <v>2.08</v>
      </c>
      <c r="H13" s="32">
        <v>2.3450000000000002</v>
      </c>
      <c r="I13" s="32">
        <v>2.6440000000000001</v>
      </c>
      <c r="J13" s="32">
        <v>3.8690000000000002</v>
      </c>
      <c r="K13" s="32">
        <v>3.351</v>
      </c>
      <c r="L13" s="32">
        <v>3.2970000000000002</v>
      </c>
      <c r="M13" s="32">
        <v>3.8839999999999999</v>
      </c>
      <c r="N13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" sqref="E2"/>
    </sheetView>
  </sheetViews>
  <sheetFormatPr defaultRowHeight="15"/>
  <cols>
    <col min="1" max="1" width="10.7109375" bestFit="1" customWidth="1"/>
    <col min="2" max="2" width="16.42578125" bestFit="1" customWidth="1"/>
    <col min="3" max="3" width="13.140625" bestFit="1" customWidth="1"/>
    <col min="5" max="5" width="67.28515625" customWidth="1"/>
  </cols>
  <sheetData>
    <row r="1" spans="1:5">
      <c r="A1" s="1" t="s">
        <v>15</v>
      </c>
      <c r="B1" s="1" t="s">
        <v>14</v>
      </c>
      <c r="C1" s="1" t="s">
        <v>13</v>
      </c>
    </row>
    <row r="2" spans="1:5">
      <c r="A2" t="s">
        <v>12</v>
      </c>
      <c r="B2" t="s">
        <v>16</v>
      </c>
      <c r="C2" t="s">
        <v>1</v>
      </c>
      <c r="E2" t="str">
        <f>TRIM(CONCATENATE(PROPER(B2)," ",C2," ",PROPER(A2)))</f>
        <v>José Carlos de Almeida</v>
      </c>
    </row>
    <row r="3" spans="1:5">
      <c r="A3" t="s">
        <v>0</v>
      </c>
      <c r="B3" t="s">
        <v>17</v>
      </c>
      <c r="E3" t="str">
        <f t="shared" ref="E3:E17" si="0">TRIM(CONCATENATE(PROPER(B3)," ",C3," ",PROPER(A3)))</f>
        <v>Marisa Abreu Silva</v>
      </c>
    </row>
    <row r="4" spans="1:5">
      <c r="A4" t="s">
        <v>18</v>
      </c>
      <c r="B4" t="s">
        <v>11</v>
      </c>
      <c r="C4" t="s">
        <v>1</v>
      </c>
      <c r="E4" t="str">
        <f t="shared" si="0"/>
        <v>Pedro de Almeida</v>
      </c>
    </row>
    <row r="5" spans="1:5">
      <c r="A5" t="s">
        <v>19</v>
      </c>
      <c r="B5" t="s">
        <v>20</v>
      </c>
      <c r="E5" t="str">
        <f t="shared" si="0"/>
        <v>Vera Jesus</v>
      </c>
    </row>
    <row r="6" spans="1:5">
      <c r="A6" t="s">
        <v>10</v>
      </c>
      <c r="B6" t="s">
        <v>21</v>
      </c>
      <c r="E6" t="str">
        <f t="shared" si="0"/>
        <v>Mario Paulo Simões</v>
      </c>
    </row>
    <row r="7" spans="1:5">
      <c r="A7" t="s">
        <v>3</v>
      </c>
      <c r="B7" t="s">
        <v>22</v>
      </c>
      <c r="C7" t="s">
        <v>1</v>
      </c>
      <c r="E7" t="str">
        <f t="shared" si="0"/>
        <v>Sheila Maria de Souza</v>
      </c>
    </row>
    <row r="8" spans="1:5">
      <c r="A8" t="s">
        <v>23</v>
      </c>
      <c r="B8" t="s">
        <v>24</v>
      </c>
      <c r="E8" t="str">
        <f t="shared" si="0"/>
        <v>Maria Lourdes Garcia</v>
      </c>
    </row>
    <row r="9" spans="1:5">
      <c r="A9" t="s">
        <v>0</v>
      </c>
      <c r="B9" t="s">
        <v>9</v>
      </c>
      <c r="C9" t="s">
        <v>6</v>
      </c>
      <c r="E9" t="str">
        <f t="shared" si="0"/>
        <v>Juliana da Silva</v>
      </c>
    </row>
    <row r="10" spans="1:5">
      <c r="A10" t="s">
        <v>25</v>
      </c>
      <c r="B10" t="s">
        <v>8</v>
      </c>
      <c r="C10" t="s">
        <v>1</v>
      </c>
      <c r="E10" t="str">
        <f t="shared" si="0"/>
        <v>Mario Antonio de Abreu</v>
      </c>
    </row>
    <row r="11" spans="1:5">
      <c r="A11" t="s">
        <v>26</v>
      </c>
      <c r="B11" t="s">
        <v>27</v>
      </c>
      <c r="E11" t="str">
        <f t="shared" si="0"/>
        <v>Wanda Silva Juliano</v>
      </c>
    </row>
    <row r="12" spans="1:5">
      <c r="A12" t="s">
        <v>28</v>
      </c>
      <c r="B12" t="s">
        <v>7</v>
      </c>
      <c r="C12" t="s">
        <v>6</v>
      </c>
      <c r="E12" t="str">
        <f t="shared" si="0"/>
        <v>Antonio da Silva</v>
      </c>
    </row>
    <row r="13" spans="1:5">
      <c r="A13" t="s">
        <v>5</v>
      </c>
      <c r="B13" t="s">
        <v>4</v>
      </c>
      <c r="C13" t="s">
        <v>1</v>
      </c>
      <c r="E13" t="str">
        <f t="shared" si="0"/>
        <v>Cezar Pedro de Jesus</v>
      </c>
    </row>
    <row r="14" spans="1:5">
      <c r="A14" t="s">
        <v>3</v>
      </c>
      <c r="B14" t="s">
        <v>29</v>
      </c>
      <c r="C14" t="s">
        <v>1</v>
      </c>
      <c r="E14" t="str">
        <f t="shared" si="0"/>
        <v>Abel de Souza</v>
      </c>
    </row>
    <row r="15" spans="1:5">
      <c r="A15" t="s">
        <v>30</v>
      </c>
      <c r="B15" t="s">
        <v>31</v>
      </c>
      <c r="C15" t="s">
        <v>1</v>
      </c>
      <c r="E15" t="str">
        <f t="shared" si="0"/>
        <v>Antonia de Marinho</v>
      </c>
    </row>
    <row r="16" spans="1:5">
      <c r="A16" t="s">
        <v>2</v>
      </c>
      <c r="B16" t="s">
        <v>32</v>
      </c>
      <c r="C16" t="s">
        <v>1</v>
      </c>
      <c r="E16" t="str">
        <f t="shared" si="0"/>
        <v>Josefa de Malaquias</v>
      </c>
    </row>
    <row r="17" spans="1:5">
      <c r="A17" t="s">
        <v>0</v>
      </c>
      <c r="B17" t="s">
        <v>33</v>
      </c>
      <c r="E17" t="str">
        <f t="shared" si="0"/>
        <v>Sonia Silva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workbookViewId="0">
      <selection activeCell="C12" sqref="C12"/>
    </sheetView>
  </sheetViews>
  <sheetFormatPr defaultRowHeight="15"/>
  <cols>
    <col min="2" max="2" width="27.140625" bestFit="1" customWidth="1"/>
  </cols>
  <sheetData>
    <row r="1" spans="1:3">
      <c r="A1" s="30" t="s">
        <v>48</v>
      </c>
      <c r="B1" s="30"/>
      <c r="C1" s="30"/>
    </row>
    <row r="2" spans="1:3">
      <c r="A2" s="1" t="s">
        <v>49</v>
      </c>
      <c r="B2" s="1" t="s">
        <v>39</v>
      </c>
      <c r="C2" s="1" t="s">
        <v>50</v>
      </c>
    </row>
    <row r="3" spans="1:3">
      <c r="A3">
        <v>1</v>
      </c>
      <c r="B3" t="s">
        <v>51</v>
      </c>
      <c r="C3">
        <v>10</v>
      </c>
    </row>
    <row r="4" spans="1:3">
      <c r="A4">
        <v>2</v>
      </c>
      <c r="B4" t="s">
        <v>52</v>
      </c>
      <c r="C4">
        <v>6</v>
      </c>
    </row>
    <row r="5" spans="1:3">
      <c r="A5">
        <v>3</v>
      </c>
      <c r="B5" t="s">
        <v>53</v>
      </c>
      <c r="C5">
        <v>7</v>
      </c>
    </row>
    <row r="6" spans="1:3">
      <c r="A6">
        <v>4</v>
      </c>
      <c r="B6" t="s">
        <v>54</v>
      </c>
      <c r="C6">
        <v>7</v>
      </c>
    </row>
    <row r="7" spans="1:3">
      <c r="A7">
        <v>5</v>
      </c>
      <c r="B7" t="s">
        <v>55</v>
      </c>
      <c r="C7">
        <v>13</v>
      </c>
    </row>
    <row r="8" spans="1:3">
      <c r="A8">
        <v>6</v>
      </c>
      <c r="B8" t="s">
        <v>56</v>
      </c>
      <c r="C8">
        <v>20</v>
      </c>
    </row>
    <row r="9" spans="1:3">
      <c r="A9">
        <v>7</v>
      </c>
      <c r="B9" t="s">
        <v>57</v>
      </c>
      <c r="C9">
        <v>4</v>
      </c>
    </row>
    <row r="10" spans="1:3">
      <c r="A10">
        <v>8</v>
      </c>
      <c r="B10" t="s">
        <v>58</v>
      </c>
      <c r="C10">
        <v>11</v>
      </c>
    </row>
    <row r="11" spans="1:3">
      <c r="A11">
        <v>9</v>
      </c>
      <c r="B11" t="s">
        <v>59</v>
      </c>
      <c r="C11">
        <v>11</v>
      </c>
    </row>
    <row r="12" spans="1:3">
      <c r="A12">
        <v>10</v>
      </c>
      <c r="B12" t="s">
        <v>60</v>
      </c>
      <c r="C12">
        <v>11</v>
      </c>
    </row>
    <row r="13" spans="1:3">
      <c r="A13">
        <v>11</v>
      </c>
      <c r="B13" t="s">
        <v>61</v>
      </c>
      <c r="C13">
        <v>11</v>
      </c>
    </row>
    <row r="14" spans="1:3">
      <c r="A14">
        <v>12</v>
      </c>
      <c r="B14" t="s">
        <v>62</v>
      </c>
      <c r="C14">
        <v>2</v>
      </c>
    </row>
    <row r="15" spans="1:3">
      <c r="A15">
        <v>13</v>
      </c>
      <c r="B15" t="s">
        <v>63</v>
      </c>
      <c r="C15">
        <v>3</v>
      </c>
    </row>
    <row r="16" spans="1:3">
      <c r="A16">
        <v>14</v>
      </c>
      <c r="B16" t="s">
        <v>64</v>
      </c>
      <c r="C16">
        <v>6</v>
      </c>
    </row>
    <row r="17" spans="1:3">
      <c r="A17">
        <v>15</v>
      </c>
      <c r="B17" t="s">
        <v>65</v>
      </c>
      <c r="C17">
        <v>12</v>
      </c>
    </row>
  </sheetData>
  <mergeCells count="1">
    <mergeCell ref="A1:C1"/>
  </mergeCells>
  <dataValidations count="2">
    <dataValidation type="textLength" errorStyle="warning" operator="lessThanOrEqual" allowBlank="1" showInputMessage="1" showErrorMessage="1" errorTitle="Atenção" error="Obedeça os Parâmetros" prompt="Deve conter no máximo 25 caracteres" sqref="B3:B17">
      <formula1>25</formula1>
    </dataValidation>
    <dataValidation type="whole" allowBlank="1" showInputMessage="1" showErrorMessage="1" errorTitle="Atenção" error="Obedeça os Parâmetros" prompt="Insira valores entre 1 e 20" sqref="C3:C17">
      <formula1>1</formula1>
      <formula2>20</formula2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33" sqref="E33"/>
    </sheetView>
  </sheetViews>
  <sheetFormatPr defaultRowHeight="15"/>
  <cols>
    <col min="1" max="1" width="10" bestFit="1" customWidth="1"/>
    <col min="2" max="2" width="17.85546875" bestFit="1" customWidth="1"/>
    <col min="3" max="3" width="13.28515625" bestFit="1" customWidth="1"/>
  </cols>
  <sheetData>
    <row r="1" spans="1:3">
      <c r="A1" s="2" t="s">
        <v>38</v>
      </c>
      <c r="B1" s="2" t="s">
        <v>39</v>
      </c>
      <c r="C1" s="2" t="s">
        <v>77</v>
      </c>
    </row>
    <row r="2" spans="1:3">
      <c r="A2">
        <v>3</v>
      </c>
      <c r="B2" t="str">
        <f>VLOOKUP(A2,Cargos,2,FALSE)</f>
        <v>Chefe de Cobrança</v>
      </c>
      <c r="C2" s="3">
        <f>DSUM(tabfunc,5,A1:B2)</f>
        <v>23100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9" sqref="C39"/>
    </sheetView>
  </sheetViews>
  <sheetFormatPr defaultRowHeight="15"/>
  <sheetData>
    <row r="1" spans="1:3">
      <c r="A1" s="30" t="s">
        <v>42</v>
      </c>
      <c r="B1" s="30"/>
      <c r="C1" s="30"/>
    </row>
    <row r="2" spans="1:3">
      <c r="A2" s="30" t="s">
        <v>50</v>
      </c>
      <c r="B2" s="30"/>
      <c r="C2" s="31" t="s">
        <v>70</v>
      </c>
    </row>
    <row r="3" spans="1:3">
      <c r="A3" s="4" t="s">
        <v>71</v>
      </c>
      <c r="B3" s="4" t="s">
        <v>72</v>
      </c>
      <c r="C3" s="31"/>
    </row>
    <row r="4" spans="1:3">
      <c r="A4" s="14">
        <v>0</v>
      </c>
      <c r="B4" s="14">
        <v>4</v>
      </c>
      <c r="C4" s="15">
        <v>5.5E-2</v>
      </c>
    </row>
    <row r="5" spans="1:3">
      <c r="A5" s="14">
        <v>5</v>
      </c>
      <c r="B5" s="14">
        <v>7</v>
      </c>
      <c r="C5" s="15">
        <v>7.0000000000000007E-2</v>
      </c>
    </row>
    <row r="6" spans="1:3">
      <c r="A6" s="14">
        <v>8</v>
      </c>
      <c r="B6" s="14">
        <v>10</v>
      </c>
      <c r="C6" s="15">
        <v>8.5000000000000006E-2</v>
      </c>
    </row>
    <row r="7" spans="1:3">
      <c r="A7" s="14">
        <v>11</v>
      </c>
      <c r="B7" s="14" t="s">
        <v>73</v>
      </c>
      <c r="C7" s="15">
        <v>0.1</v>
      </c>
    </row>
  </sheetData>
  <mergeCells count="3">
    <mergeCell ref="A1:C1"/>
    <mergeCell ref="A2:B2"/>
    <mergeCell ref="C2:C3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F17" sqref="F17"/>
    </sheetView>
  </sheetViews>
  <sheetFormatPr defaultRowHeight="15"/>
  <cols>
    <col min="2" max="2" width="10" bestFit="1" customWidth="1"/>
  </cols>
  <sheetData>
    <row r="1" spans="1:3">
      <c r="A1" s="30" t="s">
        <v>74</v>
      </c>
      <c r="B1" s="30"/>
      <c r="C1" s="30"/>
    </row>
    <row r="2" spans="1:3">
      <c r="A2" s="30" t="s">
        <v>50</v>
      </c>
      <c r="B2" s="30"/>
      <c r="C2" s="31" t="s">
        <v>70</v>
      </c>
    </row>
    <row r="3" spans="1:3">
      <c r="A3" s="4" t="s">
        <v>71</v>
      </c>
      <c r="B3" s="4" t="s">
        <v>72</v>
      </c>
      <c r="C3" s="31"/>
    </row>
    <row r="4" spans="1:3">
      <c r="A4" s="14">
        <v>0</v>
      </c>
      <c r="B4" s="14">
        <v>1</v>
      </c>
      <c r="C4" s="15">
        <v>0.02</v>
      </c>
    </row>
    <row r="5" spans="1:3">
      <c r="A5" s="14">
        <v>2</v>
      </c>
      <c r="B5" s="14">
        <v>3</v>
      </c>
      <c r="C5" s="15">
        <v>0.04</v>
      </c>
    </row>
    <row r="6" spans="1:3">
      <c r="A6" s="14">
        <v>4</v>
      </c>
      <c r="B6" s="14">
        <v>5</v>
      </c>
      <c r="C6" s="15">
        <v>0.06</v>
      </c>
    </row>
    <row r="7" spans="1:3">
      <c r="A7" s="14">
        <v>6</v>
      </c>
      <c r="B7" s="14">
        <v>7</v>
      </c>
      <c r="C7" s="15">
        <v>0.08</v>
      </c>
    </row>
    <row r="8" spans="1:3">
      <c r="A8" s="14">
        <v>8</v>
      </c>
      <c r="B8" s="14">
        <v>9</v>
      </c>
      <c r="C8" s="15">
        <v>0.1</v>
      </c>
    </row>
    <row r="9" spans="1:3">
      <c r="A9" s="14">
        <v>10</v>
      </c>
      <c r="B9" s="14">
        <v>11</v>
      </c>
      <c r="C9" s="15">
        <v>0.12</v>
      </c>
    </row>
    <row r="10" spans="1:3">
      <c r="A10" s="14">
        <v>12</v>
      </c>
      <c r="B10" s="14">
        <v>13</v>
      </c>
      <c r="C10" s="15">
        <v>0.14000000000000001</v>
      </c>
    </row>
    <row r="11" spans="1:3">
      <c r="A11" s="14">
        <v>14</v>
      </c>
      <c r="B11" s="14" t="s">
        <v>73</v>
      </c>
      <c r="C11" s="15">
        <v>0.16</v>
      </c>
    </row>
  </sheetData>
  <mergeCells count="3">
    <mergeCell ref="A1:C1"/>
    <mergeCell ref="A2:B2"/>
    <mergeCell ref="C2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Intervalos nomeados</vt:lpstr>
      </vt:variant>
      <vt:variant>
        <vt:i4>9</vt:i4>
      </vt:variant>
    </vt:vector>
  </HeadingPairs>
  <TitlesOfParts>
    <vt:vector size="16" baseType="lpstr">
      <vt:lpstr>Folha de Pagamento</vt:lpstr>
      <vt:lpstr>Exerc 23-10</vt:lpstr>
      <vt:lpstr>Funcionários</vt:lpstr>
      <vt:lpstr>Cargos</vt:lpstr>
      <vt:lpstr>Cargos Folha</vt:lpstr>
      <vt:lpstr>INSS</vt:lpstr>
      <vt:lpstr>IRRF</vt:lpstr>
      <vt:lpstr>Cargos</vt:lpstr>
      <vt:lpstr>'Exerc 23-10'!cotacao</vt:lpstr>
      <vt:lpstr>'Folha de Pagamento'!cotacao</vt:lpstr>
      <vt:lpstr>INSS</vt:lpstr>
      <vt:lpstr>INSSs</vt:lpstr>
      <vt:lpstr>IRRF</vt:lpstr>
      <vt:lpstr>SalariosBrutos</vt:lpstr>
      <vt:lpstr>SalariosLiquidos</vt:lpstr>
      <vt:lpstr>tabfunc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Marlon Andrei</dc:creator>
  <cp:lastModifiedBy>Aluno</cp:lastModifiedBy>
  <dcterms:created xsi:type="dcterms:W3CDTF">2019-04-09T16:57:18Z</dcterms:created>
  <dcterms:modified xsi:type="dcterms:W3CDTF">2021-10-23T19:59:05Z</dcterms:modified>
</cp:coreProperties>
</file>