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80" yWindow="840" windowWidth="24600" windowHeight="7380" tabRatio="500" activeTab="3"/>
  </bookViews>
  <sheets>
    <sheet name="TradeHistory" sheetId="1" r:id="rId1"/>
    <sheet name="Research Points" sheetId="5" r:id="rId2"/>
    <sheet name="S&amp;P Stats" sheetId="4" r:id="rId3"/>
    <sheet name="SPHistoricalData" sheetId="2" r:id="rId4"/>
    <sheet name="NFLX Historical Data" sheetId="3" r:id="rId5"/>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6" i="4"/>
  <c r="C31"/>
  <c r="B13"/>
  <c r="F12"/>
  <c r="D13"/>
  <c r="E31"/>
  <c r="D31"/>
  <c r="B31"/>
  <c r="H24"/>
  <c r="G24"/>
  <c r="F24"/>
  <c r="E24"/>
  <c r="D24"/>
  <c r="C24"/>
  <c r="B24"/>
  <c r="W22" i="2"/>
  <c r="I48" i="1"/>
  <c r="I49"/>
  <c r="K48"/>
  <c r="I13"/>
  <c r="I16"/>
  <c r="I19"/>
  <c r="I22"/>
  <c r="I25"/>
  <c r="I26"/>
  <c r="I27"/>
  <c r="I28"/>
  <c r="I29"/>
  <c r="I30"/>
  <c r="I31"/>
  <c r="I32"/>
  <c r="K27"/>
  <c r="M63"/>
  <c r="I36"/>
  <c r="I39"/>
  <c r="I42"/>
  <c r="I45"/>
  <c r="I52"/>
  <c r="I9"/>
  <c r="N7"/>
</calcChain>
</file>

<file path=xl/sharedStrings.xml><?xml version="1.0" encoding="utf-8"?>
<sst xmlns="http://schemas.openxmlformats.org/spreadsheetml/2006/main" count="279" uniqueCount="172">
  <si>
    <t>Sell To Close</t>
  </si>
  <si>
    <t>ESZ18 - E Mini S&amp;P 500 December 2018</t>
  </si>
  <si>
    <t>Buy To Open</t>
  </si>
  <si>
    <t>Buy To Close</t>
  </si>
  <si>
    <t>Sell To Open</t>
  </si>
  <si>
    <t>Date</t>
    <phoneticPr fontId="7" type="noConversion"/>
  </si>
  <si>
    <t>Action</t>
    <phoneticPr fontId="7" type="noConversion"/>
  </si>
  <si>
    <t>Qty</t>
    <phoneticPr fontId="7" type="noConversion"/>
  </si>
  <si>
    <t>Price</t>
    <phoneticPr fontId="7" type="noConversion"/>
  </si>
  <si>
    <t>Commission/Fees</t>
    <phoneticPr fontId="7" type="noConversion"/>
  </si>
  <si>
    <t>Previous</t>
    <phoneticPr fontId="7" type="noConversion"/>
  </si>
  <si>
    <t>Open</t>
    <phoneticPr fontId="7" type="noConversion"/>
  </si>
  <si>
    <t>Previous</t>
    <phoneticPr fontId="7" type="noConversion"/>
  </si>
  <si>
    <t>Close</t>
    <phoneticPr fontId="7" type="noConversion"/>
  </si>
  <si>
    <t>Todays</t>
    <phoneticPr fontId="7" type="noConversion"/>
  </si>
  <si>
    <t>High</t>
    <phoneticPr fontId="7" type="noConversion"/>
  </si>
  <si>
    <t>Low</t>
    <phoneticPr fontId="7" type="noConversion"/>
  </si>
  <si>
    <t>Open</t>
    <phoneticPr fontId="7" type="noConversion"/>
  </si>
  <si>
    <t>DD Trend</t>
    <phoneticPr fontId="7" type="noConversion"/>
  </si>
  <si>
    <t>(8:30 Central)</t>
    <phoneticPr fontId="7" type="noConversion"/>
  </si>
  <si>
    <t>Open-Test-Drive</t>
    <phoneticPr fontId="7" type="noConversion"/>
  </si>
  <si>
    <t>N</t>
    <phoneticPr fontId="7" type="noConversion"/>
  </si>
  <si>
    <t>Gap Up</t>
    <phoneticPr fontId="7" type="noConversion"/>
  </si>
  <si>
    <t>Open-Auction</t>
    <phoneticPr fontId="7" type="noConversion"/>
  </si>
  <si>
    <t>Open-Auction</t>
    <phoneticPr fontId="7" type="noConversion"/>
  </si>
  <si>
    <t>DD Trend</t>
    <phoneticPr fontId="7" type="noConversion"/>
  </si>
  <si>
    <t>Y</t>
    <phoneticPr fontId="7" type="noConversion"/>
  </si>
  <si>
    <t>Gap Up</t>
    <phoneticPr fontId="7" type="noConversion"/>
  </si>
  <si>
    <t>IF('S&amp;P Historical Data'!I5:I30="Open-Test-Drive",SUM(MIN('S&amp;P Historical Data'!G5:G10,'S&amp;P Historical Data'!E5:E10)))</t>
    <phoneticPr fontId="7" type="noConversion"/>
  </si>
  <si>
    <t>Average of Minimum on open-test drive days</t>
    <phoneticPr fontId="7" type="noConversion"/>
  </si>
  <si>
    <t>Total Counts</t>
    <phoneticPr fontId="7" type="noConversion"/>
  </si>
  <si>
    <t>Trend</t>
    <phoneticPr fontId="7" type="noConversion"/>
  </si>
  <si>
    <t>Days</t>
    <phoneticPr fontId="7" type="noConversion"/>
  </si>
  <si>
    <t>DD Trend</t>
    <phoneticPr fontId="7" type="noConversion"/>
  </si>
  <si>
    <t>Neutral-Extreme</t>
    <phoneticPr fontId="7" type="noConversion"/>
  </si>
  <si>
    <t>Normal Var</t>
    <phoneticPr fontId="7" type="noConversion"/>
  </si>
  <si>
    <t>Neutral-Center</t>
    <phoneticPr fontId="7" type="noConversion"/>
  </si>
  <si>
    <t>Normal</t>
    <phoneticPr fontId="7" type="noConversion"/>
  </si>
  <si>
    <t>Non-trend</t>
    <phoneticPr fontId="7" type="noConversion"/>
  </si>
  <si>
    <t>Types of Opens</t>
    <phoneticPr fontId="7" type="noConversion"/>
  </si>
  <si>
    <t>Open-Drive</t>
    <phoneticPr fontId="7" type="noConversion"/>
  </si>
  <si>
    <t>Open-Test-Drive</t>
    <phoneticPr fontId="7" type="noConversion"/>
  </si>
  <si>
    <t>Open-Reject-Reverse</t>
    <phoneticPr fontId="7" type="noConversion"/>
  </si>
  <si>
    <t>Open-Reject-Reverse</t>
    <phoneticPr fontId="7" type="noConversion"/>
  </si>
  <si>
    <t>Neutral</t>
    <phoneticPr fontId="7" type="noConversion"/>
  </si>
  <si>
    <t>Y</t>
    <phoneticPr fontId="7" type="noConversion"/>
  </si>
  <si>
    <t>No Gap</t>
    <phoneticPr fontId="7" type="noConversion"/>
  </si>
  <si>
    <t>DD Trend</t>
    <phoneticPr fontId="7" type="noConversion"/>
  </si>
  <si>
    <t>Y</t>
    <phoneticPr fontId="7" type="noConversion"/>
  </si>
  <si>
    <t>No Gap</t>
    <phoneticPr fontId="7" type="noConversion"/>
  </si>
  <si>
    <t>Time of Low</t>
    <phoneticPr fontId="7" type="noConversion"/>
  </si>
  <si>
    <t>Total Volume</t>
    <phoneticPr fontId="7" type="noConversion"/>
  </si>
  <si>
    <t>Open Type</t>
    <phoneticPr fontId="7" type="noConversion"/>
  </si>
  <si>
    <t>Day Type</t>
    <phoneticPr fontId="7" type="noConversion"/>
  </si>
  <si>
    <t>Open in Yesterdays Range</t>
    <phoneticPr fontId="7" type="noConversion"/>
  </si>
  <si>
    <t>Open in Yesterdays Value</t>
    <phoneticPr fontId="7" type="noConversion"/>
  </si>
  <si>
    <t>Gap Up/Down</t>
    <phoneticPr fontId="7" type="noConversion"/>
  </si>
  <si>
    <t>Number of times crossing open</t>
    <phoneticPr fontId="7" type="noConversion"/>
  </si>
  <si>
    <t>Previous Open</t>
    <phoneticPr fontId="7" type="noConversion"/>
  </si>
  <si>
    <t>Previous Close</t>
    <phoneticPr fontId="7" type="noConversion"/>
  </si>
  <si>
    <t>Previous High</t>
    <phoneticPr fontId="7" type="noConversion"/>
  </si>
  <si>
    <t>Previous Low</t>
    <phoneticPr fontId="7" type="noConversion"/>
  </si>
  <si>
    <t>Number of Trades</t>
    <phoneticPr fontId="7" type="noConversion"/>
  </si>
  <si>
    <t>Profit/Loss Points</t>
    <phoneticPr fontId="7" type="noConversion"/>
  </si>
  <si>
    <t>Profit/Loss Dollars</t>
    <phoneticPr fontId="7" type="noConversion"/>
  </si>
  <si>
    <t>On open-test-drive days, how soon is the test completed, mean and std dev</t>
    <phoneticPr fontId="7" type="noConversion"/>
  </si>
  <si>
    <t>Market opened and traded sideways for 8 minutes. I was focused on downside and I got afraid I would miss the move. I got in too early. My plan was to get in at 2810, stop at 2817 and limit at 2795. I got in at 2806 right before the market shot up, struck too early. I did feel good however and did not over trade like I have been doing.</t>
    <phoneticPr fontId="7" type="noConversion"/>
  </si>
  <si>
    <t>No Gap</t>
    <phoneticPr fontId="7" type="noConversion"/>
  </si>
  <si>
    <t>Points</t>
    <phoneticPr fontId="7" type="noConversion"/>
  </si>
  <si>
    <t>Dollars</t>
    <phoneticPr fontId="7" type="noConversion"/>
  </si>
  <si>
    <t>Open-Reject-Reverse,</t>
    <phoneticPr fontId="7" type="noConversion"/>
  </si>
  <si>
    <t>Open (first 1.5 hr)</t>
    <phoneticPr fontId="7" type="noConversion"/>
  </si>
  <si>
    <t>Time of</t>
    <phoneticPr fontId="7" type="noConversion"/>
  </si>
  <si>
    <t>High</t>
    <phoneticPr fontId="7" type="noConversion"/>
  </si>
  <si>
    <t>Position Close</t>
    <phoneticPr fontId="7" type="noConversion"/>
  </si>
  <si>
    <t>Position Open</t>
    <phoneticPr fontId="7" type="noConversion"/>
  </si>
  <si>
    <t>Date</t>
    <phoneticPr fontId="7" type="noConversion"/>
  </si>
  <si>
    <t>Buy/Sell</t>
    <phoneticPr fontId="7" type="noConversion"/>
  </si>
  <si>
    <t>Price</t>
    <phoneticPr fontId="7" type="noConversion"/>
  </si>
  <si>
    <t>commission</t>
    <phoneticPr fontId="7" type="noConversion"/>
  </si>
  <si>
    <t>Cost</t>
    <phoneticPr fontId="7" type="noConversion"/>
  </si>
  <si>
    <t>Date</t>
    <phoneticPr fontId="7" type="noConversion"/>
  </si>
  <si>
    <t>Proceeds</t>
    <phoneticPr fontId="7" type="noConversion"/>
  </si>
  <si>
    <t>Notes</t>
    <phoneticPr fontId="7" type="noConversion"/>
  </si>
  <si>
    <t>Sell</t>
    <phoneticPr fontId="7" type="noConversion"/>
  </si>
  <si>
    <t>Loss/Gain</t>
    <phoneticPr fontId="7" type="noConversion"/>
  </si>
  <si>
    <t>Only take 3 trades per day, one to open, one reversal (optional), and one to close. I am going to trade for the first 1.5 hours only. This is the discipline I am going to get on for a while, and work my niche.</t>
    <phoneticPr fontId="7" type="noConversion"/>
  </si>
  <si>
    <t>Date</t>
    <phoneticPr fontId="7" type="noConversion"/>
  </si>
  <si>
    <t>Non-trend</t>
    <phoneticPr fontId="7" type="noConversion"/>
  </si>
  <si>
    <t>Y</t>
    <phoneticPr fontId="7" type="noConversion"/>
  </si>
  <si>
    <t>Non-trend</t>
    <phoneticPr fontId="7" type="noConversion"/>
  </si>
  <si>
    <t>Open-Test-Drive</t>
    <phoneticPr fontId="7" type="noConversion"/>
  </si>
  <si>
    <t>DD Trend</t>
    <phoneticPr fontId="7" type="noConversion"/>
  </si>
  <si>
    <t>N</t>
    <phoneticPr fontId="7" type="noConversion"/>
  </si>
  <si>
    <t>Gap Up</t>
    <phoneticPr fontId="7" type="noConversion"/>
  </si>
  <si>
    <t>Y</t>
    <phoneticPr fontId="7" type="noConversion"/>
  </si>
  <si>
    <t>No Gap</t>
    <phoneticPr fontId="7" type="noConversion"/>
  </si>
  <si>
    <t>Trend</t>
    <phoneticPr fontId="7" type="noConversion"/>
  </si>
  <si>
    <t>N</t>
    <phoneticPr fontId="7" type="noConversion"/>
  </si>
  <si>
    <t>Gap Down</t>
    <phoneticPr fontId="7" type="noConversion"/>
  </si>
  <si>
    <t>Gap Up,</t>
    <phoneticPr fontId="7" type="noConversion"/>
  </si>
  <si>
    <t>Gap Down,</t>
    <phoneticPr fontId="7" type="noConversion"/>
  </si>
  <si>
    <t>No Gap</t>
    <phoneticPr fontId="7" type="noConversion"/>
  </si>
  <si>
    <t>Trend</t>
    <phoneticPr fontId="7" type="noConversion"/>
  </si>
  <si>
    <t>Open-Drive</t>
    <phoneticPr fontId="7" type="noConversion"/>
  </si>
  <si>
    <t>crossing the open</t>
    <phoneticPr fontId="7" type="noConversion"/>
  </si>
  <si>
    <t>in first 1.5 hrs</t>
    <phoneticPr fontId="7" type="noConversion"/>
  </si>
  <si>
    <t>Total Number</t>
    <phoneticPr fontId="7" type="noConversion"/>
  </si>
  <si>
    <t>Open-Drive</t>
    <phoneticPr fontId="7" type="noConversion"/>
  </si>
  <si>
    <t>Normal</t>
    <phoneticPr fontId="7" type="noConversion"/>
  </si>
  <si>
    <t>No Gap</t>
    <phoneticPr fontId="7" type="noConversion"/>
  </si>
  <si>
    <t>Y</t>
    <phoneticPr fontId="7" type="noConversion"/>
  </si>
  <si>
    <t>Notes</t>
    <phoneticPr fontId="7" type="noConversion"/>
  </si>
  <si>
    <t>My trades</t>
    <phoneticPr fontId="7" type="noConversion"/>
  </si>
  <si>
    <t>Number of Trades</t>
    <phoneticPr fontId="7" type="noConversion"/>
  </si>
  <si>
    <t>Profit and Loss</t>
    <phoneticPr fontId="7" type="noConversion"/>
  </si>
  <si>
    <t>Total Volume</t>
    <phoneticPr fontId="7" type="noConversion"/>
  </si>
  <si>
    <t>8:30-10a</t>
    <phoneticPr fontId="7" type="noConversion"/>
  </si>
  <si>
    <t>When opening within previous days value range, what percent of the time do previous value extremes hold?</t>
    <phoneticPr fontId="7" type="noConversion"/>
  </si>
  <si>
    <t>Open-Auction</t>
    <phoneticPr fontId="7" type="noConversion"/>
  </si>
  <si>
    <t>Date</t>
    <phoneticPr fontId="7" type="noConversion"/>
  </si>
  <si>
    <t>Todays Open</t>
    <phoneticPr fontId="7" type="noConversion"/>
  </si>
  <si>
    <t>Open High</t>
    <phoneticPr fontId="7" type="noConversion"/>
  </si>
  <si>
    <t>What are the greatest range extensions outside of the previous days value range in the open?</t>
    <phoneticPr fontId="7" type="noConversion"/>
  </si>
  <si>
    <t>The greatest imbalance occurs when open is outside of range and the direction is accepted, usually a trend day develops</t>
    <phoneticPr fontId="7" type="noConversion"/>
  </si>
  <si>
    <t>Sell</t>
    <phoneticPr fontId="7" type="noConversion"/>
  </si>
  <si>
    <t>Buy</t>
    <phoneticPr fontId="7" type="noConversion"/>
  </si>
  <si>
    <t>Open-Reject-Reverse</t>
    <phoneticPr fontId="7" type="noConversion"/>
  </si>
  <si>
    <t>No Gap</t>
    <phoneticPr fontId="7" type="noConversion"/>
  </si>
  <si>
    <t>10+</t>
    <phoneticPr fontId="7" type="noConversion"/>
  </si>
  <si>
    <t>Y</t>
    <phoneticPr fontId="7" type="noConversion"/>
  </si>
  <si>
    <t>Open</t>
    <phoneticPr fontId="7" type="noConversion"/>
  </si>
  <si>
    <t>In Yesterdays</t>
    <phoneticPr fontId="7" type="noConversion"/>
  </si>
  <si>
    <t>Value? (Y/N)</t>
    <phoneticPr fontId="7" type="noConversion"/>
  </si>
  <si>
    <t>Cash market only (8:30-3 central)</t>
    <phoneticPr fontId="7" type="noConversion"/>
  </si>
  <si>
    <t>Opened, went slightly down in first 2 min, bounced up to high at 8:44 and then kept falling</t>
    <phoneticPr fontId="7" type="noConversion"/>
  </si>
  <si>
    <t>Y</t>
    <phoneticPr fontId="7" type="noConversion"/>
  </si>
  <si>
    <t>Normal Var, Neutral-Center,</t>
  </si>
  <si>
    <t>Trend, DD Trend, Neutral-Extreme,</t>
    <phoneticPr fontId="7" type="noConversion"/>
  </si>
  <si>
    <t>Normal, Non-trend</t>
  </si>
  <si>
    <t>Day type:</t>
    <phoneticPr fontId="7" type="noConversion"/>
  </si>
  <si>
    <t>Open type:</t>
    <phoneticPr fontId="7" type="noConversion"/>
  </si>
  <si>
    <t>Open-Auction</t>
    <phoneticPr fontId="7" type="noConversion"/>
  </si>
  <si>
    <t>In Yesterdays</t>
    <phoneticPr fontId="7" type="noConversion"/>
  </si>
  <si>
    <t>Range? (Y/N)</t>
    <phoneticPr fontId="7" type="noConversion"/>
  </si>
  <si>
    <t>just kept going lower, I kept getting out too soon when I sold</t>
    <phoneticPr fontId="7" type="noConversion"/>
  </si>
  <si>
    <t>Number of times</t>
    <phoneticPr fontId="7" type="noConversion"/>
  </si>
  <si>
    <t>27% of all days are neutral days, likely to break IB high and IB low (FT71)</t>
    <phoneticPr fontId="7" type="noConversion"/>
  </si>
  <si>
    <t>73% of all days are likely to only break one side of IB high or IB low</t>
    <phoneticPr fontId="7" type="noConversion"/>
  </si>
  <si>
    <t>98% of time break either IB high or IB low</t>
    <phoneticPr fontId="7" type="noConversion"/>
  </si>
  <si>
    <t>Open-Auction</t>
    <phoneticPr fontId="7" type="noConversion"/>
  </si>
  <si>
    <t>Types of Days</t>
    <phoneticPr fontId="7" type="noConversion"/>
  </si>
  <si>
    <t>Time of High</t>
    <phoneticPr fontId="7" type="noConversion"/>
  </si>
  <si>
    <t>Open Low</t>
    <phoneticPr fontId="7" type="noConversion"/>
  </si>
  <si>
    <t>On Open-Test-Drive, how soon does it bounce back, how soon does it cross back over the open, by how much does it deviate away from the open&gt;</t>
    <phoneticPr fontId="7" type="noConversion"/>
  </si>
  <si>
    <t>Open-Test-Drive</t>
    <phoneticPr fontId="7" type="noConversion"/>
  </si>
  <si>
    <t>On open auction days, how many minutes to take direction</t>
    <phoneticPr fontId="7" type="noConversion"/>
  </si>
  <si>
    <t>On days with a drive in the first few minutes, what type of day is that? How much does it move in first few minutes?</t>
    <phoneticPr fontId="7" type="noConversion"/>
  </si>
  <si>
    <t>Open-Test-Drive Statistics</t>
    <phoneticPr fontId="7" type="noConversion"/>
  </si>
  <si>
    <t>Open-Drive, Open-Test-Drive,</t>
    <phoneticPr fontId="7" type="noConversion"/>
  </si>
  <si>
    <t>N</t>
    <phoneticPr fontId="7" type="noConversion"/>
  </si>
  <si>
    <t>Open-Auction</t>
    <phoneticPr fontId="7" type="noConversion"/>
  </si>
  <si>
    <t>Trend</t>
    <phoneticPr fontId="7" type="noConversion"/>
  </si>
  <si>
    <t>Total Number</t>
    <phoneticPr fontId="7" type="noConversion"/>
  </si>
  <si>
    <t>Days</t>
    <phoneticPr fontId="7" type="noConversion"/>
  </si>
  <si>
    <t>Time of test</t>
    <phoneticPr fontId="7" type="noConversion"/>
  </si>
  <si>
    <t>Average</t>
    <phoneticPr fontId="7" type="noConversion"/>
  </si>
  <si>
    <t>SUMIF('S&amp;P Historical Data'!I5:I30="Open-Test-Drive",MIN('S&amp;P Historical Data'!G5:G10,'S&amp;P Historical Data'!E5:E10))</t>
  </si>
  <si>
    <t>Open-Drive</t>
    <phoneticPr fontId="7" type="noConversion"/>
  </si>
  <si>
    <t>Opened and traded back and forth around the open 2793. It dropped and met some resistance at 2785, lots of volume there. It dropped below to 2780 and the volume was lower. To fill the gap it would be down to 2774 but I got out at 2780 because the volume was low at 2780 and that is a point of consolidation on the trader bite. If the bottom drops out I will be wrong, but it seemed like this was the right move.</t>
    <phoneticPr fontId="7" type="noConversion"/>
  </si>
  <si>
    <t>I am starting here to focus on only trading the open. I got caught up in emotional trading yesterday so I am going to drill in and focus on a more specific strategy</t>
    <phoneticPr fontId="7" type="noConversion"/>
  </si>
  <si>
    <t>Gap Up</t>
    <phoneticPr fontId="7" type="noConversion"/>
  </si>
</sst>
</file>

<file path=xl/styles.xml><?xml version="1.0" encoding="utf-8"?>
<styleSheet xmlns="http://schemas.openxmlformats.org/spreadsheetml/2006/main">
  <numFmts count="1">
    <numFmt numFmtId="8" formatCode="&quot;$&quot;#,##0.00_);[Red]\(&quot;$&quot;#,##0.00\)"/>
  </numFmts>
  <fonts count="10">
    <font>
      <sz val="10"/>
      <name val="Verdana"/>
    </font>
    <font>
      <sz val="10"/>
      <name val="Verdana"/>
    </font>
    <font>
      <sz val="10"/>
      <name val="Verdana"/>
    </font>
    <font>
      <sz val="10"/>
      <name val="Verdana"/>
    </font>
    <font>
      <b/>
      <sz val="10"/>
      <name val="Verdana"/>
    </font>
    <font>
      <sz val="10"/>
      <name val="Verdana"/>
    </font>
    <font>
      <b/>
      <sz val="10"/>
      <name val="Verdana"/>
    </font>
    <font>
      <sz val="8"/>
      <name val="Verdana"/>
    </font>
    <font>
      <u/>
      <sz val="10"/>
      <name val="Verdana"/>
    </font>
    <font>
      <b/>
      <u/>
      <sz val="10"/>
      <name val="Verdana"/>
    </font>
  </fonts>
  <fills count="3">
    <fill>
      <patternFill patternType="none"/>
    </fill>
    <fill>
      <patternFill patternType="gray125"/>
    </fill>
    <fill>
      <patternFill patternType="solid">
        <fgColor indexed="41"/>
        <bgColor indexed="64"/>
      </patternFill>
    </fill>
  </fills>
  <borders count="1">
    <border>
      <left/>
      <right/>
      <top/>
      <bottom/>
      <diagonal/>
    </border>
  </borders>
  <cellStyleXfs count="1">
    <xf numFmtId="0" fontId="0" fillId="0" borderId="0"/>
  </cellStyleXfs>
  <cellXfs count="30">
    <xf numFmtId="0" fontId="0" fillId="0" borderId="0" xfId="0"/>
    <xf numFmtId="0" fontId="8" fillId="0" borderId="0" xfId="0" applyFont="1"/>
    <xf numFmtId="14" fontId="0" fillId="0" borderId="0" xfId="0" applyNumberFormat="1"/>
    <xf numFmtId="8" fontId="0" fillId="0" borderId="0" xfId="0" applyNumberFormat="1"/>
    <xf numFmtId="0" fontId="0" fillId="2" borderId="0" xfId="0" applyFill="1"/>
    <xf numFmtId="3" fontId="0" fillId="0" borderId="0" xfId="0" applyNumberFormat="1"/>
    <xf numFmtId="8" fontId="0" fillId="0" borderId="0" xfId="0" applyNumberFormat="1"/>
    <xf numFmtId="0" fontId="9" fillId="0" borderId="0" xfId="0" applyFont="1"/>
    <xf numFmtId="20" fontId="0" fillId="0" borderId="0" xfId="0" applyNumberFormat="1"/>
    <xf numFmtId="20" fontId="0" fillId="0" borderId="0" xfId="0" applyNumberFormat="1"/>
    <xf numFmtId="0" fontId="6" fillId="0" borderId="0" xfId="0" applyFont="1"/>
    <xf numFmtId="20" fontId="6" fillId="0" borderId="0" xfId="0" applyNumberFormat="1" applyFont="1"/>
    <xf numFmtId="3" fontId="6" fillId="0" borderId="0" xfId="0" applyNumberFormat="1" applyFont="1"/>
    <xf numFmtId="14" fontId="5" fillId="0" borderId="0" xfId="0" applyNumberFormat="1" applyFont="1"/>
    <xf numFmtId="0" fontId="5" fillId="0" borderId="0" xfId="0" applyFont="1"/>
    <xf numFmtId="20" fontId="5" fillId="0" borderId="0" xfId="0" applyNumberFormat="1" applyFont="1"/>
    <xf numFmtId="3" fontId="5" fillId="0" borderId="0" xfId="0" applyNumberFormat="1" applyFont="1"/>
    <xf numFmtId="0" fontId="4" fillId="0" borderId="0" xfId="0" applyFont="1"/>
    <xf numFmtId="0" fontId="3" fillId="0" borderId="0" xfId="0" applyFont="1"/>
    <xf numFmtId="20" fontId="3" fillId="0" borderId="0" xfId="0" applyNumberFormat="1" applyFont="1"/>
    <xf numFmtId="3" fontId="3" fillId="0" borderId="0" xfId="0" applyNumberFormat="1" applyFont="1"/>
    <xf numFmtId="14" fontId="3" fillId="0" borderId="0" xfId="0" applyNumberFormat="1" applyFont="1"/>
    <xf numFmtId="0" fontId="2" fillId="0" borderId="0" xfId="0" applyFont="1"/>
    <xf numFmtId="20" fontId="2" fillId="0" borderId="0" xfId="0" applyNumberFormat="1" applyFont="1"/>
    <xf numFmtId="3" fontId="2" fillId="0" borderId="0" xfId="0" applyNumberFormat="1" applyFont="1"/>
    <xf numFmtId="14" fontId="2" fillId="0" borderId="0" xfId="0" applyNumberFormat="1" applyFont="1"/>
    <xf numFmtId="0" fontId="1" fillId="0" borderId="0" xfId="0" applyFont="1"/>
    <xf numFmtId="20" fontId="1" fillId="0" borderId="0" xfId="0" applyNumberFormat="1" applyFont="1"/>
    <xf numFmtId="3" fontId="1" fillId="0" borderId="0" xfId="0" applyNumberFormat="1" applyFont="1"/>
    <xf numFmtId="14" fontId="1" fillId="0" borderId="0" xfId="0" applyNumberFormat="1"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63"/>
  <sheetViews>
    <sheetView topLeftCell="A23" workbookViewId="0">
      <selection activeCell="K49" sqref="K49"/>
    </sheetView>
  </sheetViews>
  <sheetFormatPr baseColWidth="10" defaultRowHeight="13"/>
  <sheetData>
    <row r="1" spans="2:15">
      <c r="B1" t="s">
        <v>75</v>
      </c>
      <c r="H1" t="s">
        <v>74</v>
      </c>
    </row>
    <row r="2" spans="2:15" s="1" customFormat="1">
      <c r="B2" s="1" t="s">
        <v>76</v>
      </c>
      <c r="C2" s="1" t="s">
        <v>77</v>
      </c>
      <c r="D2" s="1" t="s">
        <v>78</v>
      </c>
      <c r="E2" s="1" t="s">
        <v>79</v>
      </c>
      <c r="F2" s="1" t="s">
        <v>80</v>
      </c>
      <c r="H2" s="1" t="s">
        <v>81</v>
      </c>
      <c r="I2" s="1" t="s">
        <v>77</v>
      </c>
      <c r="J2" s="1" t="s">
        <v>78</v>
      </c>
      <c r="K2" s="1" t="s">
        <v>79</v>
      </c>
      <c r="L2" s="1" t="s">
        <v>82</v>
      </c>
      <c r="N2" s="1" t="s">
        <v>85</v>
      </c>
      <c r="O2" s="1" t="s">
        <v>83</v>
      </c>
    </row>
    <row r="4" spans="2:15">
      <c r="B4" s="2">
        <v>41940</v>
      </c>
      <c r="C4" t="s">
        <v>84</v>
      </c>
      <c r="D4">
        <v>2695</v>
      </c>
    </row>
    <row r="7" spans="2:15">
      <c r="B7" s="2">
        <v>41944</v>
      </c>
      <c r="N7">
        <f>-1750-64.8</f>
        <v>-1814.8</v>
      </c>
    </row>
    <row r="9" spans="2:15">
      <c r="I9" s="3">
        <f>SUM(I13:I52)</f>
        <v>-1689</v>
      </c>
    </row>
    <row r="11" spans="2:15">
      <c r="B11" t="s">
        <v>5</v>
      </c>
      <c r="C11" t="s">
        <v>6</v>
      </c>
      <c r="D11" t="s">
        <v>7</v>
      </c>
      <c r="F11" t="s">
        <v>8</v>
      </c>
      <c r="G11" t="s">
        <v>9</v>
      </c>
    </row>
    <row r="13" spans="2:15">
      <c r="B13" s="2">
        <v>41944</v>
      </c>
      <c r="C13" t="s">
        <v>0</v>
      </c>
      <c r="D13">
        <v>1</v>
      </c>
      <c r="E13" t="s">
        <v>1</v>
      </c>
      <c r="F13">
        <v>2719.5</v>
      </c>
      <c r="G13" s="3">
        <v>-2.7</v>
      </c>
      <c r="H13" s="3"/>
      <c r="I13" s="3">
        <f>50*(F13-F14)-SUM(G13:G14)</f>
        <v>-119.6</v>
      </c>
    </row>
    <row r="14" spans="2:15">
      <c r="B14" s="2">
        <v>41944</v>
      </c>
      <c r="C14" t="s">
        <v>2</v>
      </c>
      <c r="D14">
        <v>1</v>
      </c>
      <c r="E14" t="s">
        <v>1</v>
      </c>
      <c r="F14">
        <v>2722</v>
      </c>
      <c r="G14" s="3">
        <v>-2.7</v>
      </c>
      <c r="H14" s="3"/>
    </row>
    <row r="15" spans="2:15">
      <c r="B15" s="2"/>
      <c r="G15" s="3"/>
      <c r="H15" s="3"/>
    </row>
    <row r="16" spans="2:15">
      <c r="B16" s="2">
        <v>41944</v>
      </c>
      <c r="C16" t="s">
        <v>0</v>
      </c>
      <c r="D16">
        <v>1</v>
      </c>
      <c r="E16" t="s">
        <v>1</v>
      </c>
      <c r="F16">
        <v>2723.75</v>
      </c>
      <c r="G16" s="3">
        <v>-2.7</v>
      </c>
      <c r="H16" s="3"/>
      <c r="I16" s="3">
        <f>50*(F16-F17)-SUM(G16:G17)</f>
        <v>55.4</v>
      </c>
    </row>
    <row r="17" spans="2:11">
      <c r="B17" s="2">
        <v>41944</v>
      </c>
      <c r="C17" t="s">
        <v>2</v>
      </c>
      <c r="D17">
        <v>1</v>
      </c>
      <c r="E17" t="s">
        <v>1</v>
      </c>
      <c r="F17">
        <v>2722.75</v>
      </c>
      <c r="G17" s="3">
        <v>-2.7</v>
      </c>
      <c r="H17" s="3"/>
    </row>
    <row r="18" spans="2:11">
      <c r="B18" s="2"/>
      <c r="G18" s="3"/>
      <c r="H18" s="3"/>
    </row>
    <row r="19" spans="2:11">
      <c r="B19" s="2">
        <v>41944</v>
      </c>
      <c r="C19" t="s">
        <v>0</v>
      </c>
      <c r="D19">
        <v>1</v>
      </c>
      <c r="E19" t="s">
        <v>1</v>
      </c>
      <c r="F19">
        <v>2717.75</v>
      </c>
      <c r="G19" s="3">
        <v>-2.7</v>
      </c>
      <c r="H19" s="3"/>
      <c r="I19" s="3">
        <f>50*(F19-F20)-SUM(G19:G20)</f>
        <v>-619.6</v>
      </c>
    </row>
    <row r="20" spans="2:11">
      <c r="B20" s="2">
        <v>41944</v>
      </c>
      <c r="C20" t="s">
        <v>2</v>
      </c>
      <c r="D20">
        <v>1</v>
      </c>
      <c r="E20" t="s">
        <v>1</v>
      </c>
      <c r="F20">
        <v>2730.25</v>
      </c>
      <c r="G20" s="3">
        <v>-2.7</v>
      </c>
      <c r="H20" s="3"/>
    </row>
    <row r="21" spans="2:11">
      <c r="B21" s="2"/>
      <c r="G21" s="3"/>
      <c r="H21" s="3"/>
    </row>
    <row r="22" spans="2:11">
      <c r="B22" s="2">
        <v>41944</v>
      </c>
      <c r="C22" t="s">
        <v>0</v>
      </c>
      <c r="D22">
        <v>1</v>
      </c>
      <c r="E22" t="s">
        <v>1</v>
      </c>
      <c r="F22">
        <v>2726.5</v>
      </c>
      <c r="G22" s="3">
        <v>-2.7</v>
      </c>
      <c r="H22" s="3"/>
      <c r="I22" s="3">
        <f>50*(F22-F23)-SUM(G22:G23)</f>
        <v>-107.1</v>
      </c>
    </row>
    <row r="23" spans="2:11">
      <c r="B23" s="2">
        <v>41944</v>
      </c>
      <c r="C23" t="s">
        <v>2</v>
      </c>
      <c r="D23">
        <v>1</v>
      </c>
      <c r="E23" t="s">
        <v>1</v>
      </c>
      <c r="F23">
        <v>2728.75</v>
      </c>
      <c r="G23" s="3">
        <v>-2.7</v>
      </c>
      <c r="H23" s="3"/>
    </row>
    <row r="24" spans="2:11">
      <c r="B24" s="2"/>
      <c r="G24" s="3"/>
      <c r="H24" s="3"/>
    </row>
    <row r="25" spans="2:11">
      <c r="B25" s="2">
        <v>41944</v>
      </c>
      <c r="C25" t="s">
        <v>3</v>
      </c>
      <c r="D25">
        <v>1</v>
      </c>
      <c r="E25" t="s">
        <v>1</v>
      </c>
      <c r="F25">
        <v>2747.25</v>
      </c>
      <c r="G25" s="3">
        <v>-2.7</v>
      </c>
      <c r="H25" s="3"/>
      <c r="I25" s="3">
        <f>50*(F26-F25)-SUM(G25:G26)</f>
        <v>245.6</v>
      </c>
    </row>
    <row r="26" spans="2:11">
      <c r="B26" s="2">
        <v>41944</v>
      </c>
      <c r="C26" t="s">
        <v>0</v>
      </c>
      <c r="D26">
        <v>2</v>
      </c>
      <c r="E26" t="s">
        <v>1</v>
      </c>
      <c r="F26">
        <v>2752</v>
      </c>
      <c r="G26" s="3">
        <v>-5.4</v>
      </c>
      <c r="H26" s="3"/>
      <c r="I26" s="3">
        <f>50*(F26-F27)-SUM(G26:G27)</f>
        <v>-201.7</v>
      </c>
    </row>
    <row r="27" spans="2:11">
      <c r="B27" s="2">
        <v>41944</v>
      </c>
      <c r="C27" t="s">
        <v>3</v>
      </c>
      <c r="D27">
        <v>2</v>
      </c>
      <c r="E27" t="s">
        <v>1</v>
      </c>
      <c r="F27">
        <v>2756.25</v>
      </c>
      <c r="G27" s="3">
        <v>-5.4</v>
      </c>
      <c r="H27" s="3"/>
      <c r="I27" s="3">
        <f>50*(F28-F27)-SUM(G27:G28)</f>
        <v>-114.2</v>
      </c>
      <c r="K27" s="3">
        <f>SUM(I13:I32)</f>
        <v>-1759.9</v>
      </c>
    </row>
    <row r="28" spans="2:11">
      <c r="B28" s="2">
        <v>41944</v>
      </c>
      <c r="C28" t="s">
        <v>0</v>
      </c>
      <c r="D28">
        <v>2</v>
      </c>
      <c r="E28" t="s">
        <v>1</v>
      </c>
      <c r="F28">
        <v>2753.75</v>
      </c>
      <c r="G28" s="3">
        <v>-5.4</v>
      </c>
      <c r="H28" s="3"/>
      <c r="I28" s="3">
        <f>50*(F28-F29)-SUM(G28:G29)</f>
        <v>60.8</v>
      </c>
    </row>
    <row r="29" spans="2:11">
      <c r="B29" s="2">
        <v>41944</v>
      </c>
      <c r="C29" t="s">
        <v>3</v>
      </c>
      <c r="D29">
        <v>2</v>
      </c>
      <c r="E29" t="s">
        <v>1</v>
      </c>
      <c r="F29">
        <v>2752.75</v>
      </c>
      <c r="G29" s="3">
        <v>-5.4</v>
      </c>
      <c r="H29" s="3"/>
      <c r="I29" s="3">
        <f>50*(F30-F29)-SUM(G29:G30)</f>
        <v>-276.7</v>
      </c>
    </row>
    <row r="30" spans="2:11">
      <c r="B30" s="2">
        <v>41944</v>
      </c>
      <c r="C30" t="s">
        <v>0</v>
      </c>
      <c r="D30">
        <v>2</v>
      </c>
      <c r="E30" t="s">
        <v>1</v>
      </c>
      <c r="F30">
        <v>2747</v>
      </c>
      <c r="G30" s="3">
        <v>-5.4</v>
      </c>
      <c r="H30" s="3"/>
      <c r="I30" s="3">
        <f>50*(F30-F31)-SUM(G30:G31)</f>
        <v>-176.7</v>
      </c>
    </row>
    <row r="31" spans="2:11">
      <c r="B31" s="2">
        <v>41944</v>
      </c>
      <c r="C31" t="s">
        <v>3</v>
      </c>
      <c r="D31">
        <v>2</v>
      </c>
      <c r="E31" t="s">
        <v>1</v>
      </c>
      <c r="F31">
        <v>2750.75</v>
      </c>
      <c r="G31" s="3">
        <v>-5.4</v>
      </c>
      <c r="H31" s="3"/>
      <c r="I31" s="3">
        <f>50*(F32-F31)-SUM(G31:G32)</f>
        <v>-176.7</v>
      </c>
    </row>
    <row r="32" spans="2:11">
      <c r="B32" s="2">
        <v>41944</v>
      </c>
      <c r="C32" t="s">
        <v>0</v>
      </c>
      <c r="D32">
        <v>2</v>
      </c>
      <c r="E32" t="s">
        <v>1</v>
      </c>
      <c r="F32">
        <v>2747</v>
      </c>
      <c r="G32" s="3">
        <v>-5.4</v>
      </c>
      <c r="H32" s="3"/>
      <c r="I32" s="3">
        <f>50*(F32-F33)-SUM(G32:G33)</f>
        <v>-329.4</v>
      </c>
    </row>
    <row r="33" spans="2:11">
      <c r="B33" s="2">
        <v>41944</v>
      </c>
      <c r="C33" t="s">
        <v>2</v>
      </c>
      <c r="D33">
        <v>1</v>
      </c>
      <c r="E33" t="s">
        <v>1</v>
      </c>
      <c r="F33">
        <v>2753.75</v>
      </c>
      <c r="G33" s="3">
        <v>-2.7</v>
      </c>
      <c r="H33" s="3"/>
    </row>
    <row r="34" spans="2:11">
      <c r="B34" s="2"/>
      <c r="G34" s="3"/>
      <c r="H34" s="3"/>
    </row>
    <row r="35" spans="2:11">
      <c r="B35" s="2">
        <v>41943</v>
      </c>
      <c r="C35" t="s">
        <v>0</v>
      </c>
      <c r="D35">
        <v>1</v>
      </c>
      <c r="E35" t="s">
        <v>1</v>
      </c>
      <c r="F35">
        <v>2726.5</v>
      </c>
      <c r="G35" s="3">
        <v>-2.7</v>
      </c>
      <c r="H35" s="3"/>
    </row>
    <row r="36" spans="2:11">
      <c r="B36" s="2">
        <v>41943</v>
      </c>
      <c r="C36" t="s">
        <v>3</v>
      </c>
      <c r="D36">
        <v>2</v>
      </c>
      <c r="E36" t="s">
        <v>1</v>
      </c>
      <c r="F36">
        <v>2736</v>
      </c>
      <c r="G36" s="3">
        <v>-5.4</v>
      </c>
      <c r="H36" s="3"/>
      <c r="I36" s="3">
        <f>50*(F37-F36)-SUM(G36:G37)</f>
        <v>-391.9</v>
      </c>
    </row>
    <row r="37" spans="2:11">
      <c r="B37" s="2">
        <v>41943</v>
      </c>
      <c r="C37" t="s">
        <v>4</v>
      </c>
      <c r="D37">
        <v>1</v>
      </c>
      <c r="E37" t="s">
        <v>1</v>
      </c>
      <c r="F37">
        <v>2728</v>
      </c>
      <c r="G37" s="3">
        <v>-2.7</v>
      </c>
      <c r="H37" s="3"/>
    </row>
    <row r="38" spans="2:11">
      <c r="B38" s="2"/>
      <c r="G38" s="3"/>
      <c r="H38" s="3"/>
    </row>
    <row r="39" spans="2:11">
      <c r="B39" s="2">
        <v>41942</v>
      </c>
      <c r="C39" t="s">
        <v>0</v>
      </c>
      <c r="D39">
        <v>1</v>
      </c>
      <c r="E39" t="s">
        <v>1</v>
      </c>
      <c r="F39">
        <v>2720</v>
      </c>
      <c r="G39" s="3">
        <v>-2.7</v>
      </c>
      <c r="H39" s="3"/>
      <c r="I39" s="3">
        <f>50*(F39-F40)-SUM(G39:G40)</f>
        <v>2055.4</v>
      </c>
    </row>
    <row r="40" spans="2:11">
      <c r="B40" s="2">
        <v>41941</v>
      </c>
      <c r="C40" t="s">
        <v>2</v>
      </c>
      <c r="D40">
        <v>1</v>
      </c>
      <c r="E40" t="s">
        <v>1</v>
      </c>
      <c r="F40">
        <v>2679</v>
      </c>
      <c r="G40" s="3">
        <v>-2.7</v>
      </c>
      <c r="H40" s="3"/>
    </row>
    <row r="41" spans="2:11">
      <c r="B41" s="2"/>
      <c r="G41" s="3"/>
      <c r="H41" s="3"/>
    </row>
    <row r="42" spans="2:11">
      <c r="B42" s="2">
        <v>41941</v>
      </c>
      <c r="C42" t="s">
        <v>3</v>
      </c>
      <c r="D42">
        <v>1</v>
      </c>
      <c r="E42" t="s">
        <v>1</v>
      </c>
      <c r="F42">
        <v>2665</v>
      </c>
      <c r="G42" s="3">
        <v>-2.7</v>
      </c>
      <c r="H42" s="3"/>
      <c r="I42" s="3">
        <f>50*(F43-F42)-SUM(G42:G43)</f>
        <v>-844.6</v>
      </c>
    </row>
    <row r="43" spans="2:11">
      <c r="B43" s="2">
        <v>41941</v>
      </c>
      <c r="C43" t="s">
        <v>4</v>
      </c>
      <c r="D43">
        <v>1</v>
      </c>
      <c r="E43" t="s">
        <v>1</v>
      </c>
      <c r="F43">
        <v>2648</v>
      </c>
      <c r="G43" s="3">
        <v>-2.7</v>
      </c>
      <c r="H43" s="3"/>
    </row>
    <row r="44" spans="2:11">
      <c r="B44" s="2"/>
      <c r="G44" s="3"/>
      <c r="H44" s="3"/>
    </row>
    <row r="45" spans="2:11">
      <c r="B45" s="2">
        <v>41940</v>
      </c>
      <c r="C45" t="s">
        <v>0</v>
      </c>
      <c r="D45">
        <v>1</v>
      </c>
      <c r="E45" t="s">
        <v>1</v>
      </c>
      <c r="F45">
        <v>2638.25</v>
      </c>
      <c r="G45" s="3">
        <v>-2.7</v>
      </c>
      <c r="H45" s="3"/>
      <c r="I45" s="3">
        <f>50*(F45-F46)-SUM(G45:G46)</f>
        <v>30.4</v>
      </c>
    </row>
    <row r="46" spans="2:11">
      <c r="B46" s="2">
        <v>41940</v>
      </c>
      <c r="C46" t="s">
        <v>2</v>
      </c>
      <c r="D46">
        <v>1</v>
      </c>
      <c r="E46" t="s">
        <v>1</v>
      </c>
      <c r="F46">
        <v>2637.75</v>
      </c>
      <c r="G46" s="3">
        <v>-2.7</v>
      </c>
      <c r="H46" s="3"/>
    </row>
    <row r="47" spans="2:11">
      <c r="B47" s="2"/>
      <c r="G47" s="3"/>
      <c r="H47" s="3"/>
    </row>
    <row r="48" spans="2:11">
      <c r="B48" s="2">
        <v>41940</v>
      </c>
      <c r="C48" t="s">
        <v>3</v>
      </c>
      <c r="D48">
        <v>1</v>
      </c>
      <c r="E48" t="s">
        <v>1</v>
      </c>
      <c r="F48">
        <v>2705</v>
      </c>
      <c r="G48" s="3">
        <v>-2.7</v>
      </c>
      <c r="H48" s="3"/>
      <c r="I48" s="3">
        <f>50*(F49-F48)-SUM(G48:G49)</f>
        <v>-629.4</v>
      </c>
      <c r="K48" s="6">
        <f>I48+I49</f>
        <v>-771.3</v>
      </c>
    </row>
    <row r="49" spans="1:14">
      <c r="B49" s="2">
        <v>41940</v>
      </c>
      <c r="C49" t="s">
        <v>0</v>
      </c>
      <c r="D49">
        <v>2</v>
      </c>
      <c r="E49" t="s">
        <v>1</v>
      </c>
      <c r="F49">
        <v>2692.25</v>
      </c>
      <c r="G49" s="3">
        <v>-5.4</v>
      </c>
      <c r="H49" s="3"/>
      <c r="I49" s="3">
        <f>50*(F49-F50)-SUM(G49:G50)</f>
        <v>-141.9</v>
      </c>
    </row>
    <row r="50" spans="1:14">
      <c r="B50" s="2">
        <v>41940</v>
      </c>
      <c r="C50" t="s">
        <v>2</v>
      </c>
      <c r="D50">
        <v>1</v>
      </c>
      <c r="E50" t="s">
        <v>1</v>
      </c>
      <c r="F50">
        <v>2695.25</v>
      </c>
      <c r="G50" s="3">
        <v>-2.7</v>
      </c>
      <c r="H50" s="3"/>
    </row>
    <row r="51" spans="1:14">
      <c r="B51" s="2"/>
      <c r="G51" s="3"/>
      <c r="H51" s="3"/>
    </row>
    <row r="52" spans="1:14">
      <c r="B52" s="2">
        <v>41940</v>
      </c>
      <c r="C52" t="s">
        <v>3</v>
      </c>
      <c r="D52">
        <v>1</v>
      </c>
      <c r="E52" t="s">
        <v>1</v>
      </c>
      <c r="F52">
        <v>2695.25</v>
      </c>
      <c r="G52" s="3">
        <v>-2.7</v>
      </c>
      <c r="H52" s="3"/>
      <c r="I52" s="3">
        <f>50*(F53-F52)-SUM(G52:G53)</f>
        <v>-7.1</v>
      </c>
    </row>
    <row r="53" spans="1:14">
      <c r="B53" s="2">
        <v>41940</v>
      </c>
      <c r="C53" t="s">
        <v>4</v>
      </c>
      <c r="D53">
        <v>1</v>
      </c>
      <c r="E53" t="s">
        <v>1</v>
      </c>
      <c r="F53">
        <v>2695</v>
      </c>
      <c r="G53" s="3">
        <v>-2.7</v>
      </c>
      <c r="H53" s="3"/>
    </row>
    <row r="54" spans="1:14">
      <c r="C54" s="3"/>
      <c r="D54" s="3"/>
      <c r="E54" s="3"/>
    </row>
    <row r="55" spans="1:14" s="4" customFormat="1"/>
    <row r="56" spans="1:14">
      <c r="A56" s="2">
        <v>41944</v>
      </c>
    </row>
    <row r="57" spans="1:14">
      <c r="A57" t="s">
        <v>170</v>
      </c>
    </row>
    <row r="58" spans="1:14">
      <c r="A58" t="s">
        <v>86</v>
      </c>
    </row>
    <row r="60" spans="1:14">
      <c r="A60" t="s">
        <v>75</v>
      </c>
      <c r="G60" t="s">
        <v>74</v>
      </c>
    </row>
    <row r="61" spans="1:14">
      <c r="A61" s="1" t="s">
        <v>76</v>
      </c>
      <c r="B61" s="1" t="s">
        <v>77</v>
      </c>
      <c r="C61" s="1" t="s">
        <v>78</v>
      </c>
      <c r="D61" s="1" t="s">
        <v>79</v>
      </c>
      <c r="E61" s="1" t="s">
        <v>80</v>
      </c>
      <c r="F61" s="1"/>
      <c r="G61" s="1" t="s">
        <v>76</v>
      </c>
      <c r="H61" s="1" t="s">
        <v>77</v>
      </c>
      <c r="I61" s="1" t="s">
        <v>78</v>
      </c>
      <c r="J61" s="1" t="s">
        <v>79</v>
      </c>
      <c r="K61" s="1" t="s">
        <v>82</v>
      </c>
      <c r="L61" s="1"/>
      <c r="M61" s="1" t="s">
        <v>85</v>
      </c>
      <c r="N61" s="1" t="s">
        <v>83</v>
      </c>
    </row>
    <row r="63" spans="1:14">
      <c r="A63" s="2">
        <v>41947</v>
      </c>
      <c r="B63" t="s">
        <v>125</v>
      </c>
      <c r="C63">
        <v>2730.25</v>
      </c>
      <c r="D63">
        <v>2.7</v>
      </c>
      <c r="G63" s="2">
        <v>41947</v>
      </c>
      <c r="H63" t="s">
        <v>126</v>
      </c>
      <c r="I63">
        <v>2720</v>
      </c>
      <c r="J63">
        <v>2.7</v>
      </c>
      <c r="M63">
        <f>50*(C63-I63)-(J63+D63)</f>
        <v>507.1</v>
      </c>
    </row>
  </sheetData>
  <phoneticPr fontId="7"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A13"/>
  <sheetViews>
    <sheetView workbookViewId="0">
      <selection activeCell="A11" sqref="A11"/>
    </sheetView>
  </sheetViews>
  <sheetFormatPr baseColWidth="10" defaultRowHeight="13"/>
  <sheetData>
    <row r="3" spans="1:1">
      <c r="A3" t="s">
        <v>118</v>
      </c>
    </row>
    <row r="4" spans="1:1">
      <c r="A4" t="s">
        <v>123</v>
      </c>
    </row>
    <row r="6" spans="1:1">
      <c r="A6" t="s">
        <v>124</v>
      </c>
    </row>
    <row r="8" spans="1:1">
      <c r="A8" t="s">
        <v>156</v>
      </c>
    </row>
    <row r="9" spans="1:1">
      <c r="A9" t="s">
        <v>157</v>
      </c>
    </row>
    <row r="11" spans="1:1">
      <c r="A11" s="17" t="s">
        <v>155</v>
      </c>
    </row>
    <row r="12" spans="1:1">
      <c r="A12" t="s">
        <v>154</v>
      </c>
    </row>
    <row r="13" spans="1:1">
      <c r="A13" t="s">
        <v>65</v>
      </c>
    </row>
  </sheetData>
  <phoneticPr fontId="7"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1"/>
  <sheetViews>
    <sheetView workbookViewId="0">
      <selection activeCell="A4" sqref="A4"/>
    </sheetView>
  </sheetViews>
  <sheetFormatPr baseColWidth="10" defaultRowHeight="13"/>
  <cols>
    <col min="2" max="2" width="12.5703125" customWidth="1"/>
    <col min="3" max="3" width="13.140625" customWidth="1"/>
    <col min="4" max="4" width="17.140625" customWidth="1"/>
    <col min="5" max="5" width="12.42578125" customWidth="1"/>
    <col min="6" max="6" width="11.85546875" bestFit="1" customWidth="1"/>
  </cols>
  <sheetData>
    <row r="1" spans="1:6">
      <c r="A1" t="s">
        <v>147</v>
      </c>
    </row>
    <row r="2" spans="1:6">
      <c r="A2" t="s">
        <v>148</v>
      </c>
    </row>
    <row r="3" spans="1:6">
      <c r="A3" t="s">
        <v>149</v>
      </c>
    </row>
    <row r="8" spans="1:6">
      <c r="A8" s="7" t="s">
        <v>158</v>
      </c>
    </row>
    <row r="9" spans="1:6">
      <c r="F9" t="s">
        <v>167</v>
      </c>
    </row>
    <row r="10" spans="1:6">
      <c r="B10" t="s">
        <v>163</v>
      </c>
    </row>
    <row r="11" spans="1:6">
      <c r="B11" t="s">
        <v>41</v>
      </c>
      <c r="D11" t="s">
        <v>166</v>
      </c>
      <c r="F11" t="s">
        <v>28</v>
      </c>
    </row>
    <row r="12" spans="1:6">
      <c r="B12" t="s">
        <v>164</v>
      </c>
      <c r="D12" t="s">
        <v>165</v>
      </c>
      <c r="F12" s="9">
        <f>SUM(IF(SPHistoricalData!I10:I35="Open-Test-Drive",MIN(SPHistoricalData!G10:G15,SPHistoricalData!E10:E15)))/B13</f>
        <v>0</v>
      </c>
    </row>
    <row r="13" spans="1:6">
      <c r="B13">
        <f>C31</f>
        <v>3</v>
      </c>
      <c r="D13" s="8">
        <f>IF(SPHistoricalData!I15="Open-Test-Drive",MIN(SPHistoricalData!G15,SPHistoricalData!E15))</f>
        <v>0.36388888888888887</v>
      </c>
    </row>
    <row r="15" spans="1:6">
      <c r="D15" t="s">
        <v>29</v>
      </c>
    </row>
    <row r="16" spans="1:6">
      <c r="D16" s="9">
        <f>(SPHistoricalData!E15+SPHistoricalData!G18+SPHistoricalData!G17)/3</f>
        <v>0.35856481481481484</v>
      </c>
    </row>
    <row r="18" spans="1:8">
      <c r="A18" s="7" t="s">
        <v>30</v>
      </c>
    </row>
    <row r="20" spans="1:8">
      <c r="A20" s="1" t="s">
        <v>151</v>
      </c>
    </row>
    <row r="21" spans="1:8">
      <c r="B21" t="s">
        <v>107</v>
      </c>
      <c r="C21" t="s">
        <v>107</v>
      </c>
      <c r="D21" t="s">
        <v>107</v>
      </c>
      <c r="E21" t="s">
        <v>107</v>
      </c>
      <c r="F21" t="s">
        <v>107</v>
      </c>
      <c r="G21" t="s">
        <v>107</v>
      </c>
      <c r="H21" t="s">
        <v>107</v>
      </c>
    </row>
    <row r="22" spans="1:8">
      <c r="B22" t="s">
        <v>31</v>
      </c>
      <c r="C22" t="s">
        <v>33</v>
      </c>
      <c r="D22" t="s">
        <v>34</v>
      </c>
      <c r="E22" t="s">
        <v>35</v>
      </c>
      <c r="F22" t="s">
        <v>36</v>
      </c>
      <c r="G22" t="s">
        <v>37</v>
      </c>
      <c r="H22" t="s">
        <v>38</v>
      </c>
    </row>
    <row r="23" spans="1:8">
      <c r="B23" t="s">
        <v>32</v>
      </c>
      <c r="C23" t="s">
        <v>32</v>
      </c>
      <c r="D23" t="s">
        <v>32</v>
      </c>
      <c r="E23" t="s">
        <v>32</v>
      </c>
      <c r="F23" t="s">
        <v>32</v>
      </c>
      <c r="G23" t="s">
        <v>32</v>
      </c>
      <c r="H23" t="s">
        <v>32</v>
      </c>
    </row>
    <row r="24" spans="1:8">
      <c r="B24">
        <f>COUNTIF(SPHistoricalData!$J$10:$J28,"Trend")</f>
        <v>3</v>
      </c>
      <c r="C24">
        <f>COUNTIF(SPHistoricalData!$J$10:$J28,"DD Trend")</f>
        <v>3</v>
      </c>
      <c r="D24">
        <f>COUNTIF(SPHistoricalData!$J$10:$J28,"Neutral-Extreme")</f>
        <v>0</v>
      </c>
      <c r="E24">
        <f>COUNTIF(SPHistoricalData!$J$10:$J28,"Normal Var")</f>
        <v>0</v>
      </c>
      <c r="F24">
        <f>COUNTIF(SPHistoricalData!$J$10:$J28,"Neutral-Center")</f>
        <v>0</v>
      </c>
      <c r="G24">
        <f>COUNTIF(SPHistoricalData!$J$10:$J28,"Normal")</f>
        <v>1</v>
      </c>
      <c r="H24">
        <f>COUNTIF(SPHistoricalData!$J$10:$J28,"Non-trend")</f>
        <v>2</v>
      </c>
    </row>
    <row r="27" spans="1:8">
      <c r="A27" s="1" t="s">
        <v>39</v>
      </c>
    </row>
    <row r="28" spans="1:8">
      <c r="B28" t="s">
        <v>107</v>
      </c>
      <c r="C28" t="s">
        <v>107</v>
      </c>
      <c r="D28" t="s">
        <v>107</v>
      </c>
      <c r="E28" t="s">
        <v>107</v>
      </c>
    </row>
    <row r="29" spans="1:8">
      <c r="B29" t="s">
        <v>40</v>
      </c>
      <c r="C29" t="s">
        <v>41</v>
      </c>
      <c r="D29" t="s">
        <v>42</v>
      </c>
      <c r="E29" t="s">
        <v>150</v>
      </c>
    </row>
    <row r="30" spans="1:8">
      <c r="B30" t="s">
        <v>32</v>
      </c>
      <c r="C30" t="s">
        <v>32</v>
      </c>
      <c r="D30" t="s">
        <v>32</v>
      </c>
      <c r="E30" t="s">
        <v>32</v>
      </c>
    </row>
    <row r="31" spans="1:8">
      <c r="B31">
        <f>COUNTIF(SPHistoricalData!$I$10:$I35,"Open-Drive")</f>
        <v>2</v>
      </c>
      <c r="C31">
        <f>COUNTIF(SPHistoricalData!$I$10:$I35,"Open-Test-Drive")</f>
        <v>3</v>
      </c>
      <c r="D31">
        <f>COUNTIF(SPHistoricalData!$I$10:$I35,"Open-Reject-Reverse")</f>
        <v>1</v>
      </c>
      <c r="E31">
        <f>COUNTIF(SPHistoricalData!$I$10:$I35,"Open-Auction")</f>
        <v>3</v>
      </c>
    </row>
  </sheetData>
  <phoneticPr fontId="7"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B1:Y22"/>
  <sheetViews>
    <sheetView tabSelected="1" topLeftCell="K1" workbookViewId="0">
      <pane ySplit="4" topLeftCell="A5" activePane="bottomLeft" state="frozen"/>
      <selection pane="bottomLeft" activeCell="V7" sqref="V7"/>
    </sheetView>
  </sheetViews>
  <sheetFormatPr baseColWidth="10" defaultRowHeight="13"/>
  <cols>
    <col min="4" max="4" width="15.5703125" customWidth="1"/>
    <col min="5" max="5" width="11" style="9" customWidth="1"/>
    <col min="6" max="6" width="15.140625" customWidth="1"/>
    <col min="7" max="7" width="12" style="9" customWidth="1"/>
    <col min="8" max="8" width="12" style="5" customWidth="1"/>
    <col min="9" max="9" width="22.7109375" customWidth="1"/>
    <col min="10" max="10" width="26.85546875" customWidth="1"/>
    <col min="14" max="14" width="13.85546875" bestFit="1" customWidth="1"/>
    <col min="21" max="21" width="13.85546875" bestFit="1" customWidth="1"/>
    <col min="22" max="22" width="11.7109375" bestFit="1" customWidth="1"/>
  </cols>
  <sheetData>
    <row r="1" spans="2:25">
      <c r="I1" t="s">
        <v>141</v>
      </c>
      <c r="J1" t="s">
        <v>140</v>
      </c>
      <c r="N1" t="s">
        <v>146</v>
      </c>
      <c r="P1" t="s">
        <v>134</v>
      </c>
      <c r="U1" t="s">
        <v>113</v>
      </c>
    </row>
    <row r="2" spans="2:25">
      <c r="C2" t="s">
        <v>14</v>
      </c>
      <c r="I2" t="s">
        <v>159</v>
      </c>
      <c r="J2" t="s">
        <v>138</v>
      </c>
      <c r="K2" t="s">
        <v>17</v>
      </c>
      <c r="L2" t="s">
        <v>131</v>
      </c>
      <c r="M2" t="s">
        <v>100</v>
      </c>
      <c r="N2" t="s">
        <v>105</v>
      </c>
    </row>
    <row r="3" spans="2:25">
      <c r="C3" t="s">
        <v>11</v>
      </c>
      <c r="D3" t="s">
        <v>71</v>
      </c>
      <c r="E3" s="9" t="s">
        <v>72</v>
      </c>
      <c r="F3" t="s">
        <v>71</v>
      </c>
      <c r="G3" s="9" t="s">
        <v>72</v>
      </c>
      <c r="H3" s="5" t="s">
        <v>116</v>
      </c>
      <c r="I3" t="s">
        <v>70</v>
      </c>
      <c r="J3" t="s">
        <v>137</v>
      </c>
      <c r="K3" t="s">
        <v>143</v>
      </c>
      <c r="L3" t="s">
        <v>132</v>
      </c>
      <c r="M3" t="s">
        <v>101</v>
      </c>
      <c r="N3" t="s">
        <v>106</v>
      </c>
      <c r="P3" t="s">
        <v>10</v>
      </c>
      <c r="Q3" t="s">
        <v>12</v>
      </c>
      <c r="R3" t="s">
        <v>12</v>
      </c>
      <c r="S3" t="s">
        <v>12</v>
      </c>
      <c r="V3" t="s">
        <v>115</v>
      </c>
      <c r="W3" t="s">
        <v>115</v>
      </c>
    </row>
    <row r="4" spans="2:25">
      <c r="B4" t="s">
        <v>87</v>
      </c>
      <c r="C4" t="s">
        <v>19</v>
      </c>
      <c r="D4" t="s">
        <v>15</v>
      </c>
      <c r="E4" s="9" t="s">
        <v>73</v>
      </c>
      <c r="F4" t="s">
        <v>16</v>
      </c>
      <c r="G4" s="9" t="s">
        <v>16</v>
      </c>
      <c r="H4" s="5" t="s">
        <v>117</v>
      </c>
      <c r="I4" t="s">
        <v>142</v>
      </c>
      <c r="J4" t="s">
        <v>139</v>
      </c>
      <c r="K4" t="s">
        <v>144</v>
      </c>
      <c r="L4" t="s">
        <v>133</v>
      </c>
      <c r="M4" t="s">
        <v>102</v>
      </c>
      <c r="P4" t="s">
        <v>11</v>
      </c>
      <c r="Q4" t="s">
        <v>13</v>
      </c>
      <c r="R4" t="s">
        <v>15</v>
      </c>
      <c r="S4" t="s">
        <v>16</v>
      </c>
      <c r="U4" t="s">
        <v>114</v>
      </c>
      <c r="V4" t="s">
        <v>68</v>
      </c>
      <c r="W4" t="s">
        <v>69</v>
      </c>
      <c r="Y4" t="s">
        <v>112</v>
      </c>
    </row>
    <row r="5" spans="2:25" s="10" customFormat="1">
      <c r="B5" s="10" t="s">
        <v>120</v>
      </c>
      <c r="C5" s="10" t="s">
        <v>121</v>
      </c>
      <c r="D5" s="10" t="s">
        <v>122</v>
      </c>
      <c r="E5" s="11" t="s">
        <v>152</v>
      </c>
      <c r="F5" s="10" t="s">
        <v>153</v>
      </c>
      <c r="G5" s="11" t="s">
        <v>50</v>
      </c>
      <c r="H5" s="12" t="s">
        <v>51</v>
      </c>
      <c r="I5" s="10" t="s">
        <v>52</v>
      </c>
      <c r="J5" s="10" t="s">
        <v>53</v>
      </c>
      <c r="K5" s="10" t="s">
        <v>54</v>
      </c>
      <c r="L5" s="10" t="s">
        <v>55</v>
      </c>
      <c r="M5" s="10" t="s">
        <v>56</v>
      </c>
      <c r="N5" s="10" t="s">
        <v>57</v>
      </c>
      <c r="P5" s="10" t="s">
        <v>58</v>
      </c>
      <c r="Q5" s="10" t="s">
        <v>59</v>
      </c>
      <c r="R5" s="10" t="s">
        <v>60</v>
      </c>
      <c r="S5" s="10" t="s">
        <v>61</v>
      </c>
      <c r="U5" s="10" t="s">
        <v>62</v>
      </c>
      <c r="V5" s="10" t="s">
        <v>63</v>
      </c>
      <c r="W5" s="10" t="s">
        <v>64</v>
      </c>
    </row>
    <row r="6" spans="2:25" s="26" customFormat="1">
      <c r="B6" s="29">
        <v>41957</v>
      </c>
      <c r="E6" s="27"/>
      <c r="G6" s="27"/>
      <c r="H6" s="28"/>
      <c r="P6" s="26">
        <v>2743.75</v>
      </c>
      <c r="Q6" s="26">
        <v>2703</v>
      </c>
      <c r="R6" s="26">
        <v>2748.25</v>
      </c>
      <c r="S6" s="26">
        <v>2686.25</v>
      </c>
    </row>
    <row r="7" spans="2:25" s="22" customFormat="1">
      <c r="B7" s="25">
        <v>41956</v>
      </c>
      <c r="C7" s="22">
        <v>2743.75</v>
      </c>
      <c r="D7" s="22">
        <v>2748.25</v>
      </c>
      <c r="E7" s="23">
        <v>0.36458333333333331</v>
      </c>
      <c r="F7" s="22">
        <v>2722.5</v>
      </c>
      <c r="G7" s="23">
        <v>0.41111111111111115</v>
      </c>
      <c r="H7" s="24">
        <v>460681</v>
      </c>
      <c r="I7" s="26" t="s">
        <v>24</v>
      </c>
      <c r="J7" s="26" t="s">
        <v>25</v>
      </c>
      <c r="K7" s="26" t="s">
        <v>26</v>
      </c>
      <c r="M7" s="22" t="s">
        <v>27</v>
      </c>
      <c r="N7" s="22">
        <v>4</v>
      </c>
      <c r="P7" s="22">
        <v>2733.25</v>
      </c>
      <c r="Q7" s="22">
        <v>2727.5</v>
      </c>
      <c r="R7" s="22">
        <v>2755.75</v>
      </c>
      <c r="S7" s="22">
        <v>2714.5</v>
      </c>
      <c r="U7" s="22">
        <v>0</v>
      </c>
      <c r="V7" s="22">
        <v>0</v>
      </c>
      <c r="W7" s="22">
        <v>0</v>
      </c>
    </row>
    <row r="8" spans="2:25" s="18" customFormat="1">
      <c r="B8" s="21">
        <v>41955</v>
      </c>
      <c r="C8" s="18">
        <v>2733.25</v>
      </c>
      <c r="D8" s="18">
        <v>2744</v>
      </c>
      <c r="E8" s="19">
        <v>0.3666666666666667</v>
      </c>
      <c r="F8" s="18">
        <v>2719.5</v>
      </c>
      <c r="G8" s="19">
        <v>0.3972222222222222</v>
      </c>
      <c r="H8" s="20">
        <v>546403</v>
      </c>
      <c r="I8" s="18" t="s">
        <v>43</v>
      </c>
      <c r="J8" s="18" t="s">
        <v>44</v>
      </c>
      <c r="K8" s="22" t="s">
        <v>45</v>
      </c>
      <c r="M8" s="18" t="s">
        <v>46</v>
      </c>
      <c r="N8" s="18">
        <v>6</v>
      </c>
      <c r="P8" s="18">
        <v>2774.25</v>
      </c>
      <c r="Q8" s="18">
        <v>2728.75</v>
      </c>
      <c r="R8" s="18">
        <v>2777.5</v>
      </c>
      <c r="S8" s="18">
        <v>2722.25</v>
      </c>
      <c r="U8" s="18">
        <v>6</v>
      </c>
      <c r="V8" s="18">
        <v>-17.25</v>
      </c>
      <c r="W8" s="18">
        <v>-862</v>
      </c>
    </row>
    <row r="9" spans="2:25" s="14" customFormat="1">
      <c r="B9" s="13">
        <v>41954</v>
      </c>
      <c r="C9" s="14">
        <v>2774.25</v>
      </c>
      <c r="D9" s="14">
        <v>2777.5</v>
      </c>
      <c r="E9" s="15">
        <v>0.35486111111111113</v>
      </c>
      <c r="F9" s="14">
        <v>2745.5</v>
      </c>
      <c r="G9" s="15">
        <v>0.41666666666666669</v>
      </c>
      <c r="H9" s="16">
        <v>448339</v>
      </c>
      <c r="I9" s="14" t="s">
        <v>104</v>
      </c>
      <c r="J9" s="14" t="s">
        <v>47</v>
      </c>
      <c r="K9" s="14" t="s">
        <v>48</v>
      </c>
      <c r="M9" s="14" t="s">
        <v>49</v>
      </c>
      <c r="N9" s="14">
        <v>0</v>
      </c>
      <c r="P9" s="14">
        <v>2793</v>
      </c>
      <c r="Q9" s="14">
        <v>2779.75</v>
      </c>
      <c r="R9" s="14">
        <v>2795.25</v>
      </c>
      <c r="S9" s="14">
        <v>2764.5</v>
      </c>
      <c r="U9" s="14">
        <v>8</v>
      </c>
      <c r="V9" s="14">
        <v>-5.25</v>
      </c>
      <c r="W9" s="14">
        <v>-262.5</v>
      </c>
      <c r="Y9" s="14" t="s">
        <v>145</v>
      </c>
    </row>
    <row r="10" spans="2:25">
      <c r="B10" s="2">
        <v>41951</v>
      </c>
      <c r="C10">
        <v>2793</v>
      </c>
      <c r="D10">
        <v>2795.25</v>
      </c>
      <c r="E10" s="9">
        <v>0.35555555555555557</v>
      </c>
      <c r="F10">
        <v>2777.25</v>
      </c>
      <c r="G10" s="9">
        <v>0.41944444444444445</v>
      </c>
      <c r="H10" s="5">
        <v>404717</v>
      </c>
      <c r="I10" t="s">
        <v>168</v>
      </c>
      <c r="J10" t="s">
        <v>97</v>
      </c>
      <c r="K10" t="s">
        <v>98</v>
      </c>
      <c r="M10" t="s">
        <v>99</v>
      </c>
      <c r="N10">
        <v>0</v>
      </c>
      <c r="P10">
        <v>2804.75</v>
      </c>
      <c r="Q10">
        <v>2809.25</v>
      </c>
      <c r="R10">
        <v>2815.25</v>
      </c>
      <c r="S10">
        <v>2795</v>
      </c>
      <c r="U10">
        <v>8</v>
      </c>
      <c r="V10">
        <v>-2</v>
      </c>
      <c r="W10">
        <v>-100</v>
      </c>
      <c r="Y10" t="s">
        <v>169</v>
      </c>
    </row>
    <row r="11" spans="2:25">
      <c r="B11" s="2">
        <v>41950</v>
      </c>
      <c r="C11">
        <v>2804.75</v>
      </c>
      <c r="D11">
        <v>2813.25</v>
      </c>
      <c r="E11" s="9">
        <v>0.37152777777777773</v>
      </c>
      <c r="F11">
        <v>2804.5</v>
      </c>
      <c r="G11" s="9">
        <v>0.38680555555555557</v>
      </c>
      <c r="H11" s="5">
        <v>321469</v>
      </c>
      <c r="I11" t="s">
        <v>119</v>
      </c>
      <c r="J11" t="s">
        <v>88</v>
      </c>
      <c r="K11" t="s">
        <v>89</v>
      </c>
      <c r="M11" t="s">
        <v>67</v>
      </c>
      <c r="N11">
        <v>0</v>
      </c>
      <c r="P11">
        <v>2779</v>
      </c>
      <c r="Q11">
        <v>2814</v>
      </c>
      <c r="R11">
        <v>2815</v>
      </c>
      <c r="S11">
        <v>2774.25</v>
      </c>
      <c r="U11">
        <v>2</v>
      </c>
      <c r="V11">
        <v>-5</v>
      </c>
      <c r="W11">
        <v>-250</v>
      </c>
      <c r="Y11" t="s">
        <v>66</v>
      </c>
    </row>
    <row r="12" spans="2:25">
      <c r="B12" s="2">
        <v>41949</v>
      </c>
      <c r="C12">
        <v>2779</v>
      </c>
      <c r="D12">
        <v>2792</v>
      </c>
      <c r="E12" s="9">
        <v>0.41250000000000003</v>
      </c>
      <c r="F12">
        <v>2774.25</v>
      </c>
      <c r="G12" s="9">
        <v>0.37847222222222227</v>
      </c>
      <c r="H12" s="5">
        <v>354715</v>
      </c>
      <c r="I12" t="s">
        <v>161</v>
      </c>
      <c r="J12" t="s">
        <v>162</v>
      </c>
      <c r="K12" t="s">
        <v>160</v>
      </c>
      <c r="M12" t="s">
        <v>171</v>
      </c>
      <c r="N12">
        <v>2</v>
      </c>
      <c r="P12">
        <v>2736.75</v>
      </c>
      <c r="Q12">
        <v>2756</v>
      </c>
      <c r="R12">
        <v>2756</v>
      </c>
      <c r="S12">
        <v>2736.75</v>
      </c>
      <c r="U12">
        <v>11</v>
      </c>
      <c r="V12">
        <v>0</v>
      </c>
      <c r="W12">
        <v>0</v>
      </c>
    </row>
    <row r="13" spans="2:25">
      <c r="B13" s="2">
        <v>41948</v>
      </c>
      <c r="C13">
        <v>2736.75</v>
      </c>
      <c r="D13">
        <v>2751.75</v>
      </c>
      <c r="E13" s="9">
        <v>0.37361111111111112</v>
      </c>
      <c r="F13">
        <v>2736.75</v>
      </c>
      <c r="G13" s="9">
        <v>0.35416666666666669</v>
      </c>
      <c r="H13" s="5">
        <v>354715</v>
      </c>
      <c r="I13" t="s">
        <v>108</v>
      </c>
      <c r="J13" t="s">
        <v>109</v>
      </c>
      <c r="K13" t="s">
        <v>111</v>
      </c>
      <c r="M13" t="s">
        <v>110</v>
      </c>
      <c r="N13">
        <v>0</v>
      </c>
      <c r="P13">
        <v>2727.5</v>
      </c>
      <c r="Q13">
        <v>2740.25</v>
      </c>
      <c r="R13">
        <v>2743.75</v>
      </c>
      <c r="S13">
        <v>2717</v>
      </c>
      <c r="U13">
        <v>10</v>
      </c>
      <c r="V13">
        <v>-12.5</v>
      </c>
      <c r="W13">
        <v>-625</v>
      </c>
    </row>
    <row r="14" spans="2:25">
      <c r="B14" s="2">
        <v>41947</v>
      </c>
      <c r="C14">
        <v>2727.5</v>
      </c>
      <c r="D14">
        <v>2733.25</v>
      </c>
      <c r="E14" s="9">
        <v>0.35833333333333334</v>
      </c>
      <c r="F14">
        <v>2717</v>
      </c>
      <c r="G14" s="9">
        <v>0.39097222222222222</v>
      </c>
      <c r="H14" s="5">
        <v>377277</v>
      </c>
      <c r="I14" t="s">
        <v>127</v>
      </c>
      <c r="J14" t="s">
        <v>18</v>
      </c>
      <c r="K14" t="s">
        <v>130</v>
      </c>
      <c r="M14" t="s">
        <v>128</v>
      </c>
      <c r="N14" t="s">
        <v>129</v>
      </c>
      <c r="P14">
        <v>2751.5</v>
      </c>
      <c r="Q14">
        <v>2722.75</v>
      </c>
      <c r="R14">
        <v>2756.5</v>
      </c>
      <c r="S14">
        <v>2699.5</v>
      </c>
      <c r="U14">
        <v>2</v>
      </c>
      <c r="V14">
        <v>10.25</v>
      </c>
      <c r="W14">
        <v>512.5</v>
      </c>
    </row>
    <row r="15" spans="2:25">
      <c r="B15" s="2">
        <v>41944</v>
      </c>
      <c r="C15">
        <v>2751.5</v>
      </c>
      <c r="D15">
        <v>2756.5</v>
      </c>
      <c r="E15" s="9">
        <v>0.36388888888888887</v>
      </c>
      <c r="F15">
        <v>2721.75</v>
      </c>
      <c r="G15" s="9">
        <v>0.40277777777777773</v>
      </c>
      <c r="H15" s="5">
        <v>566727</v>
      </c>
      <c r="I15" t="s">
        <v>20</v>
      </c>
      <c r="J15" t="s">
        <v>18</v>
      </c>
      <c r="K15" t="s">
        <v>21</v>
      </c>
      <c r="M15" t="s">
        <v>22</v>
      </c>
      <c r="N15">
        <v>2</v>
      </c>
      <c r="P15">
        <v>2706</v>
      </c>
      <c r="Q15">
        <v>2738</v>
      </c>
      <c r="R15">
        <v>2741.25</v>
      </c>
      <c r="S15">
        <v>2705.5</v>
      </c>
      <c r="W15">
        <v>-1759</v>
      </c>
      <c r="Y15" t="s">
        <v>135</v>
      </c>
    </row>
    <row r="16" spans="2:25">
      <c r="B16" s="2">
        <v>41943</v>
      </c>
      <c r="C16">
        <v>2720.5</v>
      </c>
      <c r="D16">
        <v>2732.25</v>
      </c>
      <c r="E16" s="9">
        <v>0.41666666666666669</v>
      </c>
      <c r="F16">
        <v>2707.75</v>
      </c>
      <c r="G16" s="9">
        <v>0.38055555555555554</v>
      </c>
      <c r="H16" s="5">
        <v>567516</v>
      </c>
      <c r="I16" t="s">
        <v>23</v>
      </c>
      <c r="J16" t="s">
        <v>103</v>
      </c>
      <c r="K16" t="s">
        <v>136</v>
      </c>
      <c r="M16" t="s">
        <v>102</v>
      </c>
      <c r="N16">
        <v>6</v>
      </c>
      <c r="P16">
        <v>2710.5</v>
      </c>
      <c r="Q16">
        <v>2709.75</v>
      </c>
      <c r="R16">
        <v>2736.5</v>
      </c>
      <c r="S16">
        <v>2704.75</v>
      </c>
      <c r="W16">
        <v>-391</v>
      </c>
    </row>
    <row r="17" spans="2:23">
      <c r="B17" s="2">
        <v>41942</v>
      </c>
      <c r="C17">
        <v>2711.75</v>
      </c>
      <c r="D17">
        <v>2729.25</v>
      </c>
      <c r="E17" s="9">
        <v>0.39930555555555558</v>
      </c>
      <c r="F17">
        <v>2706.25</v>
      </c>
      <c r="G17" s="9">
        <v>0.3576388888888889</v>
      </c>
      <c r="H17" s="5">
        <v>517819</v>
      </c>
      <c r="I17" t="s">
        <v>91</v>
      </c>
      <c r="J17" t="s">
        <v>90</v>
      </c>
      <c r="K17" t="s">
        <v>93</v>
      </c>
      <c r="M17" t="s">
        <v>94</v>
      </c>
      <c r="N17">
        <v>1</v>
      </c>
      <c r="P17">
        <v>2641.25</v>
      </c>
      <c r="Q17">
        <v>2683.5</v>
      </c>
      <c r="R17">
        <v>2683.5</v>
      </c>
      <c r="S17">
        <v>2635.75</v>
      </c>
    </row>
    <row r="18" spans="2:23">
      <c r="B18" s="2">
        <v>41941</v>
      </c>
      <c r="C18">
        <v>2641.25</v>
      </c>
      <c r="D18">
        <v>2675.25</v>
      </c>
      <c r="E18" s="9">
        <v>0.37152777777777773</v>
      </c>
      <c r="F18">
        <v>2635.75</v>
      </c>
      <c r="G18" s="9">
        <v>0.35416666666666669</v>
      </c>
      <c r="H18" s="5">
        <v>650925</v>
      </c>
      <c r="I18" t="s">
        <v>91</v>
      </c>
      <c r="J18" t="s">
        <v>92</v>
      </c>
      <c r="K18" t="s">
        <v>95</v>
      </c>
      <c r="M18" t="s">
        <v>96</v>
      </c>
      <c r="N18">
        <v>0</v>
      </c>
      <c r="P18">
        <v>2692.25</v>
      </c>
      <c r="Q18">
        <v>2638.75</v>
      </c>
      <c r="R18">
        <v>2707</v>
      </c>
      <c r="S18">
        <v>2603</v>
      </c>
      <c r="W18">
        <v>1211</v>
      </c>
    </row>
    <row r="19" spans="2:23">
      <c r="W19">
        <v>-770</v>
      </c>
    </row>
    <row r="22" spans="2:23">
      <c r="W22">
        <f>SUM(W10:W19)</f>
        <v>-2171.5</v>
      </c>
    </row>
  </sheetData>
  <phoneticPr fontId="7"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RowHeight="13"/>
  <sheetData/>
  <phoneticPr fontId="7"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TradeHistory</vt:lpstr>
      <vt:lpstr>Research Points</vt:lpstr>
      <vt:lpstr>S&amp;P Stats</vt:lpstr>
      <vt:lpstr>SPHistoricalData</vt:lpstr>
      <vt:lpstr>NFLX Historical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Marlowe Quart</dc:creator>
  <cp:lastModifiedBy>Marlowe Quart</cp:lastModifiedBy>
  <dcterms:created xsi:type="dcterms:W3CDTF">2018-11-02T20:01:08Z</dcterms:created>
  <dcterms:modified xsi:type="dcterms:W3CDTF">2018-11-15T14:03:26Z</dcterms:modified>
</cp:coreProperties>
</file>