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4.xml" ContentType="application/vnd.openxmlformats-officedocument.spreadsheetml.worksheet+xml"/>
  <Override PartName="/xl/calcChain.xml" ContentType="application/vnd.openxmlformats-officedocument.spreadsheetml.calcChain+xml"/>
  <Override PartName="/xl/worksheets/sheet2.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80" yWindow="1440" windowWidth="24600" windowHeight="7380" tabRatio="500" activeTab="3"/>
  </bookViews>
  <sheets>
    <sheet name="TradeHistory" sheetId="1" r:id="rId1"/>
    <sheet name="Research Points" sheetId="5" r:id="rId2"/>
    <sheet name="S&amp;P Stats" sheetId="4" r:id="rId3"/>
    <sheet name="SPHistoricalData" sheetId="2" r:id="rId4"/>
    <sheet name="NFLX Historical Data" sheetId="3" r:id="rId5"/>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D16" i="4"/>
  <c r="C31"/>
  <c r="B13"/>
  <c r="F12"/>
  <c r="D13"/>
  <c r="E31"/>
  <c r="D31"/>
  <c r="B31"/>
  <c r="H24"/>
  <c r="G24"/>
  <c r="F24"/>
  <c r="E24"/>
  <c r="D24"/>
  <c r="C24"/>
  <c r="B24"/>
  <c r="W19" i="2"/>
  <c r="I48" i="1"/>
  <c r="I49"/>
  <c r="K48"/>
  <c r="I13"/>
  <c r="I16"/>
  <c r="I19"/>
  <c r="I22"/>
  <c r="I25"/>
  <c r="I26"/>
  <c r="I27"/>
  <c r="I28"/>
  <c r="I29"/>
  <c r="I30"/>
  <c r="I31"/>
  <c r="I32"/>
  <c r="K27"/>
  <c r="M63"/>
  <c r="I36"/>
  <c r="I39"/>
  <c r="I42"/>
  <c r="I45"/>
  <c r="I52"/>
  <c r="I9"/>
  <c r="N7"/>
</calcChain>
</file>

<file path=xl/sharedStrings.xml><?xml version="1.0" encoding="utf-8"?>
<sst xmlns="http://schemas.openxmlformats.org/spreadsheetml/2006/main" count="268" uniqueCount="161">
  <si>
    <t>DD Trend</t>
    <phoneticPr fontId="4" type="noConversion"/>
  </si>
  <si>
    <t>Y</t>
    <phoneticPr fontId="4" type="noConversion"/>
  </si>
  <si>
    <t>No Gap</t>
    <phoneticPr fontId="4" type="noConversion"/>
  </si>
  <si>
    <t>Time of Low</t>
    <phoneticPr fontId="4" type="noConversion"/>
  </si>
  <si>
    <t>Total Volume</t>
    <phoneticPr fontId="4" type="noConversion"/>
  </si>
  <si>
    <t>Open Type</t>
    <phoneticPr fontId="4" type="noConversion"/>
  </si>
  <si>
    <t>Day Type</t>
    <phoneticPr fontId="4" type="noConversion"/>
  </si>
  <si>
    <t>Open in Yesterdays Range</t>
    <phoneticPr fontId="4" type="noConversion"/>
  </si>
  <si>
    <t>Open in Yesterdays Value</t>
    <phoneticPr fontId="4" type="noConversion"/>
  </si>
  <si>
    <t>Gap Up/Down</t>
    <phoneticPr fontId="4" type="noConversion"/>
  </si>
  <si>
    <t>Number of times crossing open</t>
    <phoneticPr fontId="4" type="noConversion"/>
  </si>
  <si>
    <t>Previous Open</t>
    <phoneticPr fontId="4" type="noConversion"/>
  </si>
  <si>
    <t>Previous Close</t>
    <phoneticPr fontId="4" type="noConversion"/>
  </si>
  <si>
    <t>Previous High</t>
    <phoneticPr fontId="4" type="noConversion"/>
  </si>
  <si>
    <t>Previous Low</t>
    <phoneticPr fontId="4" type="noConversion"/>
  </si>
  <si>
    <t>Number of Trades</t>
    <phoneticPr fontId="4" type="noConversion"/>
  </si>
  <si>
    <t>Profit/Loss Points</t>
    <phoneticPr fontId="4" type="noConversion"/>
  </si>
  <si>
    <t>Profit/Loss Dollars</t>
    <phoneticPr fontId="4" type="noConversion"/>
  </si>
  <si>
    <t>On open-test-drive days, how soon is the test completed, mean and std dev</t>
    <phoneticPr fontId="4" type="noConversion"/>
  </si>
  <si>
    <t>Market opened and traded sideways for 8 minutes. I was focused on downside and I got afraid I would miss the move. I got in too early. My plan was to get in at 2810, stop at 2817 and limit at 2795. I got in at 2806 right before the market shot up, struck too early. I did feel good however and did not over trade like I have been doing.</t>
    <phoneticPr fontId="4" type="noConversion"/>
  </si>
  <si>
    <t>No Gap</t>
    <phoneticPr fontId="4" type="noConversion"/>
  </si>
  <si>
    <t>Points</t>
    <phoneticPr fontId="4" type="noConversion"/>
  </si>
  <si>
    <t>Dollars</t>
    <phoneticPr fontId="4" type="noConversion"/>
  </si>
  <si>
    <t>Open-Reject-Reverse,</t>
    <phoneticPr fontId="4" type="noConversion"/>
  </si>
  <si>
    <t>Open (first 1.5 hr)</t>
    <phoneticPr fontId="4" type="noConversion"/>
  </si>
  <si>
    <t>Time of</t>
    <phoneticPr fontId="4" type="noConversion"/>
  </si>
  <si>
    <t>High</t>
    <phoneticPr fontId="4" type="noConversion"/>
  </si>
  <si>
    <t>Position Close</t>
    <phoneticPr fontId="4" type="noConversion"/>
  </si>
  <si>
    <t>Position Open</t>
    <phoneticPr fontId="4" type="noConversion"/>
  </si>
  <si>
    <t>Date</t>
    <phoneticPr fontId="4" type="noConversion"/>
  </si>
  <si>
    <t>Buy/Sell</t>
    <phoneticPr fontId="4" type="noConversion"/>
  </si>
  <si>
    <t>Price</t>
    <phoneticPr fontId="4" type="noConversion"/>
  </si>
  <si>
    <t>commission</t>
    <phoneticPr fontId="4" type="noConversion"/>
  </si>
  <si>
    <t>Cost</t>
    <phoneticPr fontId="4" type="noConversion"/>
  </si>
  <si>
    <t>Date</t>
    <phoneticPr fontId="4" type="noConversion"/>
  </si>
  <si>
    <t>Proceeds</t>
    <phoneticPr fontId="4" type="noConversion"/>
  </si>
  <si>
    <t>Notes</t>
    <phoneticPr fontId="4" type="noConversion"/>
  </si>
  <si>
    <t>Sell</t>
    <phoneticPr fontId="4" type="noConversion"/>
  </si>
  <si>
    <t>Loss/Gain</t>
    <phoneticPr fontId="4" type="noConversion"/>
  </si>
  <si>
    <t>Sell To Close</t>
  </si>
  <si>
    <t>ESZ18 - E Mini S&amp;P 500 December 2018</t>
  </si>
  <si>
    <t>Buy To Open</t>
  </si>
  <si>
    <t>Buy To Close</t>
  </si>
  <si>
    <t>Sell To Open</t>
  </si>
  <si>
    <t>Date</t>
    <phoneticPr fontId="4" type="noConversion"/>
  </si>
  <si>
    <t>Action</t>
    <phoneticPr fontId="4" type="noConversion"/>
  </si>
  <si>
    <t>Qty</t>
    <phoneticPr fontId="4" type="noConversion"/>
  </si>
  <si>
    <t>Price</t>
    <phoneticPr fontId="4" type="noConversion"/>
  </si>
  <si>
    <t>Commission/Fees</t>
    <phoneticPr fontId="4" type="noConversion"/>
  </si>
  <si>
    <t>Previous</t>
    <phoneticPr fontId="4" type="noConversion"/>
  </si>
  <si>
    <t>Open</t>
    <phoneticPr fontId="4" type="noConversion"/>
  </si>
  <si>
    <t>Previous</t>
    <phoneticPr fontId="4" type="noConversion"/>
  </si>
  <si>
    <t>Close</t>
    <phoneticPr fontId="4" type="noConversion"/>
  </si>
  <si>
    <t>Todays</t>
    <phoneticPr fontId="4" type="noConversion"/>
  </si>
  <si>
    <t>High</t>
    <phoneticPr fontId="4" type="noConversion"/>
  </si>
  <si>
    <t>Low</t>
    <phoneticPr fontId="4" type="noConversion"/>
  </si>
  <si>
    <t>Open</t>
    <phoneticPr fontId="4" type="noConversion"/>
  </si>
  <si>
    <t>DD Trend</t>
    <phoneticPr fontId="4" type="noConversion"/>
  </si>
  <si>
    <t>(8:30 Central)</t>
    <phoneticPr fontId="4" type="noConversion"/>
  </si>
  <si>
    <t>Open-Test-Drive</t>
    <phoneticPr fontId="4" type="noConversion"/>
  </si>
  <si>
    <t>N</t>
    <phoneticPr fontId="4" type="noConversion"/>
  </si>
  <si>
    <t>Gap Up</t>
    <phoneticPr fontId="4" type="noConversion"/>
  </si>
  <si>
    <t>Open-Auction</t>
    <phoneticPr fontId="4" type="noConversion"/>
  </si>
  <si>
    <t>Gap Up,</t>
    <phoneticPr fontId="4" type="noConversion"/>
  </si>
  <si>
    <t>Gap Down,</t>
    <phoneticPr fontId="4" type="noConversion"/>
  </si>
  <si>
    <t>No Gap</t>
    <phoneticPr fontId="4" type="noConversion"/>
  </si>
  <si>
    <t>Trend</t>
    <phoneticPr fontId="4" type="noConversion"/>
  </si>
  <si>
    <t>Open-Drive</t>
    <phoneticPr fontId="4" type="noConversion"/>
  </si>
  <si>
    <t>crossing the open</t>
    <phoneticPr fontId="4" type="noConversion"/>
  </si>
  <si>
    <t>in first 1.5 hrs</t>
    <phoneticPr fontId="4" type="noConversion"/>
  </si>
  <si>
    <t>Total Number</t>
    <phoneticPr fontId="4" type="noConversion"/>
  </si>
  <si>
    <t>Open-Drive</t>
    <phoneticPr fontId="4" type="noConversion"/>
  </si>
  <si>
    <t>Normal</t>
    <phoneticPr fontId="4" type="noConversion"/>
  </si>
  <si>
    <t>No Gap</t>
    <phoneticPr fontId="4" type="noConversion"/>
  </si>
  <si>
    <t>Y</t>
    <phoneticPr fontId="4" type="noConversion"/>
  </si>
  <si>
    <t>Notes</t>
    <phoneticPr fontId="4" type="noConversion"/>
  </si>
  <si>
    <t>My trades</t>
    <phoneticPr fontId="4" type="noConversion"/>
  </si>
  <si>
    <t>Number of Trades</t>
    <phoneticPr fontId="4" type="noConversion"/>
  </si>
  <si>
    <t>Profit and Loss</t>
    <phoneticPr fontId="4" type="noConversion"/>
  </si>
  <si>
    <t>Total Volume</t>
    <phoneticPr fontId="4" type="noConversion"/>
  </si>
  <si>
    <t>8:30-10a</t>
    <phoneticPr fontId="4" type="noConversion"/>
  </si>
  <si>
    <t>When opening within previous days value range, what percent of the time do previous value extremes hold?</t>
    <phoneticPr fontId="4" type="noConversion"/>
  </si>
  <si>
    <t>Open-Auction</t>
    <phoneticPr fontId="4" type="noConversion"/>
  </si>
  <si>
    <t>Date</t>
    <phoneticPr fontId="4" type="noConversion"/>
  </si>
  <si>
    <t>Todays Open</t>
    <phoneticPr fontId="4" type="noConversion"/>
  </si>
  <si>
    <t>Open High</t>
    <phoneticPr fontId="4" type="noConversion"/>
  </si>
  <si>
    <t>What are the greatest range extensions outside of the previous days value range in the open?</t>
    <phoneticPr fontId="4" type="noConversion"/>
  </si>
  <si>
    <t>The greatest imbalance occurs when open is outside of range and the direction is accepted, usually a trend day develops</t>
    <phoneticPr fontId="4" type="noConversion"/>
  </si>
  <si>
    <t>Sell</t>
    <phoneticPr fontId="4" type="noConversion"/>
  </si>
  <si>
    <t>Buy</t>
    <phoneticPr fontId="4" type="noConversion"/>
  </si>
  <si>
    <t>Open-Reject-Reverse</t>
    <phoneticPr fontId="4" type="noConversion"/>
  </si>
  <si>
    <t>No Gap</t>
    <phoneticPr fontId="4" type="noConversion"/>
  </si>
  <si>
    <t>10+</t>
    <phoneticPr fontId="4" type="noConversion"/>
  </si>
  <si>
    <t>Y</t>
    <phoneticPr fontId="4" type="noConversion"/>
  </si>
  <si>
    <t>Open</t>
    <phoneticPr fontId="4" type="noConversion"/>
  </si>
  <si>
    <t>In Yesterdays</t>
    <phoneticPr fontId="4" type="noConversion"/>
  </si>
  <si>
    <t>Value? (Y/N)</t>
    <phoneticPr fontId="4" type="noConversion"/>
  </si>
  <si>
    <t>Cash market only (8:30-3 central)</t>
    <phoneticPr fontId="4" type="noConversion"/>
  </si>
  <si>
    <t>Opened, went slightly down in first 2 min, bounced up to high at 8:44 and then kept falling</t>
    <phoneticPr fontId="4" type="noConversion"/>
  </si>
  <si>
    <t>Y</t>
    <phoneticPr fontId="4" type="noConversion"/>
  </si>
  <si>
    <t>Normal Var, Neutral-Center,</t>
  </si>
  <si>
    <t>Trend, DD Trend, Neutral-Extreme,</t>
    <phoneticPr fontId="4" type="noConversion"/>
  </si>
  <si>
    <t>Normal, Non-trend</t>
  </si>
  <si>
    <t>Day type:</t>
    <phoneticPr fontId="4" type="noConversion"/>
  </si>
  <si>
    <t>Open type:</t>
    <phoneticPr fontId="4" type="noConversion"/>
  </si>
  <si>
    <t>Open-Auction</t>
    <phoneticPr fontId="4" type="noConversion"/>
  </si>
  <si>
    <t>In Yesterdays</t>
    <phoneticPr fontId="4" type="noConversion"/>
  </si>
  <si>
    <t>Range? (Y/N)</t>
    <phoneticPr fontId="4" type="noConversion"/>
  </si>
  <si>
    <t>IF('S&amp;P Historical Data'!I5:I30="Open-Test-Drive",SUM(MIN('S&amp;P Historical Data'!G5:G10,'S&amp;P Historical Data'!E5:E10)))</t>
    <phoneticPr fontId="4" type="noConversion"/>
  </si>
  <si>
    <t>Average of Minimum on open-test drive days</t>
    <phoneticPr fontId="4" type="noConversion"/>
  </si>
  <si>
    <t>Total Counts</t>
    <phoneticPr fontId="4" type="noConversion"/>
  </si>
  <si>
    <t>Trend</t>
    <phoneticPr fontId="4" type="noConversion"/>
  </si>
  <si>
    <t>Days</t>
    <phoneticPr fontId="4" type="noConversion"/>
  </si>
  <si>
    <t>DD Trend</t>
    <phoneticPr fontId="4" type="noConversion"/>
  </si>
  <si>
    <t>Neutral-Extreme</t>
    <phoneticPr fontId="4" type="noConversion"/>
  </si>
  <si>
    <t>Normal Var</t>
    <phoneticPr fontId="4" type="noConversion"/>
  </si>
  <si>
    <t>Neutral-Center</t>
    <phoneticPr fontId="4" type="noConversion"/>
  </si>
  <si>
    <t>Normal</t>
    <phoneticPr fontId="4" type="noConversion"/>
  </si>
  <si>
    <t>Non-trend</t>
    <phoneticPr fontId="4" type="noConversion"/>
  </si>
  <si>
    <t>Types of Opens</t>
    <phoneticPr fontId="4" type="noConversion"/>
  </si>
  <si>
    <t>Open-Drive</t>
    <phoneticPr fontId="4" type="noConversion"/>
  </si>
  <si>
    <t>Open-Test-Drive</t>
    <phoneticPr fontId="4" type="noConversion"/>
  </si>
  <si>
    <t>Open-Reject-Reverse</t>
    <phoneticPr fontId="4" type="noConversion"/>
  </si>
  <si>
    <t>Open-Auction</t>
    <phoneticPr fontId="4" type="noConversion"/>
  </si>
  <si>
    <t>Types of Days</t>
    <phoneticPr fontId="4" type="noConversion"/>
  </si>
  <si>
    <t>Time of High</t>
    <phoneticPr fontId="4" type="noConversion"/>
  </si>
  <si>
    <t>Open Low</t>
    <phoneticPr fontId="4" type="noConversion"/>
  </si>
  <si>
    <t>On Open-Test-Drive, how soon does it bounce back, how soon does it cross back over the open, by how much does it deviate away from the open&gt;</t>
    <phoneticPr fontId="4" type="noConversion"/>
  </si>
  <si>
    <t>Open-Test-Drive</t>
    <phoneticPr fontId="4" type="noConversion"/>
  </si>
  <si>
    <t>On open auction days, how many minutes to take direction</t>
    <phoneticPr fontId="4" type="noConversion"/>
  </si>
  <si>
    <t>On days with a drive in the first few minutes, what type of day is that? How much does it move in first few minutes?</t>
    <phoneticPr fontId="4" type="noConversion"/>
  </si>
  <si>
    <t>Open-Test-Drive Statistics</t>
    <phoneticPr fontId="4" type="noConversion"/>
  </si>
  <si>
    <t>Open-Drive, Open-Test-Drive,</t>
    <phoneticPr fontId="4" type="noConversion"/>
  </si>
  <si>
    <t>N</t>
    <phoneticPr fontId="4" type="noConversion"/>
  </si>
  <si>
    <t>Open-Auction</t>
    <phoneticPr fontId="4" type="noConversion"/>
  </si>
  <si>
    <t>Trend</t>
    <phoneticPr fontId="4" type="noConversion"/>
  </si>
  <si>
    <t>Total Number</t>
    <phoneticPr fontId="4" type="noConversion"/>
  </si>
  <si>
    <t>Days</t>
    <phoneticPr fontId="4" type="noConversion"/>
  </si>
  <si>
    <t>Time of test</t>
    <phoneticPr fontId="4" type="noConversion"/>
  </si>
  <si>
    <t>Average</t>
    <phoneticPr fontId="4" type="noConversion"/>
  </si>
  <si>
    <t>SUMIF('S&amp;P Historical Data'!I5:I30="Open-Test-Drive",MIN('S&amp;P Historical Data'!G5:G10,'S&amp;P Historical Data'!E5:E10))</t>
  </si>
  <si>
    <t>Open-Drive</t>
    <phoneticPr fontId="4" type="noConversion"/>
  </si>
  <si>
    <t>Opened and traded back and forth around the open 2793. It dropped and met some resistance at 2785, lots of volume there. It dropped below to 2780 and the volume was lower. To fill the gap it would be down to 2774 but I got out at 2780 because the volume was low at 2780 and that is a point of consolidation on the trader bite. If the bottom drops out I will be wrong, but it seemed like this was the right move.</t>
    <phoneticPr fontId="4" type="noConversion"/>
  </si>
  <si>
    <t>I am starting here to focus on only trading the open. I got caught up in emotional trading yesterday so I am going to drill in and focus on a more specific strategy</t>
    <phoneticPr fontId="4" type="noConversion"/>
  </si>
  <si>
    <t>Gap Up</t>
    <phoneticPr fontId="4" type="noConversion"/>
  </si>
  <si>
    <t>Only take 3 trades per day, one to open, one reversal (optional), and one to close. I am going to trade for the first 1.5 hours only. This is the discipline I am going to get on for a while, and work my niche.</t>
    <phoneticPr fontId="4" type="noConversion"/>
  </si>
  <si>
    <t>Date</t>
    <phoneticPr fontId="4" type="noConversion"/>
  </si>
  <si>
    <t>Non-trend</t>
    <phoneticPr fontId="4" type="noConversion"/>
  </si>
  <si>
    <t>Y</t>
    <phoneticPr fontId="4" type="noConversion"/>
  </si>
  <si>
    <t>Non-trend</t>
    <phoneticPr fontId="4" type="noConversion"/>
  </si>
  <si>
    <t>Open-Test-Drive</t>
    <phoneticPr fontId="4" type="noConversion"/>
  </si>
  <si>
    <t>DD Trend</t>
    <phoneticPr fontId="4" type="noConversion"/>
  </si>
  <si>
    <t>N</t>
    <phoneticPr fontId="4" type="noConversion"/>
  </si>
  <si>
    <t>Gap Up</t>
    <phoneticPr fontId="4" type="noConversion"/>
  </si>
  <si>
    <t>Y</t>
    <phoneticPr fontId="4" type="noConversion"/>
  </si>
  <si>
    <t>No Gap</t>
    <phoneticPr fontId="4" type="noConversion"/>
  </si>
  <si>
    <t>Trend</t>
    <phoneticPr fontId="4" type="noConversion"/>
  </si>
  <si>
    <t>N</t>
    <phoneticPr fontId="4" type="noConversion"/>
  </si>
  <si>
    <t>Gap Down</t>
    <phoneticPr fontId="4" type="noConversion"/>
  </si>
  <si>
    <t>just kept going lower, I kept getting out too soon when I sold</t>
    <phoneticPr fontId="4" type="noConversion"/>
  </si>
  <si>
    <t>Number of times</t>
    <phoneticPr fontId="4" type="noConversion"/>
  </si>
</sst>
</file>

<file path=xl/styles.xml><?xml version="1.0" encoding="utf-8"?>
<styleSheet xmlns="http://schemas.openxmlformats.org/spreadsheetml/2006/main">
  <numFmts count="1">
    <numFmt numFmtId="8" formatCode="&quot;$&quot;#,##0.00_);[Red]\(&quot;$&quot;#,##0.00\)"/>
  </numFmts>
  <fonts count="7">
    <font>
      <sz val="10"/>
      <name val="Verdana"/>
    </font>
    <font>
      <b/>
      <sz val="10"/>
      <name val="Verdana"/>
    </font>
    <font>
      <sz val="10"/>
      <name val="Verdana"/>
    </font>
    <font>
      <b/>
      <sz val="10"/>
      <name val="Verdana"/>
    </font>
    <font>
      <sz val="8"/>
      <name val="Verdana"/>
    </font>
    <font>
      <u/>
      <sz val="10"/>
      <name val="Verdana"/>
    </font>
    <font>
      <b/>
      <u/>
      <sz val="10"/>
      <name val="Verdana"/>
    </font>
  </fonts>
  <fills count="3">
    <fill>
      <patternFill patternType="none"/>
    </fill>
    <fill>
      <patternFill patternType="gray125"/>
    </fill>
    <fill>
      <patternFill patternType="solid">
        <fgColor indexed="41"/>
        <bgColor indexed="64"/>
      </patternFill>
    </fill>
  </fills>
  <borders count="1">
    <border>
      <left/>
      <right/>
      <top/>
      <bottom/>
      <diagonal/>
    </border>
  </borders>
  <cellStyleXfs count="1">
    <xf numFmtId="0" fontId="0" fillId="0" borderId="0"/>
  </cellStyleXfs>
  <cellXfs count="18">
    <xf numFmtId="0" fontId="0" fillId="0" borderId="0" xfId="0"/>
    <xf numFmtId="0" fontId="5" fillId="0" borderId="0" xfId="0" applyFont="1"/>
    <xf numFmtId="14" fontId="0" fillId="0" borderId="0" xfId="0" applyNumberFormat="1"/>
    <xf numFmtId="8" fontId="0" fillId="0" borderId="0" xfId="0" applyNumberFormat="1"/>
    <xf numFmtId="0" fontId="0" fillId="2" borderId="0" xfId="0" applyFill="1"/>
    <xf numFmtId="3" fontId="0" fillId="0" borderId="0" xfId="0" applyNumberFormat="1"/>
    <xf numFmtId="8" fontId="0" fillId="0" borderId="0" xfId="0" applyNumberFormat="1"/>
    <xf numFmtId="0" fontId="6" fillId="0" borderId="0" xfId="0" applyFont="1"/>
    <xf numFmtId="20" fontId="0" fillId="0" borderId="0" xfId="0" applyNumberFormat="1"/>
    <xf numFmtId="20" fontId="0" fillId="0" borderId="0" xfId="0" applyNumberFormat="1"/>
    <xf numFmtId="0" fontId="3" fillId="0" borderId="0" xfId="0" applyFont="1"/>
    <xf numFmtId="20" fontId="3" fillId="0" borderId="0" xfId="0" applyNumberFormat="1" applyFont="1"/>
    <xf numFmtId="3" fontId="3" fillId="0" borderId="0" xfId="0" applyNumberFormat="1" applyFont="1"/>
    <xf numFmtId="14" fontId="2" fillId="0" borderId="0" xfId="0" applyNumberFormat="1" applyFont="1"/>
    <xf numFmtId="0" fontId="2" fillId="0" borderId="0" xfId="0" applyFont="1"/>
    <xf numFmtId="20" fontId="2" fillId="0" borderId="0" xfId="0" applyNumberFormat="1" applyFont="1"/>
    <xf numFmtId="3" fontId="2" fillId="0" borderId="0" xfId="0" applyNumberFormat="1" applyFont="1"/>
    <xf numFmtId="0" fontId="1"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O63"/>
  <sheetViews>
    <sheetView topLeftCell="A23" workbookViewId="0">
      <selection activeCell="K49" sqref="K49"/>
    </sheetView>
  </sheetViews>
  <sheetFormatPr baseColWidth="10" defaultRowHeight="13"/>
  <sheetData>
    <row r="1" spans="2:15">
      <c r="B1" t="s">
        <v>28</v>
      </c>
      <c r="H1" t="s">
        <v>27</v>
      </c>
    </row>
    <row r="2" spans="2:15" s="1" customFormat="1">
      <c r="B2" s="1" t="s">
        <v>29</v>
      </c>
      <c r="C2" s="1" t="s">
        <v>30</v>
      </c>
      <c r="D2" s="1" t="s">
        <v>31</v>
      </c>
      <c r="E2" s="1" t="s">
        <v>32</v>
      </c>
      <c r="F2" s="1" t="s">
        <v>33</v>
      </c>
      <c r="H2" s="1" t="s">
        <v>34</v>
      </c>
      <c r="I2" s="1" t="s">
        <v>30</v>
      </c>
      <c r="J2" s="1" t="s">
        <v>31</v>
      </c>
      <c r="K2" s="1" t="s">
        <v>32</v>
      </c>
      <c r="L2" s="1" t="s">
        <v>35</v>
      </c>
      <c r="N2" s="1" t="s">
        <v>38</v>
      </c>
      <c r="O2" s="1" t="s">
        <v>36</v>
      </c>
    </row>
    <row r="4" spans="2:15">
      <c r="B4" s="2">
        <v>41940</v>
      </c>
      <c r="C4" t="s">
        <v>37</v>
      </c>
      <c r="D4">
        <v>2695</v>
      </c>
    </row>
    <row r="7" spans="2:15">
      <c r="B7" s="2">
        <v>41944</v>
      </c>
      <c r="N7">
        <f>-1750-64.8</f>
        <v>-1814.8</v>
      </c>
    </row>
    <row r="9" spans="2:15">
      <c r="I9" s="3">
        <f>SUM(I13:I52)</f>
        <v>-1689</v>
      </c>
    </row>
    <row r="11" spans="2:15">
      <c r="B11" t="s">
        <v>44</v>
      </c>
      <c r="C11" t="s">
        <v>45</v>
      </c>
      <c r="D11" t="s">
        <v>46</v>
      </c>
      <c r="F11" t="s">
        <v>47</v>
      </c>
      <c r="G11" t="s">
        <v>48</v>
      </c>
    </row>
    <row r="13" spans="2:15">
      <c r="B13" s="2">
        <v>41944</v>
      </c>
      <c r="C13" t="s">
        <v>39</v>
      </c>
      <c r="D13">
        <v>1</v>
      </c>
      <c r="E13" t="s">
        <v>40</v>
      </c>
      <c r="F13">
        <v>2719.5</v>
      </c>
      <c r="G13" s="3">
        <v>-2.7</v>
      </c>
      <c r="H13" s="3"/>
      <c r="I13" s="3">
        <f>50*(F13-F14)-SUM(G13:G14)</f>
        <v>-119.6</v>
      </c>
    </row>
    <row r="14" spans="2:15">
      <c r="B14" s="2">
        <v>41944</v>
      </c>
      <c r="C14" t="s">
        <v>41</v>
      </c>
      <c r="D14">
        <v>1</v>
      </c>
      <c r="E14" t="s">
        <v>40</v>
      </c>
      <c r="F14">
        <v>2722</v>
      </c>
      <c r="G14" s="3">
        <v>-2.7</v>
      </c>
      <c r="H14" s="3"/>
    </row>
    <row r="15" spans="2:15">
      <c r="B15" s="2"/>
      <c r="G15" s="3"/>
      <c r="H15" s="3"/>
    </row>
    <row r="16" spans="2:15">
      <c r="B16" s="2">
        <v>41944</v>
      </c>
      <c r="C16" t="s">
        <v>39</v>
      </c>
      <c r="D16">
        <v>1</v>
      </c>
      <c r="E16" t="s">
        <v>40</v>
      </c>
      <c r="F16">
        <v>2723.75</v>
      </c>
      <c r="G16" s="3">
        <v>-2.7</v>
      </c>
      <c r="H16" s="3"/>
      <c r="I16" s="3">
        <f>50*(F16-F17)-SUM(G16:G17)</f>
        <v>55.4</v>
      </c>
    </row>
    <row r="17" spans="2:11">
      <c r="B17" s="2">
        <v>41944</v>
      </c>
      <c r="C17" t="s">
        <v>41</v>
      </c>
      <c r="D17">
        <v>1</v>
      </c>
      <c r="E17" t="s">
        <v>40</v>
      </c>
      <c r="F17">
        <v>2722.75</v>
      </c>
      <c r="G17" s="3">
        <v>-2.7</v>
      </c>
      <c r="H17" s="3"/>
    </row>
    <row r="18" spans="2:11">
      <c r="B18" s="2"/>
      <c r="G18" s="3"/>
      <c r="H18" s="3"/>
    </row>
    <row r="19" spans="2:11">
      <c r="B19" s="2">
        <v>41944</v>
      </c>
      <c r="C19" t="s">
        <v>39</v>
      </c>
      <c r="D19">
        <v>1</v>
      </c>
      <c r="E19" t="s">
        <v>40</v>
      </c>
      <c r="F19">
        <v>2717.75</v>
      </c>
      <c r="G19" s="3">
        <v>-2.7</v>
      </c>
      <c r="H19" s="3"/>
      <c r="I19" s="3">
        <f>50*(F19-F20)-SUM(G19:G20)</f>
        <v>-619.6</v>
      </c>
    </row>
    <row r="20" spans="2:11">
      <c r="B20" s="2">
        <v>41944</v>
      </c>
      <c r="C20" t="s">
        <v>41</v>
      </c>
      <c r="D20">
        <v>1</v>
      </c>
      <c r="E20" t="s">
        <v>40</v>
      </c>
      <c r="F20">
        <v>2730.25</v>
      </c>
      <c r="G20" s="3">
        <v>-2.7</v>
      </c>
      <c r="H20" s="3"/>
    </row>
    <row r="21" spans="2:11">
      <c r="B21" s="2"/>
      <c r="G21" s="3"/>
      <c r="H21" s="3"/>
    </row>
    <row r="22" spans="2:11">
      <c r="B22" s="2">
        <v>41944</v>
      </c>
      <c r="C22" t="s">
        <v>39</v>
      </c>
      <c r="D22">
        <v>1</v>
      </c>
      <c r="E22" t="s">
        <v>40</v>
      </c>
      <c r="F22">
        <v>2726.5</v>
      </c>
      <c r="G22" s="3">
        <v>-2.7</v>
      </c>
      <c r="H22" s="3"/>
      <c r="I22" s="3">
        <f>50*(F22-F23)-SUM(G22:G23)</f>
        <v>-107.1</v>
      </c>
    </row>
    <row r="23" spans="2:11">
      <c r="B23" s="2">
        <v>41944</v>
      </c>
      <c r="C23" t="s">
        <v>41</v>
      </c>
      <c r="D23">
        <v>1</v>
      </c>
      <c r="E23" t="s">
        <v>40</v>
      </c>
      <c r="F23">
        <v>2728.75</v>
      </c>
      <c r="G23" s="3">
        <v>-2.7</v>
      </c>
      <c r="H23" s="3"/>
    </row>
    <row r="24" spans="2:11">
      <c r="B24" s="2"/>
      <c r="G24" s="3"/>
      <c r="H24" s="3"/>
    </row>
    <row r="25" spans="2:11">
      <c r="B25" s="2">
        <v>41944</v>
      </c>
      <c r="C25" t="s">
        <v>42</v>
      </c>
      <c r="D25">
        <v>1</v>
      </c>
      <c r="E25" t="s">
        <v>40</v>
      </c>
      <c r="F25">
        <v>2747.25</v>
      </c>
      <c r="G25" s="3">
        <v>-2.7</v>
      </c>
      <c r="H25" s="3"/>
      <c r="I25" s="3">
        <f>50*(F26-F25)-SUM(G25:G26)</f>
        <v>245.6</v>
      </c>
    </row>
    <row r="26" spans="2:11">
      <c r="B26" s="2">
        <v>41944</v>
      </c>
      <c r="C26" t="s">
        <v>39</v>
      </c>
      <c r="D26">
        <v>2</v>
      </c>
      <c r="E26" t="s">
        <v>40</v>
      </c>
      <c r="F26">
        <v>2752</v>
      </c>
      <c r="G26" s="3">
        <v>-5.4</v>
      </c>
      <c r="H26" s="3"/>
      <c r="I26" s="3">
        <f>50*(F26-F27)-SUM(G26:G27)</f>
        <v>-201.7</v>
      </c>
    </row>
    <row r="27" spans="2:11">
      <c r="B27" s="2">
        <v>41944</v>
      </c>
      <c r="C27" t="s">
        <v>42</v>
      </c>
      <c r="D27">
        <v>2</v>
      </c>
      <c r="E27" t="s">
        <v>40</v>
      </c>
      <c r="F27">
        <v>2756.25</v>
      </c>
      <c r="G27" s="3">
        <v>-5.4</v>
      </c>
      <c r="H27" s="3"/>
      <c r="I27" s="3">
        <f>50*(F28-F27)-SUM(G27:G28)</f>
        <v>-114.2</v>
      </c>
      <c r="K27" s="3">
        <f>SUM(I13:I32)</f>
        <v>-1759.9</v>
      </c>
    </row>
    <row r="28" spans="2:11">
      <c r="B28" s="2">
        <v>41944</v>
      </c>
      <c r="C28" t="s">
        <v>39</v>
      </c>
      <c r="D28">
        <v>2</v>
      </c>
      <c r="E28" t="s">
        <v>40</v>
      </c>
      <c r="F28">
        <v>2753.75</v>
      </c>
      <c r="G28" s="3">
        <v>-5.4</v>
      </c>
      <c r="H28" s="3"/>
      <c r="I28" s="3">
        <f>50*(F28-F29)-SUM(G28:G29)</f>
        <v>60.8</v>
      </c>
    </row>
    <row r="29" spans="2:11">
      <c r="B29" s="2">
        <v>41944</v>
      </c>
      <c r="C29" t="s">
        <v>42</v>
      </c>
      <c r="D29">
        <v>2</v>
      </c>
      <c r="E29" t="s">
        <v>40</v>
      </c>
      <c r="F29">
        <v>2752.75</v>
      </c>
      <c r="G29" s="3">
        <v>-5.4</v>
      </c>
      <c r="H29" s="3"/>
      <c r="I29" s="3">
        <f>50*(F30-F29)-SUM(G29:G30)</f>
        <v>-276.7</v>
      </c>
    </row>
    <row r="30" spans="2:11">
      <c r="B30" s="2">
        <v>41944</v>
      </c>
      <c r="C30" t="s">
        <v>39</v>
      </c>
      <c r="D30">
        <v>2</v>
      </c>
      <c r="E30" t="s">
        <v>40</v>
      </c>
      <c r="F30">
        <v>2747</v>
      </c>
      <c r="G30" s="3">
        <v>-5.4</v>
      </c>
      <c r="H30" s="3"/>
      <c r="I30" s="3">
        <f>50*(F30-F31)-SUM(G30:G31)</f>
        <v>-176.7</v>
      </c>
    </row>
    <row r="31" spans="2:11">
      <c r="B31" s="2">
        <v>41944</v>
      </c>
      <c r="C31" t="s">
        <v>42</v>
      </c>
      <c r="D31">
        <v>2</v>
      </c>
      <c r="E31" t="s">
        <v>40</v>
      </c>
      <c r="F31">
        <v>2750.75</v>
      </c>
      <c r="G31" s="3">
        <v>-5.4</v>
      </c>
      <c r="H31" s="3"/>
      <c r="I31" s="3">
        <f>50*(F32-F31)-SUM(G31:G32)</f>
        <v>-176.7</v>
      </c>
    </row>
    <row r="32" spans="2:11">
      <c r="B32" s="2">
        <v>41944</v>
      </c>
      <c r="C32" t="s">
        <v>39</v>
      </c>
      <c r="D32">
        <v>2</v>
      </c>
      <c r="E32" t="s">
        <v>40</v>
      </c>
      <c r="F32">
        <v>2747</v>
      </c>
      <c r="G32" s="3">
        <v>-5.4</v>
      </c>
      <c r="H32" s="3"/>
      <c r="I32" s="3">
        <f>50*(F32-F33)-SUM(G32:G33)</f>
        <v>-329.4</v>
      </c>
    </row>
    <row r="33" spans="2:11">
      <c r="B33" s="2">
        <v>41944</v>
      </c>
      <c r="C33" t="s">
        <v>41</v>
      </c>
      <c r="D33">
        <v>1</v>
      </c>
      <c r="E33" t="s">
        <v>40</v>
      </c>
      <c r="F33">
        <v>2753.75</v>
      </c>
      <c r="G33" s="3">
        <v>-2.7</v>
      </c>
      <c r="H33" s="3"/>
    </row>
    <row r="34" spans="2:11">
      <c r="B34" s="2"/>
      <c r="G34" s="3"/>
      <c r="H34" s="3"/>
    </row>
    <row r="35" spans="2:11">
      <c r="B35" s="2">
        <v>41943</v>
      </c>
      <c r="C35" t="s">
        <v>39</v>
      </c>
      <c r="D35">
        <v>1</v>
      </c>
      <c r="E35" t="s">
        <v>40</v>
      </c>
      <c r="F35">
        <v>2726.5</v>
      </c>
      <c r="G35" s="3">
        <v>-2.7</v>
      </c>
      <c r="H35" s="3"/>
    </row>
    <row r="36" spans="2:11">
      <c r="B36" s="2">
        <v>41943</v>
      </c>
      <c r="C36" t="s">
        <v>42</v>
      </c>
      <c r="D36">
        <v>2</v>
      </c>
      <c r="E36" t="s">
        <v>40</v>
      </c>
      <c r="F36">
        <v>2736</v>
      </c>
      <c r="G36" s="3">
        <v>-5.4</v>
      </c>
      <c r="H36" s="3"/>
      <c r="I36" s="3">
        <f>50*(F37-F36)-SUM(G36:G37)</f>
        <v>-391.9</v>
      </c>
    </row>
    <row r="37" spans="2:11">
      <c r="B37" s="2">
        <v>41943</v>
      </c>
      <c r="C37" t="s">
        <v>43</v>
      </c>
      <c r="D37">
        <v>1</v>
      </c>
      <c r="E37" t="s">
        <v>40</v>
      </c>
      <c r="F37">
        <v>2728</v>
      </c>
      <c r="G37" s="3">
        <v>-2.7</v>
      </c>
      <c r="H37" s="3"/>
    </row>
    <row r="38" spans="2:11">
      <c r="B38" s="2"/>
      <c r="G38" s="3"/>
      <c r="H38" s="3"/>
    </row>
    <row r="39" spans="2:11">
      <c r="B39" s="2">
        <v>41942</v>
      </c>
      <c r="C39" t="s">
        <v>39</v>
      </c>
      <c r="D39">
        <v>1</v>
      </c>
      <c r="E39" t="s">
        <v>40</v>
      </c>
      <c r="F39">
        <v>2720</v>
      </c>
      <c r="G39" s="3">
        <v>-2.7</v>
      </c>
      <c r="H39" s="3"/>
      <c r="I39" s="3">
        <f>50*(F39-F40)-SUM(G39:G40)</f>
        <v>2055.4</v>
      </c>
    </row>
    <row r="40" spans="2:11">
      <c r="B40" s="2">
        <v>41941</v>
      </c>
      <c r="C40" t="s">
        <v>41</v>
      </c>
      <c r="D40">
        <v>1</v>
      </c>
      <c r="E40" t="s">
        <v>40</v>
      </c>
      <c r="F40">
        <v>2679</v>
      </c>
      <c r="G40" s="3">
        <v>-2.7</v>
      </c>
      <c r="H40" s="3"/>
    </row>
    <row r="41" spans="2:11">
      <c r="B41" s="2"/>
      <c r="G41" s="3"/>
      <c r="H41" s="3"/>
    </row>
    <row r="42" spans="2:11">
      <c r="B42" s="2">
        <v>41941</v>
      </c>
      <c r="C42" t="s">
        <v>42</v>
      </c>
      <c r="D42">
        <v>1</v>
      </c>
      <c r="E42" t="s">
        <v>40</v>
      </c>
      <c r="F42">
        <v>2665</v>
      </c>
      <c r="G42" s="3">
        <v>-2.7</v>
      </c>
      <c r="H42" s="3"/>
      <c r="I42" s="3">
        <f>50*(F43-F42)-SUM(G42:G43)</f>
        <v>-844.6</v>
      </c>
    </row>
    <row r="43" spans="2:11">
      <c r="B43" s="2">
        <v>41941</v>
      </c>
      <c r="C43" t="s">
        <v>43</v>
      </c>
      <c r="D43">
        <v>1</v>
      </c>
      <c r="E43" t="s">
        <v>40</v>
      </c>
      <c r="F43">
        <v>2648</v>
      </c>
      <c r="G43" s="3">
        <v>-2.7</v>
      </c>
      <c r="H43" s="3"/>
    </row>
    <row r="44" spans="2:11">
      <c r="B44" s="2"/>
      <c r="G44" s="3"/>
      <c r="H44" s="3"/>
    </row>
    <row r="45" spans="2:11">
      <c r="B45" s="2">
        <v>41940</v>
      </c>
      <c r="C45" t="s">
        <v>39</v>
      </c>
      <c r="D45">
        <v>1</v>
      </c>
      <c r="E45" t="s">
        <v>40</v>
      </c>
      <c r="F45">
        <v>2638.25</v>
      </c>
      <c r="G45" s="3">
        <v>-2.7</v>
      </c>
      <c r="H45" s="3"/>
      <c r="I45" s="3">
        <f>50*(F45-F46)-SUM(G45:G46)</f>
        <v>30.4</v>
      </c>
    </row>
    <row r="46" spans="2:11">
      <c r="B46" s="2">
        <v>41940</v>
      </c>
      <c r="C46" t="s">
        <v>41</v>
      </c>
      <c r="D46">
        <v>1</v>
      </c>
      <c r="E46" t="s">
        <v>40</v>
      </c>
      <c r="F46">
        <v>2637.75</v>
      </c>
      <c r="G46" s="3">
        <v>-2.7</v>
      </c>
      <c r="H46" s="3"/>
    </row>
    <row r="47" spans="2:11">
      <c r="B47" s="2"/>
      <c r="G47" s="3"/>
      <c r="H47" s="3"/>
    </row>
    <row r="48" spans="2:11">
      <c r="B48" s="2">
        <v>41940</v>
      </c>
      <c r="C48" t="s">
        <v>42</v>
      </c>
      <c r="D48">
        <v>1</v>
      </c>
      <c r="E48" t="s">
        <v>40</v>
      </c>
      <c r="F48">
        <v>2705</v>
      </c>
      <c r="G48" s="3">
        <v>-2.7</v>
      </c>
      <c r="H48" s="3"/>
      <c r="I48" s="3">
        <f>50*(F49-F48)-SUM(G48:G49)</f>
        <v>-629.4</v>
      </c>
      <c r="K48" s="6">
        <f>I48+I49</f>
        <v>-771.3</v>
      </c>
    </row>
    <row r="49" spans="1:14">
      <c r="B49" s="2">
        <v>41940</v>
      </c>
      <c r="C49" t="s">
        <v>39</v>
      </c>
      <c r="D49">
        <v>2</v>
      </c>
      <c r="E49" t="s">
        <v>40</v>
      </c>
      <c r="F49">
        <v>2692.25</v>
      </c>
      <c r="G49" s="3">
        <v>-5.4</v>
      </c>
      <c r="H49" s="3"/>
      <c r="I49" s="3">
        <f>50*(F49-F50)-SUM(G49:G50)</f>
        <v>-141.9</v>
      </c>
    </row>
    <row r="50" spans="1:14">
      <c r="B50" s="2">
        <v>41940</v>
      </c>
      <c r="C50" t="s">
        <v>41</v>
      </c>
      <c r="D50">
        <v>1</v>
      </c>
      <c r="E50" t="s">
        <v>40</v>
      </c>
      <c r="F50">
        <v>2695.25</v>
      </c>
      <c r="G50" s="3">
        <v>-2.7</v>
      </c>
      <c r="H50" s="3"/>
    </row>
    <row r="51" spans="1:14">
      <c r="B51" s="2"/>
      <c r="G51" s="3"/>
      <c r="H51" s="3"/>
    </row>
    <row r="52" spans="1:14">
      <c r="B52" s="2">
        <v>41940</v>
      </c>
      <c r="C52" t="s">
        <v>42</v>
      </c>
      <c r="D52">
        <v>1</v>
      </c>
      <c r="E52" t="s">
        <v>40</v>
      </c>
      <c r="F52">
        <v>2695.25</v>
      </c>
      <c r="G52" s="3">
        <v>-2.7</v>
      </c>
      <c r="H52" s="3"/>
      <c r="I52" s="3">
        <f>50*(F53-F52)-SUM(G52:G53)</f>
        <v>-7.1</v>
      </c>
    </row>
    <row r="53" spans="1:14">
      <c r="B53" s="2">
        <v>41940</v>
      </c>
      <c r="C53" t="s">
        <v>43</v>
      </c>
      <c r="D53">
        <v>1</v>
      </c>
      <c r="E53" t="s">
        <v>40</v>
      </c>
      <c r="F53">
        <v>2695</v>
      </c>
      <c r="G53" s="3">
        <v>-2.7</v>
      </c>
      <c r="H53" s="3"/>
    </row>
    <row r="54" spans="1:14">
      <c r="C54" s="3"/>
      <c r="D54" s="3"/>
      <c r="E54" s="3"/>
    </row>
    <row r="55" spans="1:14" s="4" customFormat="1"/>
    <row r="56" spans="1:14">
      <c r="A56" s="2">
        <v>41944</v>
      </c>
    </row>
    <row r="57" spans="1:14">
      <c r="A57" t="s">
        <v>143</v>
      </c>
    </row>
    <row r="58" spans="1:14">
      <c r="A58" t="s">
        <v>145</v>
      </c>
    </row>
    <row r="60" spans="1:14">
      <c r="A60" t="s">
        <v>28</v>
      </c>
      <c r="G60" t="s">
        <v>27</v>
      </c>
    </row>
    <row r="61" spans="1:14">
      <c r="A61" s="1" t="s">
        <v>29</v>
      </c>
      <c r="B61" s="1" t="s">
        <v>30</v>
      </c>
      <c r="C61" s="1" t="s">
        <v>31</v>
      </c>
      <c r="D61" s="1" t="s">
        <v>32</v>
      </c>
      <c r="E61" s="1" t="s">
        <v>33</v>
      </c>
      <c r="F61" s="1"/>
      <c r="G61" s="1" t="s">
        <v>29</v>
      </c>
      <c r="H61" s="1" t="s">
        <v>30</v>
      </c>
      <c r="I61" s="1" t="s">
        <v>31</v>
      </c>
      <c r="J61" s="1" t="s">
        <v>32</v>
      </c>
      <c r="K61" s="1" t="s">
        <v>35</v>
      </c>
      <c r="L61" s="1"/>
      <c r="M61" s="1" t="s">
        <v>38</v>
      </c>
      <c r="N61" s="1" t="s">
        <v>36</v>
      </c>
    </row>
    <row r="63" spans="1:14">
      <c r="A63" s="2">
        <v>41947</v>
      </c>
      <c r="B63" t="s">
        <v>88</v>
      </c>
      <c r="C63">
        <v>2730.25</v>
      </c>
      <c r="D63">
        <v>2.7</v>
      </c>
      <c r="G63" s="2">
        <v>41947</v>
      </c>
      <c r="H63" t="s">
        <v>89</v>
      </c>
      <c r="I63">
        <v>2720</v>
      </c>
      <c r="J63">
        <v>2.7</v>
      </c>
      <c r="M63">
        <f>50*(C63-I63)-(J63+D63)</f>
        <v>507.1</v>
      </c>
    </row>
  </sheetData>
  <phoneticPr fontId="4"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3:A13"/>
  <sheetViews>
    <sheetView workbookViewId="0">
      <selection activeCell="A11" sqref="A11"/>
    </sheetView>
  </sheetViews>
  <sheetFormatPr baseColWidth="10" defaultRowHeight="13"/>
  <sheetData>
    <row r="3" spans="1:1">
      <c r="A3" t="s">
        <v>81</v>
      </c>
    </row>
    <row r="4" spans="1:1">
      <c r="A4" t="s">
        <v>86</v>
      </c>
    </row>
    <row r="6" spans="1:1">
      <c r="A6" t="s">
        <v>87</v>
      </c>
    </row>
    <row r="8" spans="1:1">
      <c r="A8" t="s">
        <v>129</v>
      </c>
    </row>
    <row r="9" spans="1:1">
      <c r="A9" t="s">
        <v>130</v>
      </c>
    </row>
    <row r="11" spans="1:1">
      <c r="A11" s="17" t="s">
        <v>128</v>
      </c>
    </row>
    <row r="12" spans="1:1">
      <c r="A12" t="s">
        <v>127</v>
      </c>
    </row>
    <row r="13" spans="1:1">
      <c r="A13" t="s">
        <v>18</v>
      </c>
    </row>
  </sheetData>
  <phoneticPr fontId="4"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8:H31"/>
  <sheetViews>
    <sheetView workbookViewId="0">
      <selection activeCell="D16" sqref="D16"/>
    </sheetView>
  </sheetViews>
  <sheetFormatPr baseColWidth="10" defaultRowHeight="13"/>
  <cols>
    <col min="2" max="2" width="12.5703125" customWidth="1"/>
    <col min="3" max="3" width="13.140625" customWidth="1"/>
    <col min="4" max="4" width="17.140625" customWidth="1"/>
    <col min="5" max="5" width="12.42578125" customWidth="1"/>
    <col min="6" max="6" width="11.85546875" bestFit="1" customWidth="1"/>
  </cols>
  <sheetData>
    <row r="8" spans="1:6">
      <c r="A8" s="7" t="s">
        <v>131</v>
      </c>
    </row>
    <row r="9" spans="1:6">
      <c r="F9" t="s">
        <v>140</v>
      </c>
    </row>
    <row r="10" spans="1:6">
      <c r="B10" t="s">
        <v>136</v>
      </c>
    </row>
    <row r="11" spans="1:6">
      <c r="B11" t="s">
        <v>121</v>
      </c>
      <c r="D11" t="s">
        <v>139</v>
      </c>
      <c r="F11" t="s">
        <v>108</v>
      </c>
    </row>
    <row r="12" spans="1:6">
      <c r="B12" t="s">
        <v>137</v>
      </c>
      <c r="D12" t="s">
        <v>138</v>
      </c>
      <c r="F12" s="9">
        <f>SUM(IF(SPHistoricalData!I7:I32="Open-Test-Drive",MIN(SPHistoricalData!G7:G12,SPHistoricalData!E7:E12)))/B13</f>
        <v>0.11805555555555557</v>
      </c>
    </row>
    <row r="13" spans="1:6">
      <c r="B13">
        <f>C31</f>
        <v>3</v>
      </c>
      <c r="D13" s="8">
        <f>IF(SPHistoricalData!I12="Open-Test-Drive",MIN(SPHistoricalData!G12,SPHistoricalData!E12))</f>
        <v>0.36388888888888887</v>
      </c>
    </row>
    <row r="15" spans="1:6">
      <c r="D15" t="s">
        <v>109</v>
      </c>
    </row>
    <row r="16" spans="1:6">
      <c r="D16" s="9">
        <f>(SPHistoricalData!E12+SPHistoricalData!G15+SPHistoricalData!G14)/3</f>
        <v>0.35856481481481484</v>
      </c>
    </row>
    <row r="18" spans="1:8">
      <c r="A18" s="7" t="s">
        <v>110</v>
      </c>
    </row>
    <row r="20" spans="1:8">
      <c r="A20" s="1" t="s">
        <v>124</v>
      </c>
    </row>
    <row r="21" spans="1:8">
      <c r="B21" t="s">
        <v>70</v>
      </c>
      <c r="C21" t="s">
        <v>70</v>
      </c>
      <c r="D21" t="s">
        <v>70</v>
      </c>
      <c r="E21" t="s">
        <v>70</v>
      </c>
      <c r="F21" t="s">
        <v>70</v>
      </c>
      <c r="G21" t="s">
        <v>70</v>
      </c>
      <c r="H21" t="s">
        <v>70</v>
      </c>
    </row>
    <row r="22" spans="1:8">
      <c r="B22" t="s">
        <v>111</v>
      </c>
      <c r="C22" t="s">
        <v>113</v>
      </c>
      <c r="D22" t="s">
        <v>114</v>
      </c>
      <c r="E22" t="s">
        <v>115</v>
      </c>
      <c r="F22" t="s">
        <v>116</v>
      </c>
      <c r="G22" t="s">
        <v>117</v>
      </c>
      <c r="H22" t="s">
        <v>118</v>
      </c>
    </row>
    <row r="23" spans="1:8">
      <c r="B23" t="s">
        <v>112</v>
      </c>
      <c r="C23" t="s">
        <v>112</v>
      </c>
      <c r="D23" t="s">
        <v>112</v>
      </c>
      <c r="E23" t="s">
        <v>112</v>
      </c>
      <c r="F23" t="s">
        <v>112</v>
      </c>
      <c r="G23" t="s">
        <v>112</v>
      </c>
      <c r="H23" t="s">
        <v>112</v>
      </c>
    </row>
    <row r="24" spans="1:8">
      <c r="B24">
        <f>COUNTIF(SPHistoricalData!$J$7:$J25,"Trend")</f>
        <v>3</v>
      </c>
      <c r="C24">
        <f>COUNTIF(SPHistoricalData!$J$7:$J25,"DD Trend")</f>
        <v>3</v>
      </c>
      <c r="D24">
        <f>COUNTIF(SPHistoricalData!$J$7:$J25,"Neutral-Extreme")</f>
        <v>0</v>
      </c>
      <c r="E24">
        <f>COUNTIF(SPHistoricalData!$J$7:$J25,"Normal Var")</f>
        <v>0</v>
      </c>
      <c r="F24">
        <f>COUNTIF(SPHistoricalData!$J$7:$J25,"Neutral-Center")</f>
        <v>0</v>
      </c>
      <c r="G24">
        <f>COUNTIF(SPHistoricalData!$J$7:$J25,"Normal")</f>
        <v>1</v>
      </c>
      <c r="H24">
        <f>COUNTIF(SPHistoricalData!$J$7:$J25,"Non-trend")</f>
        <v>2</v>
      </c>
    </row>
    <row r="27" spans="1:8">
      <c r="A27" s="1" t="s">
        <v>119</v>
      </c>
    </row>
    <row r="28" spans="1:8">
      <c r="B28" t="s">
        <v>70</v>
      </c>
      <c r="C28" t="s">
        <v>70</v>
      </c>
      <c r="D28" t="s">
        <v>70</v>
      </c>
      <c r="E28" t="s">
        <v>70</v>
      </c>
    </row>
    <row r="29" spans="1:8">
      <c r="B29" t="s">
        <v>120</v>
      </c>
      <c r="C29" t="s">
        <v>121</v>
      </c>
      <c r="D29" t="s">
        <v>122</v>
      </c>
      <c r="E29" t="s">
        <v>123</v>
      </c>
    </row>
    <row r="30" spans="1:8">
      <c r="B30" t="s">
        <v>112</v>
      </c>
      <c r="C30" t="s">
        <v>112</v>
      </c>
      <c r="D30" t="s">
        <v>112</v>
      </c>
      <c r="E30" t="s">
        <v>112</v>
      </c>
    </row>
    <row r="31" spans="1:8">
      <c r="B31">
        <f>COUNTIF(SPHistoricalData!$I$7:$I32,"Open-Drive")</f>
        <v>2</v>
      </c>
      <c r="C31">
        <f>COUNTIF(SPHistoricalData!$I$7:$I32,"Open-Test-Drive")</f>
        <v>3</v>
      </c>
      <c r="D31">
        <f>COUNTIF(SPHistoricalData!$I$7:$I32,"Open-Reject-Reverse")</f>
        <v>1</v>
      </c>
      <c r="E31">
        <f>COUNTIF(SPHistoricalData!$I$7:$I32,"Open-Auction")</f>
        <v>3</v>
      </c>
    </row>
  </sheetData>
  <phoneticPr fontId="4"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B1:Y19"/>
  <sheetViews>
    <sheetView tabSelected="1" topLeftCell="J1" workbookViewId="0">
      <pane ySplit="4" topLeftCell="A5" activePane="bottomLeft" state="frozen"/>
      <selection pane="bottomLeft" activeCell="V6" sqref="V6"/>
    </sheetView>
  </sheetViews>
  <sheetFormatPr baseColWidth="10" defaultRowHeight="13"/>
  <cols>
    <col min="4" max="4" width="15.5703125" customWidth="1"/>
    <col min="5" max="5" width="11" style="9" customWidth="1"/>
    <col min="6" max="6" width="15.140625" customWidth="1"/>
    <col min="7" max="7" width="12" style="9" customWidth="1"/>
    <col min="8" max="8" width="12" style="5" customWidth="1"/>
    <col min="9" max="9" width="22.7109375" customWidth="1"/>
    <col min="10" max="10" width="26.85546875" customWidth="1"/>
    <col min="14" max="14" width="13.85546875" bestFit="1" customWidth="1"/>
    <col min="21" max="21" width="13.85546875" bestFit="1" customWidth="1"/>
    <col min="22" max="22" width="11.7109375" bestFit="1" customWidth="1"/>
  </cols>
  <sheetData>
    <row r="1" spans="2:25">
      <c r="I1" t="s">
        <v>104</v>
      </c>
      <c r="J1" t="s">
        <v>103</v>
      </c>
      <c r="N1" t="s">
        <v>160</v>
      </c>
      <c r="P1" t="s">
        <v>97</v>
      </c>
      <c r="U1" t="s">
        <v>76</v>
      </c>
    </row>
    <row r="2" spans="2:25">
      <c r="C2" t="s">
        <v>53</v>
      </c>
      <c r="I2" t="s">
        <v>132</v>
      </c>
      <c r="J2" t="s">
        <v>101</v>
      </c>
      <c r="K2" t="s">
        <v>56</v>
      </c>
      <c r="L2" t="s">
        <v>94</v>
      </c>
      <c r="M2" t="s">
        <v>63</v>
      </c>
      <c r="N2" t="s">
        <v>68</v>
      </c>
    </row>
    <row r="3" spans="2:25">
      <c r="C3" t="s">
        <v>50</v>
      </c>
      <c r="D3" t="s">
        <v>24</v>
      </c>
      <c r="E3" s="9" t="s">
        <v>25</v>
      </c>
      <c r="F3" t="s">
        <v>24</v>
      </c>
      <c r="G3" s="9" t="s">
        <v>25</v>
      </c>
      <c r="H3" s="5" t="s">
        <v>79</v>
      </c>
      <c r="I3" t="s">
        <v>23</v>
      </c>
      <c r="J3" t="s">
        <v>100</v>
      </c>
      <c r="K3" t="s">
        <v>106</v>
      </c>
      <c r="L3" t="s">
        <v>95</v>
      </c>
      <c r="M3" t="s">
        <v>64</v>
      </c>
      <c r="N3" t="s">
        <v>69</v>
      </c>
      <c r="P3" t="s">
        <v>49</v>
      </c>
      <c r="Q3" t="s">
        <v>51</v>
      </c>
      <c r="R3" t="s">
        <v>51</v>
      </c>
      <c r="S3" t="s">
        <v>51</v>
      </c>
      <c r="V3" t="s">
        <v>78</v>
      </c>
      <c r="W3" t="s">
        <v>78</v>
      </c>
    </row>
    <row r="4" spans="2:25">
      <c r="B4" t="s">
        <v>146</v>
      </c>
      <c r="C4" t="s">
        <v>58</v>
      </c>
      <c r="D4" t="s">
        <v>54</v>
      </c>
      <c r="E4" s="9" t="s">
        <v>26</v>
      </c>
      <c r="F4" t="s">
        <v>55</v>
      </c>
      <c r="G4" s="9" t="s">
        <v>55</v>
      </c>
      <c r="H4" s="5" t="s">
        <v>80</v>
      </c>
      <c r="I4" t="s">
        <v>105</v>
      </c>
      <c r="J4" t="s">
        <v>102</v>
      </c>
      <c r="K4" t="s">
        <v>107</v>
      </c>
      <c r="L4" t="s">
        <v>96</v>
      </c>
      <c r="M4" t="s">
        <v>65</v>
      </c>
      <c r="P4" t="s">
        <v>50</v>
      </c>
      <c r="Q4" t="s">
        <v>52</v>
      </c>
      <c r="R4" t="s">
        <v>54</v>
      </c>
      <c r="S4" t="s">
        <v>55</v>
      </c>
      <c r="U4" t="s">
        <v>77</v>
      </c>
      <c r="V4" t="s">
        <v>21</v>
      </c>
      <c r="W4" t="s">
        <v>22</v>
      </c>
      <c r="Y4" t="s">
        <v>75</v>
      </c>
    </row>
    <row r="5" spans="2:25" s="10" customFormat="1">
      <c r="B5" s="10" t="s">
        <v>83</v>
      </c>
      <c r="C5" s="10" t="s">
        <v>84</v>
      </c>
      <c r="D5" s="10" t="s">
        <v>85</v>
      </c>
      <c r="E5" s="11" t="s">
        <v>125</v>
      </c>
      <c r="F5" s="10" t="s">
        <v>126</v>
      </c>
      <c r="G5" s="11" t="s">
        <v>3</v>
      </c>
      <c r="H5" s="12" t="s">
        <v>4</v>
      </c>
      <c r="I5" s="10" t="s">
        <v>5</v>
      </c>
      <c r="J5" s="10" t="s">
        <v>6</v>
      </c>
      <c r="K5" s="10" t="s">
        <v>7</v>
      </c>
      <c r="L5" s="10" t="s">
        <v>8</v>
      </c>
      <c r="M5" s="10" t="s">
        <v>9</v>
      </c>
      <c r="N5" s="10" t="s">
        <v>10</v>
      </c>
      <c r="P5" s="10" t="s">
        <v>11</v>
      </c>
      <c r="Q5" s="10" t="s">
        <v>12</v>
      </c>
      <c r="R5" s="10" t="s">
        <v>13</v>
      </c>
      <c r="S5" s="10" t="s">
        <v>14</v>
      </c>
      <c r="U5" s="10" t="s">
        <v>15</v>
      </c>
      <c r="V5" s="10" t="s">
        <v>16</v>
      </c>
      <c r="W5" s="10" t="s">
        <v>17</v>
      </c>
    </row>
    <row r="6" spans="2:25" s="14" customFormat="1">
      <c r="B6" s="13">
        <v>41954</v>
      </c>
      <c r="C6" s="14">
        <v>2774.25</v>
      </c>
      <c r="D6" s="14">
        <v>2777.5</v>
      </c>
      <c r="E6" s="15">
        <v>0.35486111111111113</v>
      </c>
      <c r="F6" s="14">
        <v>2745.5</v>
      </c>
      <c r="G6" s="15">
        <v>0.41666666666666669</v>
      </c>
      <c r="H6" s="16">
        <v>448339</v>
      </c>
      <c r="I6" s="14" t="s">
        <v>67</v>
      </c>
      <c r="J6" s="14" t="s">
        <v>0</v>
      </c>
      <c r="K6" s="14" t="s">
        <v>1</v>
      </c>
      <c r="M6" s="14" t="s">
        <v>2</v>
      </c>
      <c r="N6" s="14">
        <v>0</v>
      </c>
      <c r="P6" s="14">
        <v>2793</v>
      </c>
      <c r="Q6" s="14">
        <v>2779.75</v>
      </c>
      <c r="R6" s="14">
        <v>2795.25</v>
      </c>
      <c r="S6" s="14">
        <v>2764.5</v>
      </c>
      <c r="U6" s="14">
        <v>8</v>
      </c>
      <c r="V6" s="14">
        <v>-5.25</v>
      </c>
      <c r="W6" s="14">
        <v>-262.5</v>
      </c>
      <c r="Y6" s="14" t="s">
        <v>159</v>
      </c>
    </row>
    <row r="7" spans="2:25">
      <c r="B7" s="2">
        <v>41951</v>
      </c>
      <c r="C7">
        <v>2793</v>
      </c>
      <c r="D7">
        <v>2795.25</v>
      </c>
      <c r="E7" s="9">
        <v>0.35555555555555557</v>
      </c>
      <c r="F7">
        <v>2777.25</v>
      </c>
      <c r="G7" s="9">
        <v>0.41944444444444445</v>
      </c>
      <c r="H7" s="5">
        <v>404717</v>
      </c>
      <c r="I7" t="s">
        <v>141</v>
      </c>
      <c r="J7" t="s">
        <v>156</v>
      </c>
      <c r="K7" t="s">
        <v>157</v>
      </c>
      <c r="M7" t="s">
        <v>158</v>
      </c>
      <c r="N7">
        <v>0</v>
      </c>
      <c r="P7">
        <v>2804.75</v>
      </c>
      <c r="Q7">
        <v>2809.25</v>
      </c>
      <c r="R7">
        <v>2815.25</v>
      </c>
      <c r="S7">
        <v>2795</v>
      </c>
      <c r="U7">
        <v>8</v>
      </c>
      <c r="V7">
        <v>-2</v>
      </c>
      <c r="W7">
        <v>-100</v>
      </c>
      <c r="Y7" t="s">
        <v>142</v>
      </c>
    </row>
    <row r="8" spans="2:25">
      <c r="B8" s="2">
        <v>41950</v>
      </c>
      <c r="C8">
        <v>2804.75</v>
      </c>
      <c r="D8">
        <v>2813.25</v>
      </c>
      <c r="E8" s="9">
        <v>0.37152777777777773</v>
      </c>
      <c r="F8">
        <v>2804.5</v>
      </c>
      <c r="G8" s="9">
        <v>0.38680555555555557</v>
      </c>
      <c r="H8" s="5">
        <v>321469</v>
      </c>
      <c r="I8" t="s">
        <v>82</v>
      </c>
      <c r="J8" t="s">
        <v>147</v>
      </c>
      <c r="K8" t="s">
        <v>148</v>
      </c>
      <c r="M8" t="s">
        <v>20</v>
      </c>
      <c r="N8">
        <v>0</v>
      </c>
      <c r="P8">
        <v>2779</v>
      </c>
      <c r="Q8">
        <v>2814</v>
      </c>
      <c r="R8">
        <v>2815</v>
      </c>
      <c r="S8">
        <v>2774.25</v>
      </c>
      <c r="U8">
        <v>2</v>
      </c>
      <c r="V8">
        <v>-5</v>
      </c>
      <c r="W8">
        <v>-250</v>
      </c>
      <c r="Y8" t="s">
        <v>19</v>
      </c>
    </row>
    <row r="9" spans="2:25">
      <c r="B9" s="2">
        <v>41949</v>
      </c>
      <c r="C9">
        <v>2779</v>
      </c>
      <c r="D9">
        <v>2792</v>
      </c>
      <c r="E9" s="9">
        <v>0.41250000000000003</v>
      </c>
      <c r="F9">
        <v>2774.25</v>
      </c>
      <c r="G9" s="9">
        <v>0.37847222222222227</v>
      </c>
      <c r="H9" s="5">
        <v>354715</v>
      </c>
      <c r="I9" t="s">
        <v>134</v>
      </c>
      <c r="J9" t="s">
        <v>135</v>
      </c>
      <c r="K9" t="s">
        <v>133</v>
      </c>
      <c r="M9" t="s">
        <v>144</v>
      </c>
      <c r="N9">
        <v>2</v>
      </c>
      <c r="P9">
        <v>2736.75</v>
      </c>
      <c r="Q9">
        <v>2756</v>
      </c>
      <c r="R9">
        <v>2756</v>
      </c>
      <c r="S9">
        <v>2736.75</v>
      </c>
      <c r="U9">
        <v>11</v>
      </c>
      <c r="V9">
        <v>0</v>
      </c>
      <c r="W9">
        <v>0</v>
      </c>
    </row>
    <row r="10" spans="2:25">
      <c r="B10" s="2">
        <v>41948</v>
      </c>
      <c r="C10">
        <v>2736.75</v>
      </c>
      <c r="D10">
        <v>2751.75</v>
      </c>
      <c r="E10" s="9">
        <v>0.37361111111111112</v>
      </c>
      <c r="F10">
        <v>2736.75</v>
      </c>
      <c r="G10" s="9">
        <v>0.35416666666666669</v>
      </c>
      <c r="H10" s="5">
        <v>354715</v>
      </c>
      <c r="I10" t="s">
        <v>71</v>
      </c>
      <c r="J10" t="s">
        <v>72</v>
      </c>
      <c r="K10" t="s">
        <v>74</v>
      </c>
      <c r="M10" t="s">
        <v>73</v>
      </c>
      <c r="N10">
        <v>0</v>
      </c>
      <c r="P10">
        <v>2727.5</v>
      </c>
      <c r="Q10">
        <v>2740.25</v>
      </c>
      <c r="R10">
        <v>2743.75</v>
      </c>
      <c r="S10">
        <v>2717</v>
      </c>
      <c r="U10">
        <v>10</v>
      </c>
      <c r="V10">
        <v>-12.5</v>
      </c>
      <c r="W10">
        <v>-625</v>
      </c>
    </row>
    <row r="11" spans="2:25">
      <c r="B11" s="2">
        <v>41947</v>
      </c>
      <c r="C11">
        <v>2727.5</v>
      </c>
      <c r="D11">
        <v>2733.25</v>
      </c>
      <c r="E11" s="9">
        <v>0.35833333333333334</v>
      </c>
      <c r="F11">
        <v>2717</v>
      </c>
      <c r="G11" s="9">
        <v>0.39097222222222222</v>
      </c>
      <c r="H11" s="5">
        <v>377277</v>
      </c>
      <c r="I11" t="s">
        <v>90</v>
      </c>
      <c r="J11" t="s">
        <v>57</v>
      </c>
      <c r="K11" t="s">
        <v>93</v>
      </c>
      <c r="M11" t="s">
        <v>91</v>
      </c>
      <c r="N11" t="s">
        <v>92</v>
      </c>
      <c r="P11">
        <v>2751.5</v>
      </c>
      <c r="Q11">
        <v>2722.75</v>
      </c>
      <c r="R11">
        <v>2756.5</v>
      </c>
      <c r="S11">
        <v>2699.5</v>
      </c>
      <c r="U11">
        <v>2</v>
      </c>
      <c r="V11">
        <v>10.25</v>
      </c>
      <c r="W11">
        <v>512.5</v>
      </c>
    </row>
    <row r="12" spans="2:25">
      <c r="B12" s="2">
        <v>41944</v>
      </c>
      <c r="C12">
        <v>2751.5</v>
      </c>
      <c r="D12">
        <v>2756.5</v>
      </c>
      <c r="E12" s="9">
        <v>0.36388888888888887</v>
      </c>
      <c r="F12">
        <v>2721.75</v>
      </c>
      <c r="G12" s="9">
        <v>0.40277777777777773</v>
      </c>
      <c r="H12" s="5">
        <v>566727</v>
      </c>
      <c r="I12" t="s">
        <v>59</v>
      </c>
      <c r="J12" t="s">
        <v>57</v>
      </c>
      <c r="K12" t="s">
        <v>60</v>
      </c>
      <c r="M12" t="s">
        <v>61</v>
      </c>
      <c r="N12">
        <v>2</v>
      </c>
      <c r="P12">
        <v>2706</v>
      </c>
      <c r="Q12">
        <v>2738</v>
      </c>
      <c r="R12">
        <v>2741.25</v>
      </c>
      <c r="S12">
        <v>2705.5</v>
      </c>
      <c r="W12">
        <v>-1759</v>
      </c>
      <c r="Y12" t="s">
        <v>98</v>
      </c>
    </row>
    <row r="13" spans="2:25">
      <c r="B13" s="2">
        <v>41943</v>
      </c>
      <c r="C13">
        <v>2720.5</v>
      </c>
      <c r="D13">
        <v>2732.25</v>
      </c>
      <c r="E13" s="9">
        <v>0.41666666666666669</v>
      </c>
      <c r="F13">
        <v>2707.75</v>
      </c>
      <c r="G13" s="9">
        <v>0.38055555555555554</v>
      </c>
      <c r="H13" s="5">
        <v>567516</v>
      </c>
      <c r="I13" t="s">
        <v>62</v>
      </c>
      <c r="J13" t="s">
        <v>66</v>
      </c>
      <c r="K13" t="s">
        <v>99</v>
      </c>
      <c r="M13" t="s">
        <v>65</v>
      </c>
      <c r="N13">
        <v>6</v>
      </c>
      <c r="P13">
        <v>2710.5</v>
      </c>
      <c r="Q13">
        <v>2709.75</v>
      </c>
      <c r="R13">
        <v>2736.5</v>
      </c>
      <c r="S13">
        <v>2704.75</v>
      </c>
      <c r="W13">
        <v>-391</v>
      </c>
    </row>
    <row r="14" spans="2:25">
      <c r="B14" s="2">
        <v>41942</v>
      </c>
      <c r="C14">
        <v>2711.75</v>
      </c>
      <c r="D14">
        <v>2729.25</v>
      </c>
      <c r="E14" s="9">
        <v>0.39930555555555558</v>
      </c>
      <c r="F14">
        <v>2706.25</v>
      </c>
      <c r="G14" s="9">
        <v>0.3576388888888889</v>
      </c>
      <c r="H14" s="5">
        <v>517819</v>
      </c>
      <c r="I14" t="s">
        <v>150</v>
      </c>
      <c r="J14" t="s">
        <v>149</v>
      </c>
      <c r="K14" t="s">
        <v>152</v>
      </c>
      <c r="M14" t="s">
        <v>153</v>
      </c>
      <c r="N14">
        <v>1</v>
      </c>
      <c r="P14">
        <v>2641.25</v>
      </c>
      <c r="Q14">
        <v>2683.5</v>
      </c>
      <c r="R14">
        <v>2683.5</v>
      </c>
      <c r="S14">
        <v>2635.75</v>
      </c>
    </row>
    <row r="15" spans="2:25">
      <c r="B15" s="2">
        <v>41941</v>
      </c>
      <c r="C15">
        <v>2641.25</v>
      </c>
      <c r="D15">
        <v>2675.25</v>
      </c>
      <c r="E15" s="9">
        <v>0.37152777777777773</v>
      </c>
      <c r="F15">
        <v>2635.75</v>
      </c>
      <c r="G15" s="9">
        <v>0.35416666666666669</v>
      </c>
      <c r="H15" s="5">
        <v>650925</v>
      </c>
      <c r="I15" t="s">
        <v>150</v>
      </c>
      <c r="J15" t="s">
        <v>151</v>
      </c>
      <c r="K15" t="s">
        <v>154</v>
      </c>
      <c r="M15" t="s">
        <v>155</v>
      </c>
      <c r="N15">
        <v>0</v>
      </c>
      <c r="P15">
        <v>2692.25</v>
      </c>
      <c r="Q15">
        <v>2638.75</v>
      </c>
      <c r="R15">
        <v>2707</v>
      </c>
      <c r="S15">
        <v>2603</v>
      </c>
      <c r="W15">
        <v>1211</v>
      </c>
    </row>
    <row r="16" spans="2:25">
      <c r="W16">
        <v>-770</v>
      </c>
    </row>
    <row r="19" spans="23:23">
      <c r="W19">
        <f>SUM(W7:W16)</f>
        <v>-2171.5</v>
      </c>
    </row>
  </sheetData>
  <phoneticPr fontId="4" type="noConversion"/>
  <pageMargins left="0.75" right="0.75" top="1" bottom="1" header="0.5" footer="0.5"/>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workbookViewId="0"/>
  </sheetViews>
  <sheetFormatPr baseColWidth="10" defaultRowHeight="13"/>
  <sheetData/>
  <phoneticPr fontId="4"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TradeHistory</vt:lpstr>
      <vt:lpstr>Research Points</vt:lpstr>
      <vt:lpstr>S&amp;P Stats</vt:lpstr>
      <vt:lpstr>SPHistoricalData</vt:lpstr>
      <vt:lpstr>NFLX Historical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Marlowe Quart</dc:creator>
  <cp:lastModifiedBy>Marlowe Quart</cp:lastModifiedBy>
  <dcterms:created xsi:type="dcterms:W3CDTF">2018-11-02T20:01:08Z</dcterms:created>
  <dcterms:modified xsi:type="dcterms:W3CDTF">2018-11-13T01:59:52Z</dcterms:modified>
</cp:coreProperties>
</file>