
<file path=[Content_Types].xml><?xml version="1.0" encoding="utf-8"?>
<Types xmlns="http://schemas.openxmlformats.org/package/2006/content-types">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Override PartName="/xl/worksheets/sheet2.xml" ContentType="application/vnd.openxmlformats-officedocument.spreadsheetml.worksheet+xml"/>
  <Override PartName="/xl/calcChain.xml" ContentType="application/vnd.openxmlformats-officedocument.spreadsheetml.calcChain+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0" yWindow="360" windowWidth="24600" windowHeight="10780" tabRatio="500" firstSheet="1" activeTab="2"/>
  </bookViews>
  <sheets>
    <sheet name="TradeHistory" sheetId="1" r:id="rId1"/>
    <sheet name="Research Points" sheetId="5" r:id="rId2"/>
    <sheet name="S&amp;P Stats" sheetId="4" r:id="rId3"/>
    <sheet name="SPHistoricalData" sheetId="2" r:id="rId4"/>
    <sheet name="NFLX Historical Data" sheetId="3" r:id="rId5"/>
    <sheet name="Definitions" sheetId="6" r:id="rId6"/>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25" i="4"/>
  <c r="C40"/>
  <c r="B22"/>
  <c r="F21"/>
  <c r="D22"/>
  <c r="E40"/>
  <c r="D40"/>
  <c r="B40"/>
  <c r="H33"/>
  <c r="G33"/>
  <c r="F33"/>
  <c r="E33"/>
  <c r="D33"/>
  <c r="C33"/>
  <c r="B33"/>
  <c r="I7" i="2"/>
  <c r="W11"/>
  <c r="X11"/>
  <c r="W10"/>
  <c r="X10"/>
  <c r="W9"/>
  <c r="X9"/>
  <c r="W8"/>
  <c r="X8"/>
  <c r="W7"/>
  <c r="X7"/>
  <c r="W6"/>
  <c r="X6"/>
  <c r="I12"/>
  <c r="I11"/>
  <c r="I10"/>
  <c r="I8"/>
  <c r="I9"/>
  <c r="AB55"/>
  <c r="AB11"/>
  <c r="AB12"/>
  <c r="AB14"/>
  <c r="I13"/>
  <c r="W12"/>
  <c r="X12"/>
  <c r="I14"/>
  <c r="W13"/>
  <c r="X13"/>
  <c r="W14"/>
  <c r="X14"/>
  <c r="W41"/>
  <c r="W42"/>
  <c r="W43"/>
  <c r="W44"/>
  <c r="W45"/>
  <c r="W46"/>
  <c r="W47"/>
  <c r="W48"/>
  <c r="W49"/>
  <c r="W50"/>
  <c r="X41"/>
  <c r="W40"/>
  <c r="X40"/>
  <c r="W39"/>
  <c r="X39"/>
  <c r="W38"/>
  <c r="X38"/>
  <c r="W37"/>
  <c r="X37"/>
  <c r="W36"/>
  <c r="X36"/>
  <c r="W35"/>
  <c r="X35"/>
  <c r="W34"/>
  <c r="X34"/>
  <c r="W33"/>
  <c r="X33"/>
  <c r="W32"/>
  <c r="X32"/>
  <c r="W31"/>
  <c r="X31"/>
  <c r="W30"/>
  <c r="X30"/>
  <c r="W29"/>
  <c r="X29"/>
  <c r="W28"/>
  <c r="X28"/>
  <c r="W27"/>
  <c r="X27"/>
  <c r="W26"/>
  <c r="X26"/>
  <c r="W25"/>
  <c r="X25"/>
  <c r="W24"/>
  <c r="X24"/>
  <c r="W23"/>
  <c r="X23"/>
  <c r="W22"/>
  <c r="X22"/>
  <c r="W21"/>
  <c r="X21"/>
  <c r="W20"/>
  <c r="X20"/>
  <c r="W19"/>
  <c r="X19"/>
  <c r="W18"/>
  <c r="X18"/>
  <c r="W17"/>
  <c r="X17"/>
  <c r="W16"/>
  <c r="X16"/>
  <c r="W15"/>
  <c r="X15"/>
  <c r="I16"/>
  <c r="I17"/>
  <c r="I18"/>
  <c r="I19"/>
  <c r="I15"/>
  <c r="I29"/>
  <c r="I30"/>
  <c r="I31"/>
  <c r="I32"/>
  <c r="I33"/>
  <c r="I34"/>
  <c r="I35"/>
  <c r="I37"/>
  <c r="I36"/>
  <c r="I48" i="1"/>
  <c r="I49"/>
  <c r="K48"/>
  <c r="I13"/>
  <c r="I16"/>
  <c r="I19"/>
  <c r="I22"/>
  <c r="I25"/>
  <c r="I26"/>
  <c r="I27"/>
  <c r="I28"/>
  <c r="I29"/>
  <c r="I30"/>
  <c r="I31"/>
  <c r="I32"/>
  <c r="K27"/>
  <c r="M63"/>
  <c r="I36"/>
  <c r="I39"/>
  <c r="I42"/>
  <c r="I45"/>
  <c r="I52"/>
  <c r="I9"/>
  <c r="N7"/>
</calcChain>
</file>

<file path=xl/sharedStrings.xml><?xml version="1.0" encoding="utf-8"?>
<sst xmlns="http://schemas.openxmlformats.org/spreadsheetml/2006/main" count="457" uniqueCount="308">
  <si>
    <t>What usually happens when it does fill the gap?</t>
    <phoneticPr fontId="23" type="noConversion"/>
  </si>
  <si>
    <t>Open-Reject-Reverse</t>
    <phoneticPr fontId="23" type="noConversion"/>
  </si>
  <si>
    <t>SUMIF('S&amp;P Historical Data'!I5:I30="Open-Test-Drive",MIN('S&amp;P Historical Data'!G5:G10,'S&amp;P Historical Data'!E5:E10))</t>
  </si>
  <si>
    <t>Open-Drive</t>
    <phoneticPr fontId="23" type="noConversion"/>
  </si>
  <si>
    <t>No Gap</t>
    <phoneticPr fontId="23" type="noConversion"/>
  </si>
  <si>
    <t>Open-Test-Drive</t>
    <phoneticPr fontId="23" type="noConversion"/>
  </si>
  <si>
    <t>Open-Reject-Reverse</t>
    <phoneticPr fontId="23" type="noConversion"/>
  </si>
  <si>
    <t>Neutral</t>
    <phoneticPr fontId="23" type="noConversion"/>
  </si>
  <si>
    <t>Gap Down</t>
    <phoneticPr fontId="23" type="noConversion"/>
  </si>
  <si>
    <t>N</t>
    <phoneticPr fontId="23" type="noConversion"/>
  </si>
  <si>
    <t>Open-Reject-Reverse</t>
    <phoneticPr fontId="23" type="noConversion"/>
  </si>
  <si>
    <t>Low</t>
    <phoneticPr fontId="23" type="noConversion"/>
  </si>
  <si>
    <t>Open</t>
    <phoneticPr fontId="23" type="noConversion"/>
  </si>
  <si>
    <t>Non-trend</t>
    <phoneticPr fontId="23" type="noConversion"/>
  </si>
  <si>
    <t>Types of Opens</t>
    <phoneticPr fontId="23" type="noConversion"/>
  </si>
  <si>
    <t>Y</t>
    <phoneticPr fontId="23" type="noConversion"/>
  </si>
  <si>
    <t>No Gap</t>
    <phoneticPr fontId="23" type="noConversion"/>
  </si>
  <si>
    <t>N</t>
    <phoneticPr fontId="23" type="noConversion"/>
  </si>
  <si>
    <t>Open-Auction</t>
    <phoneticPr fontId="23" type="noConversion"/>
  </si>
  <si>
    <t>Normal</t>
    <phoneticPr fontId="23" type="noConversion"/>
  </si>
  <si>
    <t>Open-Reject-Reverse</t>
    <phoneticPr fontId="23" type="noConversion"/>
  </si>
  <si>
    <t>Drift Lower</t>
    <phoneticPr fontId="23" type="noConversion"/>
  </si>
  <si>
    <t>Day Type Secondary</t>
    <phoneticPr fontId="23" type="noConversion"/>
  </si>
  <si>
    <t>Extreme</t>
    <phoneticPr fontId="23" type="noConversion"/>
  </si>
  <si>
    <t>Neutral</t>
    <phoneticPr fontId="23" type="noConversion"/>
  </si>
  <si>
    <t>Open-Auction</t>
    <phoneticPr fontId="23" type="noConversion"/>
  </si>
  <si>
    <t>Types of Days</t>
    <phoneticPr fontId="23" type="noConversion"/>
  </si>
  <si>
    <t>Time of High</t>
    <phoneticPr fontId="23" type="noConversion"/>
  </si>
  <si>
    <t>98% of time break either IB high or IB low (only 2.3% of time pit session does not touch overnight high or low)</t>
    <phoneticPr fontId="23" type="noConversion"/>
  </si>
  <si>
    <t>Gap zone stats:</t>
    <phoneticPr fontId="23" type="noConversion"/>
  </si>
  <si>
    <t>Long Liquidation</t>
    <phoneticPr fontId="23" type="noConversion"/>
  </si>
  <si>
    <t>Neutral</t>
    <phoneticPr fontId="23" type="noConversion"/>
  </si>
  <si>
    <t>Y</t>
    <phoneticPr fontId="23" type="noConversion"/>
  </si>
  <si>
    <t>No Gap</t>
    <phoneticPr fontId="23" type="noConversion"/>
  </si>
  <si>
    <t>DD Trend</t>
    <phoneticPr fontId="23" type="noConversion"/>
  </si>
  <si>
    <t>Y</t>
    <phoneticPr fontId="23" type="noConversion"/>
  </si>
  <si>
    <t>No Gap</t>
    <phoneticPr fontId="23" type="noConversion"/>
  </si>
  <si>
    <t>N</t>
    <phoneticPr fontId="23" type="noConversion"/>
  </si>
  <si>
    <t>Gap Up</t>
    <phoneticPr fontId="23" type="noConversion"/>
  </si>
  <si>
    <t>Open-Reject-Reverse</t>
    <phoneticPr fontId="23" type="noConversion"/>
  </si>
  <si>
    <t>No Gap</t>
    <phoneticPr fontId="23" type="noConversion"/>
  </si>
  <si>
    <t>Y</t>
    <phoneticPr fontId="23" type="noConversion"/>
  </si>
  <si>
    <t>On open reject reverse days, how often does the reverse move follow through and the day ends at a low?</t>
    <phoneticPr fontId="23" type="noConversion"/>
  </si>
  <si>
    <t>DD Trend</t>
    <phoneticPr fontId="23" type="noConversion"/>
  </si>
  <si>
    <t>(8:30 Central)</t>
    <phoneticPr fontId="23" type="noConversion"/>
  </si>
  <si>
    <t>Open-Test-Drive</t>
    <phoneticPr fontId="23" type="noConversion"/>
  </si>
  <si>
    <t>N</t>
    <phoneticPr fontId="23" type="noConversion"/>
  </si>
  <si>
    <t>Gap Up</t>
    <phoneticPr fontId="23" type="noConversion"/>
  </si>
  <si>
    <t>Open-Auction</t>
    <phoneticPr fontId="23" type="noConversion"/>
  </si>
  <si>
    <t>Open-Auction</t>
    <phoneticPr fontId="23" type="noConversion"/>
  </si>
  <si>
    <t>DD Trend</t>
    <phoneticPr fontId="23" type="noConversion"/>
  </si>
  <si>
    <t>Y</t>
    <phoneticPr fontId="23" type="noConversion"/>
  </si>
  <si>
    <t>Gap Up</t>
    <phoneticPr fontId="23" type="noConversion"/>
  </si>
  <si>
    <t>Y</t>
    <phoneticPr fontId="23" type="noConversion"/>
  </si>
  <si>
    <t>Open Low</t>
    <phoneticPr fontId="23" type="noConversion"/>
  </si>
  <si>
    <t>On Open-Test-Drive, how soon does it bounce back, how soon does it cross back over the open, by how much does it deviate away from the open&gt;</t>
    <phoneticPr fontId="23" type="noConversion"/>
  </si>
  <si>
    <t>Open-Test-Drive</t>
    <phoneticPr fontId="23" type="noConversion"/>
  </si>
  <si>
    <t>On open auction days, how many minutes to take direction</t>
    <phoneticPr fontId="23" type="noConversion"/>
  </si>
  <si>
    <t>On days with a drive in the first few minutes, what type of day is that? How much does it move in first few minutes?</t>
    <phoneticPr fontId="23" type="noConversion"/>
  </si>
  <si>
    <t>10 day ATR</t>
    <phoneticPr fontId="23" type="noConversion"/>
  </si>
  <si>
    <t>days true range</t>
    <phoneticPr fontId="23" type="noConversion"/>
  </si>
  <si>
    <t>TR</t>
    <phoneticPr fontId="23" type="noConversion"/>
  </si>
  <si>
    <t>66% of time IB High is broken</t>
    <phoneticPr fontId="23" type="noConversion"/>
  </si>
  <si>
    <t>If there is a gap up or down (down for this example) and we don’t touch the prior days low (high) within the first hour,</t>
    <phoneticPr fontId="23" type="noConversion"/>
  </si>
  <si>
    <t>85% probability it will not fill the gap fully</t>
    <phoneticPr fontId="23" type="noConversion"/>
  </si>
  <si>
    <t>In this situation, what is the rebound like, how often does it close higher (lower)?</t>
    <phoneticPr fontId="23" type="noConversion"/>
  </si>
  <si>
    <t>Y</t>
    <phoneticPr fontId="23" type="noConversion"/>
  </si>
  <si>
    <t>Non-trend</t>
    <phoneticPr fontId="23" type="noConversion"/>
  </si>
  <si>
    <t>Open-Test-Drive</t>
    <phoneticPr fontId="23" type="noConversion"/>
  </si>
  <si>
    <t>DD Trend</t>
    <phoneticPr fontId="23" type="noConversion"/>
  </si>
  <si>
    <t>Gap Down,</t>
    <phoneticPr fontId="23" type="noConversion"/>
  </si>
  <si>
    <t>No Gap</t>
    <phoneticPr fontId="23" type="noConversion"/>
  </si>
  <si>
    <t>Trend</t>
    <phoneticPr fontId="23" type="noConversion"/>
  </si>
  <si>
    <t>Open-Drive</t>
    <phoneticPr fontId="23" type="noConversion"/>
  </si>
  <si>
    <t>A gap happens when the ES opens outside of the previous days range</t>
    <phoneticPr fontId="23" type="noConversion"/>
  </si>
  <si>
    <t>Open-Auction</t>
    <phoneticPr fontId="23" type="noConversion"/>
  </si>
  <si>
    <t>DD Trend</t>
    <phoneticPr fontId="23" type="noConversion"/>
  </si>
  <si>
    <t>Gap Up</t>
    <phoneticPr fontId="23" type="noConversion"/>
  </si>
  <si>
    <t>N</t>
    <phoneticPr fontId="23" type="noConversion"/>
  </si>
  <si>
    <t>Y</t>
    <phoneticPr fontId="23" type="noConversion"/>
  </si>
  <si>
    <t>N</t>
    <phoneticPr fontId="23" type="noConversion"/>
  </si>
  <si>
    <t>Y</t>
    <phoneticPr fontId="23" type="noConversion"/>
  </si>
  <si>
    <t>Open-Reject-Reverse</t>
    <phoneticPr fontId="23" type="noConversion"/>
  </si>
  <si>
    <t>No Gap</t>
    <phoneticPr fontId="23" type="noConversion"/>
  </si>
  <si>
    <t>No Gap</t>
    <phoneticPr fontId="23" type="noConversion"/>
  </si>
  <si>
    <t>Opened and traded back and forth around the open 2793. It dropped and met some resistance at 2785, lots of volume there. It dropped below to 2780 and the volume was lower. To fill the gap it would be down to 2774 but I got out at 2780 because the volume was low at 2780 and that is a point of consolidation on the trader bite. If the bottom drops out I will be wrong, but it seemed like this was the right move.</t>
    <phoneticPr fontId="23" type="noConversion"/>
  </si>
  <si>
    <t>I am starting here to focus on only trading the open. I got caught up in emotional trading yesterday so I am going to drill in and focus on a more specific strategy</t>
    <phoneticPr fontId="23" type="noConversion"/>
  </si>
  <si>
    <t>Gap Up</t>
    <phoneticPr fontId="23" type="noConversion"/>
  </si>
  <si>
    <t>Gap Down</t>
    <phoneticPr fontId="23" type="noConversion"/>
  </si>
  <si>
    <t>Y</t>
    <phoneticPr fontId="23" type="noConversion"/>
  </si>
  <si>
    <t>crossing the open</t>
    <phoneticPr fontId="23" type="noConversion"/>
  </si>
  <si>
    <t>in first 1.5 hrs</t>
    <phoneticPr fontId="23" type="noConversion"/>
  </si>
  <si>
    <t>Total Number</t>
    <phoneticPr fontId="23" type="noConversion"/>
  </si>
  <si>
    <t>Trend</t>
    <phoneticPr fontId="23" type="noConversion"/>
  </si>
  <si>
    <t>DD Trend</t>
    <phoneticPr fontId="23" type="noConversion"/>
  </si>
  <si>
    <t>Open-Auction</t>
    <phoneticPr fontId="23" type="noConversion"/>
  </si>
  <si>
    <t>Gap Up</t>
    <phoneticPr fontId="23" type="noConversion"/>
  </si>
  <si>
    <t>Neutral</t>
    <phoneticPr fontId="23" type="noConversion"/>
  </si>
  <si>
    <t>Number of Trades</t>
    <phoneticPr fontId="23" type="noConversion"/>
  </si>
  <si>
    <t>Profit/Loss Points</t>
    <phoneticPr fontId="23" type="noConversion"/>
  </si>
  <si>
    <t>Profit/Loss Dollars</t>
    <phoneticPr fontId="23" type="noConversion"/>
  </si>
  <si>
    <t>On open-test-drive days, how soon is the test completed, mean and std dev</t>
    <phoneticPr fontId="23" type="noConversion"/>
  </si>
  <si>
    <t>Open-Auction</t>
    <phoneticPr fontId="23" type="noConversion"/>
  </si>
  <si>
    <t>Gap Down</t>
    <phoneticPr fontId="23" type="noConversion"/>
  </si>
  <si>
    <t>Y</t>
    <phoneticPr fontId="23" type="noConversion"/>
  </si>
  <si>
    <t>Trend</t>
    <phoneticPr fontId="23" type="noConversion"/>
  </si>
  <si>
    <t>N</t>
    <phoneticPr fontId="23" type="noConversion"/>
  </si>
  <si>
    <t>Gap Down</t>
    <phoneticPr fontId="23" type="noConversion"/>
  </si>
  <si>
    <t>Gap Up,</t>
    <phoneticPr fontId="23" type="noConversion"/>
  </si>
  <si>
    <t>Sell To Close</t>
  </si>
  <si>
    <t>ESZ18 - E Mini S&amp;P 500 December 2018</t>
  </si>
  <si>
    <t>Buy To Open</t>
  </si>
  <si>
    <t>Buy To Close</t>
  </si>
  <si>
    <t>Sell To Open</t>
  </si>
  <si>
    <t>Date</t>
    <phoneticPr fontId="23" type="noConversion"/>
  </si>
  <si>
    <t>Action</t>
    <phoneticPr fontId="23" type="noConversion"/>
  </si>
  <si>
    <t>Qty</t>
    <phoneticPr fontId="23" type="noConversion"/>
  </si>
  <si>
    <t>Price</t>
    <phoneticPr fontId="23" type="noConversion"/>
  </si>
  <si>
    <t>Commission/Fees</t>
    <phoneticPr fontId="23" type="noConversion"/>
  </si>
  <si>
    <t>Previous</t>
    <phoneticPr fontId="23" type="noConversion"/>
  </si>
  <si>
    <t>Open</t>
    <phoneticPr fontId="23" type="noConversion"/>
  </si>
  <si>
    <t>Previous</t>
    <phoneticPr fontId="23" type="noConversion"/>
  </si>
  <si>
    <t>Close</t>
    <phoneticPr fontId="23" type="noConversion"/>
  </si>
  <si>
    <t>Todays</t>
    <phoneticPr fontId="23" type="noConversion"/>
  </si>
  <si>
    <t>High</t>
    <phoneticPr fontId="23" type="noConversion"/>
  </si>
  <si>
    <t>Normal Var, Neutral-Center,</t>
  </si>
  <si>
    <t>Trend, DD Trend, Neutral-Extreme,</t>
    <phoneticPr fontId="23" type="noConversion"/>
  </si>
  <si>
    <t>Normal, Non-trend</t>
  </si>
  <si>
    <t>Day type:</t>
    <phoneticPr fontId="23" type="noConversion"/>
  </si>
  <si>
    <t>Open type:</t>
    <phoneticPr fontId="23" type="noConversion"/>
  </si>
  <si>
    <t>Neutral</t>
    <phoneticPr fontId="23" type="noConversion"/>
  </si>
  <si>
    <t>Neutral</t>
    <phoneticPr fontId="23" type="noConversion"/>
  </si>
  <si>
    <t>Extreme</t>
    <phoneticPr fontId="23" type="noConversion"/>
  </si>
  <si>
    <t>Open-Auction</t>
    <phoneticPr fontId="23" type="noConversion"/>
  </si>
  <si>
    <t>Y</t>
    <phoneticPr fontId="23" type="noConversion"/>
  </si>
  <si>
    <t>No Gap</t>
    <phoneticPr fontId="23" type="noConversion"/>
  </si>
  <si>
    <t>No Gap</t>
    <phoneticPr fontId="23" type="noConversion"/>
  </si>
  <si>
    <t>Open-Auction</t>
    <phoneticPr fontId="23" type="noConversion"/>
  </si>
  <si>
    <t>Open-Test-Drive</t>
    <phoneticPr fontId="23" type="noConversion"/>
  </si>
  <si>
    <t>Open-Auction</t>
    <phoneticPr fontId="23" type="noConversion"/>
  </si>
  <si>
    <t>Day Types:</t>
    <phoneticPr fontId="23" type="noConversion"/>
  </si>
  <si>
    <t>Close outside of initial balance</t>
    <phoneticPr fontId="23" type="noConversion"/>
  </si>
  <si>
    <t>Market opened and traded sideways for 8 minutes. I was focused on downside and I got afraid I would miss the move. I got in too early. My plan was to get in at 2810, stop at 2817 and limit at 2795. I got in at 2806 right before the market shot up, struck too early. I did feel good however and did not over trade like I have been doing.</t>
    <phoneticPr fontId="23" type="noConversion"/>
  </si>
  <si>
    <t>No Gap</t>
    <phoneticPr fontId="23" type="noConversion"/>
  </si>
  <si>
    <t>Points</t>
    <phoneticPr fontId="23" type="noConversion"/>
  </si>
  <si>
    <t>Dollars</t>
    <phoneticPr fontId="23" type="noConversion"/>
  </si>
  <si>
    <t>Open-Reject-Reverse,</t>
    <phoneticPr fontId="23" type="noConversion"/>
  </si>
  <si>
    <t>Open (first 1.5 hr)</t>
    <phoneticPr fontId="23" type="noConversion"/>
  </si>
  <si>
    <t>Time of</t>
    <phoneticPr fontId="23" type="noConversion"/>
  </si>
  <si>
    <t>High</t>
    <phoneticPr fontId="23" type="noConversion"/>
  </si>
  <si>
    <t>Position Close</t>
    <phoneticPr fontId="23" type="noConversion"/>
  </si>
  <si>
    <t>Time of Low</t>
    <phoneticPr fontId="23" type="noConversion"/>
  </si>
  <si>
    <t>Total Volume</t>
    <phoneticPr fontId="23" type="noConversion"/>
  </si>
  <si>
    <t>Open Type</t>
    <phoneticPr fontId="23" type="noConversion"/>
  </si>
  <si>
    <t>Day Type</t>
    <phoneticPr fontId="23" type="noConversion"/>
  </si>
  <si>
    <t>Open in Yesterdays Range</t>
    <phoneticPr fontId="23" type="noConversion"/>
  </si>
  <si>
    <t>Open in Yesterdays Value</t>
    <phoneticPr fontId="23" type="noConversion"/>
  </si>
  <si>
    <t>Gap Up/Down</t>
    <phoneticPr fontId="23" type="noConversion"/>
  </si>
  <si>
    <t>Open-Test-Drive Statistics</t>
    <phoneticPr fontId="23" type="noConversion"/>
  </si>
  <si>
    <t>Open-Drive, Open-Test-Drive,</t>
    <phoneticPr fontId="23" type="noConversion"/>
  </si>
  <si>
    <t>N</t>
    <phoneticPr fontId="23" type="noConversion"/>
  </si>
  <si>
    <t>Open-Auction</t>
    <phoneticPr fontId="23" type="noConversion"/>
  </si>
  <si>
    <t>Trend</t>
    <phoneticPr fontId="23" type="noConversion"/>
  </si>
  <si>
    <t>Total Number</t>
    <phoneticPr fontId="23" type="noConversion"/>
  </si>
  <si>
    <t>Days</t>
    <phoneticPr fontId="23" type="noConversion"/>
  </si>
  <si>
    <t>Time of test</t>
    <phoneticPr fontId="23" type="noConversion"/>
  </si>
  <si>
    <t>Average</t>
    <phoneticPr fontId="23" type="noConversion"/>
  </si>
  <si>
    <t>Val at 10</t>
    <phoneticPr fontId="23" type="noConversion"/>
  </si>
  <si>
    <t>Open at 10am</t>
    <phoneticPr fontId="23" type="noConversion"/>
  </si>
  <si>
    <t>Non-trend</t>
    <phoneticPr fontId="23" type="noConversion"/>
  </si>
  <si>
    <t>Open-Drive</t>
    <phoneticPr fontId="23" type="noConversion"/>
  </si>
  <si>
    <t>No Gap</t>
    <phoneticPr fontId="23" type="noConversion"/>
  </si>
  <si>
    <t>No Gap</t>
    <phoneticPr fontId="23" type="noConversion"/>
  </si>
  <si>
    <t>Open-Reject-Reverse</t>
    <phoneticPr fontId="23" type="noConversion"/>
  </si>
  <si>
    <t>Gap Up/Gap Down</t>
    <phoneticPr fontId="23" type="noConversion"/>
  </si>
  <si>
    <t>Proceeds</t>
    <phoneticPr fontId="23" type="noConversion"/>
  </si>
  <si>
    <t>Notes</t>
    <phoneticPr fontId="23" type="noConversion"/>
  </si>
  <si>
    <t>Sell</t>
    <phoneticPr fontId="23" type="noConversion"/>
  </si>
  <si>
    <t>Loss/Gain</t>
    <phoneticPr fontId="23" type="noConversion"/>
  </si>
  <si>
    <t>Only take 3 trades per day, one to open, one reversal (optional), and one to close. I am going to trade for the first 1.5 hours only. This is the discipline I am going to get on for a while, and work my niche.</t>
    <phoneticPr fontId="23" type="noConversion"/>
  </si>
  <si>
    <t>Date</t>
    <phoneticPr fontId="23" type="noConversion"/>
  </si>
  <si>
    <t>Non-trend</t>
    <phoneticPr fontId="23" type="noConversion"/>
  </si>
  <si>
    <t>The greatest imbalance occurs when open is outside of range and the direction is accepted, usually a trend day develops</t>
    <phoneticPr fontId="23" type="noConversion"/>
  </si>
  <si>
    <t>Sell</t>
    <phoneticPr fontId="23" type="noConversion"/>
  </si>
  <si>
    <t>Buy</t>
    <phoneticPr fontId="23" type="noConversion"/>
  </si>
  <si>
    <t>Open-Reject-Reverse</t>
    <phoneticPr fontId="23" type="noConversion"/>
  </si>
  <si>
    <t>10+</t>
    <phoneticPr fontId="23" type="noConversion"/>
  </si>
  <si>
    <t>Y</t>
    <phoneticPr fontId="23" type="noConversion"/>
  </si>
  <si>
    <t>Open</t>
    <phoneticPr fontId="23" type="noConversion"/>
  </si>
  <si>
    <t>In Yesterdays</t>
    <phoneticPr fontId="23" type="noConversion"/>
  </si>
  <si>
    <t>Value? (Y/N)</t>
    <phoneticPr fontId="23" type="noConversion"/>
  </si>
  <si>
    <t>Cash market only (8:30-3 central)</t>
    <phoneticPr fontId="23" type="noConversion"/>
  </si>
  <si>
    <t>Open Types:</t>
    <phoneticPr fontId="23" type="noConversion"/>
  </si>
  <si>
    <t>Open-Test-Drive</t>
    <phoneticPr fontId="23" type="noConversion"/>
  </si>
  <si>
    <t>test is within 1% of 10day ATR</t>
    <phoneticPr fontId="23" type="noConversion"/>
  </si>
  <si>
    <t>IF('S&amp;P Historical Data'!I5:I30="Open-Test-Drive",SUM(MIN('S&amp;P Historical Data'!G5:G10,'S&amp;P Historical Data'!E5:E10)))</t>
    <phoneticPr fontId="23" type="noConversion"/>
  </si>
  <si>
    <t>Average of Minimum on open-test drive days</t>
    <phoneticPr fontId="23" type="noConversion"/>
  </si>
  <si>
    <t>Total Counts</t>
    <phoneticPr fontId="23" type="noConversion"/>
  </si>
  <si>
    <t>Trend</t>
    <phoneticPr fontId="23" type="noConversion"/>
  </si>
  <si>
    <t>Days</t>
    <phoneticPr fontId="23" type="noConversion"/>
  </si>
  <si>
    <t>Open-Drive</t>
    <phoneticPr fontId="23" type="noConversion"/>
  </si>
  <si>
    <t>Normal</t>
    <phoneticPr fontId="23" type="noConversion"/>
  </si>
  <si>
    <t>No Gap</t>
    <phoneticPr fontId="23" type="noConversion"/>
  </si>
  <si>
    <t>Y</t>
    <phoneticPr fontId="23" type="noConversion"/>
  </si>
  <si>
    <t>Notes</t>
    <phoneticPr fontId="23" type="noConversion"/>
  </si>
  <si>
    <t>My trades</t>
    <phoneticPr fontId="23" type="noConversion"/>
  </si>
  <si>
    <t>Number of Trades</t>
    <phoneticPr fontId="23" type="noConversion"/>
  </si>
  <si>
    <t>Profit and Loss</t>
    <phoneticPr fontId="23" type="noConversion"/>
  </si>
  <si>
    <t>Total Volume</t>
    <phoneticPr fontId="23" type="noConversion"/>
  </si>
  <si>
    <t>8:30-10a</t>
    <phoneticPr fontId="23" type="noConversion"/>
  </si>
  <si>
    <t>When opening within previous days value range, what percent of the time do previous value extremes hold?</t>
    <phoneticPr fontId="23" type="noConversion"/>
  </si>
  <si>
    <t>Open-Auction</t>
    <phoneticPr fontId="23" type="noConversion"/>
  </si>
  <si>
    <t>Date</t>
    <phoneticPr fontId="23" type="noConversion"/>
  </si>
  <si>
    <t>Todays Open</t>
    <phoneticPr fontId="23" type="noConversion"/>
  </si>
  <si>
    <t>Open High</t>
    <phoneticPr fontId="23" type="noConversion"/>
  </si>
  <si>
    <t>Open-Auction</t>
    <phoneticPr fontId="23" type="noConversion"/>
  </si>
  <si>
    <t>In Yesterdays</t>
    <phoneticPr fontId="23" type="noConversion"/>
  </si>
  <si>
    <t>Trend</t>
    <phoneticPr fontId="23" type="noConversion"/>
  </si>
  <si>
    <t>Neutral</t>
    <phoneticPr fontId="23" type="noConversion"/>
  </si>
  <si>
    <t>DD Trend</t>
    <phoneticPr fontId="23" type="noConversion"/>
  </si>
  <si>
    <t>Range? (Y/N)</t>
    <phoneticPr fontId="23" type="noConversion"/>
  </si>
  <si>
    <t>just kept going lower, I kept getting out too soon when I sold</t>
    <phoneticPr fontId="23" type="noConversion"/>
  </si>
  <si>
    <t>Number of times</t>
    <phoneticPr fontId="23" type="noConversion"/>
  </si>
  <si>
    <t>27% of all days are neutral days, likely to break IB high and IB low (FT71)</t>
    <phoneticPr fontId="23" type="noConversion"/>
  </si>
  <si>
    <t>73% of all days are likely to only break one side of IB high or IB low</t>
    <phoneticPr fontId="23" type="noConversion"/>
  </si>
  <si>
    <t>Neutral</t>
    <phoneticPr fontId="23" type="noConversion"/>
  </si>
  <si>
    <t>Open-Drive</t>
    <phoneticPr fontId="23" type="noConversion"/>
  </si>
  <si>
    <t>Open-Test-Drive</t>
    <phoneticPr fontId="23" type="noConversion"/>
  </si>
  <si>
    <t>Open-Reject-Reverse</t>
    <phoneticPr fontId="23" type="noConversion"/>
  </si>
  <si>
    <t>DD Trend</t>
    <phoneticPr fontId="23" type="noConversion"/>
  </si>
  <si>
    <t>Neutral-Extreme</t>
    <phoneticPr fontId="23" type="noConversion"/>
  </si>
  <si>
    <t>Normal Var</t>
    <phoneticPr fontId="23" type="noConversion"/>
  </si>
  <si>
    <t>Neutral-Center</t>
    <phoneticPr fontId="23" type="noConversion"/>
  </si>
  <si>
    <t>Normal</t>
    <phoneticPr fontId="23" type="noConversion"/>
  </si>
  <si>
    <t>Gap Up</t>
    <phoneticPr fontId="23" type="noConversion"/>
  </si>
  <si>
    <t>Gap Down</t>
    <phoneticPr fontId="23" type="noConversion"/>
  </si>
  <si>
    <t>Opened, went slightly down in first 2 min, bounced up to high at 8:44 and then kept falling</t>
    <phoneticPr fontId="23" type="noConversion"/>
  </si>
  <si>
    <t>Y</t>
    <phoneticPr fontId="23" type="noConversion"/>
  </si>
  <si>
    <t>Open-Reject-Reverse</t>
    <phoneticPr fontId="23" type="noConversion"/>
  </si>
  <si>
    <t>Rejection point is within 5% of 10day ATR</t>
    <phoneticPr fontId="23" type="noConversion"/>
  </si>
  <si>
    <t>Open-Test-Drive</t>
    <phoneticPr fontId="23" type="noConversion"/>
  </si>
  <si>
    <t>Trend</t>
    <phoneticPr fontId="23" type="noConversion"/>
  </si>
  <si>
    <t>Y</t>
    <phoneticPr fontId="23" type="noConversion"/>
  </si>
  <si>
    <t>No Gap</t>
    <phoneticPr fontId="23" type="noConversion"/>
  </si>
  <si>
    <t>Y</t>
    <phoneticPr fontId="23" type="noConversion"/>
  </si>
  <si>
    <t>Y</t>
    <phoneticPr fontId="23" type="noConversion"/>
  </si>
  <si>
    <t>Gap Up</t>
    <phoneticPr fontId="23" type="noConversion"/>
  </si>
  <si>
    <t>Open-Drive</t>
    <phoneticPr fontId="23" type="noConversion"/>
  </si>
  <si>
    <t>Trend</t>
    <phoneticPr fontId="23" type="noConversion"/>
  </si>
  <si>
    <t>N</t>
    <phoneticPr fontId="23" type="noConversion"/>
  </si>
  <si>
    <t>Gap Down</t>
    <phoneticPr fontId="23" type="noConversion"/>
  </si>
  <si>
    <t>Neutral</t>
    <phoneticPr fontId="23" type="noConversion"/>
  </si>
  <si>
    <t>Extreme</t>
    <phoneticPr fontId="23" type="noConversion"/>
  </si>
  <si>
    <t>Open-Reject-Reverse</t>
    <phoneticPr fontId="23" type="noConversion"/>
  </si>
  <si>
    <t>Open-Auction</t>
    <phoneticPr fontId="23" type="noConversion"/>
  </si>
  <si>
    <t>N</t>
    <phoneticPr fontId="23" type="noConversion"/>
  </si>
  <si>
    <t>Y</t>
    <phoneticPr fontId="23" type="noConversion"/>
  </si>
  <si>
    <t>Neutral Extreme Day</t>
    <phoneticPr fontId="23" type="noConversion"/>
  </si>
  <si>
    <t>DD Trend</t>
    <phoneticPr fontId="23" type="noConversion"/>
  </si>
  <si>
    <t>DD Trend</t>
    <phoneticPr fontId="23" type="noConversion"/>
  </si>
  <si>
    <t>Gap Down</t>
    <phoneticPr fontId="23" type="noConversion"/>
  </si>
  <si>
    <t>N</t>
    <phoneticPr fontId="23" type="noConversion"/>
  </si>
  <si>
    <t>Reverse</t>
    <phoneticPr fontId="23" type="noConversion"/>
  </si>
  <si>
    <t>Y</t>
    <phoneticPr fontId="23" type="noConversion"/>
  </si>
  <si>
    <t>No Gap</t>
    <phoneticPr fontId="23" type="noConversion"/>
  </si>
  <si>
    <t>Triple Distribution</t>
    <phoneticPr fontId="23" type="noConversion"/>
  </si>
  <si>
    <t>Number of times crossing open</t>
    <phoneticPr fontId="23" type="noConversion"/>
  </si>
  <si>
    <t>Previous Open</t>
    <phoneticPr fontId="23" type="noConversion"/>
  </si>
  <si>
    <t>Previous Close</t>
    <phoneticPr fontId="23" type="noConversion"/>
  </si>
  <si>
    <t>Previous High</t>
    <phoneticPr fontId="23" type="noConversion"/>
  </si>
  <si>
    <t>Previous Low</t>
    <phoneticPr fontId="23" type="noConversion"/>
  </si>
  <si>
    <t>Neutral</t>
    <phoneticPr fontId="23" type="noConversion"/>
  </si>
  <si>
    <t>Open-Test-Drive</t>
    <phoneticPr fontId="23" type="noConversion"/>
  </si>
  <si>
    <t>DD Trend</t>
    <phoneticPr fontId="23" type="noConversion"/>
  </si>
  <si>
    <t>Gap Up</t>
    <phoneticPr fontId="23" type="noConversion"/>
  </si>
  <si>
    <t>N</t>
    <phoneticPr fontId="23" type="noConversion"/>
  </si>
  <si>
    <t>In Central Time</t>
    <phoneticPr fontId="23" type="noConversion"/>
  </si>
  <si>
    <t>Position Open</t>
    <phoneticPr fontId="23" type="noConversion"/>
  </si>
  <si>
    <t>Date</t>
    <phoneticPr fontId="23" type="noConversion"/>
  </si>
  <si>
    <t>Buy/Sell</t>
    <phoneticPr fontId="23" type="noConversion"/>
  </si>
  <si>
    <t>Price</t>
    <phoneticPr fontId="23" type="noConversion"/>
  </si>
  <si>
    <t>commission</t>
    <phoneticPr fontId="23" type="noConversion"/>
  </si>
  <si>
    <t>Cost</t>
    <phoneticPr fontId="23" type="noConversion"/>
  </si>
  <si>
    <t>Date</t>
    <phoneticPr fontId="23" type="noConversion"/>
  </si>
  <si>
    <t>Open-Auction</t>
    <phoneticPr fontId="23" type="noConversion"/>
  </si>
  <si>
    <t>Open Type Secondary</t>
    <phoneticPr fontId="23" type="noConversion"/>
  </si>
  <si>
    <t>Trend</t>
    <phoneticPr fontId="23" type="noConversion"/>
  </si>
  <si>
    <t>Open-Auction</t>
    <phoneticPr fontId="23" type="noConversion"/>
  </si>
  <si>
    <t>Volume when switching contracts</t>
    <phoneticPr fontId="23" type="noConversion"/>
  </si>
  <si>
    <t>The week before the current quarter contract closes, add volume from both the next quarter and current quarter</t>
    <phoneticPr fontId="23" type="noConversion"/>
  </si>
  <si>
    <t>Gap Down</t>
    <phoneticPr fontId="23" type="noConversion"/>
  </si>
  <si>
    <t>N</t>
    <phoneticPr fontId="23" type="noConversion"/>
  </si>
  <si>
    <t>No Gap</t>
    <phoneticPr fontId="23" type="noConversion"/>
  </si>
  <si>
    <t>No Gap</t>
    <phoneticPr fontId="23" type="noConversion"/>
  </si>
  <si>
    <t>Y</t>
    <phoneticPr fontId="23" type="noConversion"/>
  </si>
  <si>
    <t>Y</t>
    <phoneticPr fontId="23" type="noConversion"/>
  </si>
  <si>
    <t>Open-Auction</t>
    <phoneticPr fontId="23" type="noConversion"/>
  </si>
  <si>
    <t>Drift Higher</t>
    <phoneticPr fontId="23" type="noConversion"/>
  </si>
  <si>
    <t>N</t>
    <phoneticPr fontId="23" type="noConversion"/>
  </si>
  <si>
    <t>Gap Up</t>
    <phoneticPr fontId="23" type="noConversion"/>
  </si>
  <si>
    <t>Y</t>
    <phoneticPr fontId="23" type="noConversion"/>
  </si>
  <si>
    <t>No Gap</t>
    <phoneticPr fontId="23" type="noConversion"/>
  </si>
  <si>
    <t>Neutral</t>
    <phoneticPr fontId="23" type="noConversion"/>
  </si>
  <si>
    <t>Extreme</t>
    <phoneticPr fontId="23" type="noConversion"/>
  </si>
  <si>
    <t>On Open-Test-Drive</t>
    <phoneticPr fontId="23" type="noConversion"/>
  </si>
  <si>
    <t>and Open-Reject-Reverse</t>
    <phoneticPr fontId="23" type="noConversion"/>
  </si>
  <si>
    <t>1st time of crossing back over the open</t>
    <phoneticPr fontId="23" type="noConversion"/>
  </si>
  <si>
    <t>What are the greatest range extensions outside of the previous days value range in the open?</t>
    <phoneticPr fontId="23" type="noConversion"/>
  </si>
</sst>
</file>

<file path=xl/styles.xml><?xml version="1.0" encoding="utf-8"?>
<styleSheet xmlns="http://schemas.openxmlformats.org/spreadsheetml/2006/main">
  <numFmts count="1">
    <numFmt numFmtId="8" formatCode="&quot;$&quot;#,##0.00_);[Red]\(&quot;$&quot;#,##0.00\)"/>
  </numFmts>
  <fonts count="26">
    <font>
      <sz val="10"/>
      <name val="Verdana"/>
    </font>
    <font>
      <sz val="10"/>
      <name val="Verdana"/>
    </font>
    <font>
      <sz val="10"/>
      <name val="Verdana"/>
    </font>
    <font>
      <sz val="10"/>
      <name val="Verdana"/>
    </font>
    <font>
      <sz val="10"/>
      <name val="Verdana"/>
    </font>
    <font>
      <b/>
      <sz val="10"/>
      <name val="Verdana"/>
    </font>
    <font>
      <sz val="10"/>
      <name val="Verdana"/>
    </font>
    <font>
      <sz val="10"/>
      <name val="Verdana"/>
    </font>
    <font>
      <sz val="10"/>
      <name val="Verdana"/>
    </font>
    <font>
      <sz val="10"/>
      <name val="Verdana"/>
    </font>
    <font>
      <sz val="10"/>
      <name val="Verdana"/>
    </font>
    <font>
      <sz val="10"/>
      <name val="Verdana"/>
    </font>
    <font>
      <sz val="10"/>
      <name val="Verdana"/>
    </font>
    <font>
      <sz val="10"/>
      <name val="Verdana"/>
    </font>
    <font>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8"/>
      <name val="Verdana"/>
    </font>
    <font>
      <u/>
      <sz val="10"/>
      <name val="Verdana"/>
    </font>
    <font>
      <b/>
      <u/>
      <sz val="10"/>
      <name val="Verdana"/>
    </font>
  </fonts>
  <fills count="3">
    <fill>
      <patternFill patternType="none"/>
    </fill>
    <fill>
      <patternFill patternType="gray125"/>
    </fill>
    <fill>
      <patternFill patternType="solid">
        <fgColor indexed="41"/>
        <bgColor indexed="64"/>
      </patternFill>
    </fill>
  </fills>
  <borders count="1">
    <border>
      <left/>
      <right/>
      <top/>
      <bottom/>
      <diagonal/>
    </border>
  </borders>
  <cellStyleXfs count="1">
    <xf numFmtId="0" fontId="0" fillId="0" borderId="0"/>
  </cellStyleXfs>
  <cellXfs count="108">
    <xf numFmtId="0" fontId="0" fillId="0" borderId="0" xfId="0"/>
    <xf numFmtId="0" fontId="24" fillId="0" borderId="0" xfId="0" applyFont="1"/>
    <xf numFmtId="14" fontId="0" fillId="0" borderId="0" xfId="0" applyNumberFormat="1"/>
    <xf numFmtId="8" fontId="0" fillId="0" borderId="0" xfId="0" applyNumberFormat="1"/>
    <xf numFmtId="0" fontId="0" fillId="2" borderId="0" xfId="0" applyFill="1"/>
    <xf numFmtId="3" fontId="0" fillId="0" borderId="0" xfId="0" applyNumberFormat="1"/>
    <xf numFmtId="8" fontId="0" fillId="0" borderId="0" xfId="0" applyNumberFormat="1"/>
    <xf numFmtId="0" fontId="25" fillId="0" borderId="0" xfId="0" applyFont="1"/>
    <xf numFmtId="20" fontId="0" fillId="0" borderId="0" xfId="0" applyNumberFormat="1"/>
    <xf numFmtId="20" fontId="0" fillId="0" borderId="0" xfId="0" applyNumberFormat="1"/>
    <xf numFmtId="0" fontId="22" fillId="0" borderId="0" xfId="0" applyFont="1"/>
    <xf numFmtId="20" fontId="22" fillId="0" borderId="0" xfId="0" applyNumberFormat="1" applyFont="1"/>
    <xf numFmtId="3" fontId="22" fillId="0" borderId="0" xfId="0" applyNumberFormat="1" applyFont="1"/>
    <xf numFmtId="14" fontId="21" fillId="0" borderId="0" xfId="0" applyNumberFormat="1" applyFont="1"/>
    <xf numFmtId="0" fontId="21" fillId="0" borderId="0" xfId="0" applyFont="1"/>
    <xf numFmtId="20" fontId="21" fillId="0" borderId="0" xfId="0" applyNumberFormat="1" applyFont="1"/>
    <xf numFmtId="3" fontId="21" fillId="0" borderId="0" xfId="0" applyNumberFormat="1" applyFont="1"/>
    <xf numFmtId="0" fontId="20" fillId="0" borderId="0" xfId="0" applyFont="1"/>
    <xf numFmtId="0" fontId="19" fillId="0" borderId="0" xfId="0" applyFont="1"/>
    <xf numFmtId="20" fontId="19" fillId="0" borderId="0" xfId="0" applyNumberFormat="1" applyFont="1"/>
    <xf numFmtId="3" fontId="19" fillId="0" borderId="0" xfId="0" applyNumberFormat="1" applyFont="1"/>
    <xf numFmtId="14" fontId="19" fillId="0" borderId="0" xfId="0" applyNumberFormat="1" applyFont="1"/>
    <xf numFmtId="0" fontId="18" fillId="0" borderId="0" xfId="0" applyFont="1"/>
    <xf numFmtId="20" fontId="18" fillId="0" borderId="0" xfId="0" applyNumberFormat="1" applyFont="1"/>
    <xf numFmtId="3" fontId="18" fillId="0" borderId="0" xfId="0" applyNumberFormat="1" applyFont="1"/>
    <xf numFmtId="14" fontId="18" fillId="0" borderId="0" xfId="0" applyNumberFormat="1" applyFont="1"/>
    <xf numFmtId="0" fontId="17" fillId="0" borderId="0" xfId="0" applyFont="1"/>
    <xf numFmtId="20" fontId="17" fillId="0" borderId="0" xfId="0" applyNumberFormat="1" applyFont="1"/>
    <xf numFmtId="3" fontId="17" fillId="0" borderId="0" xfId="0" applyNumberFormat="1" applyFont="1"/>
    <xf numFmtId="14" fontId="17" fillId="0" borderId="0" xfId="0" applyNumberFormat="1" applyFont="1"/>
    <xf numFmtId="0" fontId="16" fillId="0" borderId="0" xfId="0" applyFont="1"/>
    <xf numFmtId="20" fontId="16" fillId="0" borderId="0" xfId="0" applyNumberFormat="1" applyFont="1"/>
    <xf numFmtId="3" fontId="16" fillId="0" borderId="0" xfId="0" applyNumberFormat="1" applyFont="1"/>
    <xf numFmtId="14" fontId="16" fillId="0" borderId="0" xfId="0" applyNumberFormat="1" applyFont="1"/>
    <xf numFmtId="0" fontId="15" fillId="0" borderId="0" xfId="0" applyFont="1"/>
    <xf numFmtId="20" fontId="15" fillId="0" borderId="0" xfId="0" applyNumberFormat="1" applyFont="1"/>
    <xf numFmtId="3" fontId="15" fillId="0" borderId="0" xfId="0" applyNumberFormat="1" applyFont="1"/>
    <xf numFmtId="14" fontId="15" fillId="0" borderId="0" xfId="0" applyNumberFormat="1" applyFont="1"/>
    <xf numFmtId="14" fontId="14" fillId="0" borderId="0" xfId="0" applyNumberFormat="1" applyFont="1"/>
    <xf numFmtId="0" fontId="14" fillId="0" borderId="0" xfId="0" applyFont="1"/>
    <xf numFmtId="20" fontId="14" fillId="0" borderId="0" xfId="0" applyNumberFormat="1" applyFont="1"/>
    <xf numFmtId="3" fontId="14" fillId="0" borderId="0" xfId="0" applyNumberFormat="1" applyFont="1"/>
    <xf numFmtId="0" fontId="13" fillId="0" borderId="0" xfId="0" applyFont="1"/>
    <xf numFmtId="20" fontId="13" fillId="0" borderId="0" xfId="0" applyNumberFormat="1" applyFont="1"/>
    <xf numFmtId="3" fontId="13" fillId="0" borderId="0" xfId="0" applyNumberFormat="1" applyFont="1"/>
    <xf numFmtId="14" fontId="13" fillId="0" borderId="0" xfId="0" applyNumberFormat="1" applyFont="1"/>
    <xf numFmtId="2" fontId="0" fillId="0" borderId="0" xfId="0" applyNumberFormat="1"/>
    <xf numFmtId="2" fontId="22" fillId="0" borderId="0" xfId="0" applyNumberFormat="1" applyFont="1"/>
    <xf numFmtId="2" fontId="13" fillId="0" borderId="0" xfId="0" applyNumberFormat="1" applyFont="1"/>
    <xf numFmtId="2" fontId="14" fillId="0" borderId="0" xfId="0" applyNumberFormat="1" applyFont="1"/>
    <xf numFmtId="2" fontId="15" fillId="0" borderId="0" xfId="0" applyNumberFormat="1" applyFont="1"/>
    <xf numFmtId="2" fontId="16" fillId="0" borderId="0" xfId="0" applyNumberFormat="1" applyFont="1"/>
    <xf numFmtId="2" fontId="17" fillId="0" borderId="0" xfId="0" applyNumberFormat="1" applyFont="1"/>
    <xf numFmtId="2" fontId="18" fillId="0" borderId="0" xfId="0" applyNumberFormat="1" applyFont="1"/>
    <xf numFmtId="2" fontId="19" fillId="0" borderId="0" xfId="0" applyNumberFormat="1" applyFont="1"/>
    <xf numFmtId="2" fontId="21" fillId="0" borderId="0" xfId="0" applyNumberFormat="1" applyFont="1"/>
    <xf numFmtId="14" fontId="12" fillId="0" borderId="0" xfId="0" applyNumberFormat="1" applyFont="1"/>
    <xf numFmtId="0" fontId="12" fillId="0" borderId="0" xfId="0" applyFont="1"/>
    <xf numFmtId="20" fontId="12" fillId="0" borderId="0" xfId="0" applyNumberFormat="1" applyFont="1"/>
    <xf numFmtId="2" fontId="12" fillId="0" borderId="0" xfId="0" applyNumberFormat="1" applyFont="1"/>
    <xf numFmtId="3" fontId="12" fillId="0" borderId="0" xfId="0" applyNumberFormat="1" applyFont="1"/>
    <xf numFmtId="0" fontId="11" fillId="0" borderId="0" xfId="0" applyFont="1"/>
    <xf numFmtId="20" fontId="11" fillId="0" borderId="0" xfId="0" applyNumberFormat="1" applyFont="1"/>
    <xf numFmtId="2" fontId="11" fillId="0" borderId="0" xfId="0" applyNumberFormat="1" applyFont="1"/>
    <xf numFmtId="3" fontId="11" fillId="0" borderId="0" xfId="0" applyNumberFormat="1" applyFont="1"/>
    <xf numFmtId="14" fontId="11" fillId="0" borderId="0" xfId="0" applyNumberFormat="1" applyFont="1"/>
    <xf numFmtId="0" fontId="10" fillId="0" borderId="0" xfId="0" applyFont="1"/>
    <xf numFmtId="20" fontId="10" fillId="0" borderId="0" xfId="0" applyNumberFormat="1" applyFont="1"/>
    <xf numFmtId="2" fontId="10" fillId="0" borderId="0" xfId="0" applyNumberFormat="1" applyFont="1"/>
    <xf numFmtId="3" fontId="10" fillId="0" borderId="0" xfId="0" applyNumberFormat="1" applyFont="1"/>
    <xf numFmtId="14" fontId="10" fillId="0" borderId="0" xfId="0" applyNumberFormat="1" applyFont="1"/>
    <xf numFmtId="0" fontId="9" fillId="0" borderId="0" xfId="0" applyFont="1"/>
    <xf numFmtId="20" fontId="9" fillId="0" borderId="0" xfId="0" applyNumberFormat="1" applyFont="1"/>
    <xf numFmtId="2" fontId="9" fillId="0" borderId="0" xfId="0" applyNumberFormat="1" applyFont="1"/>
    <xf numFmtId="3" fontId="9" fillId="0" borderId="0" xfId="0" applyNumberFormat="1" applyFont="1"/>
    <xf numFmtId="14" fontId="9" fillId="0" borderId="0" xfId="0" applyNumberFormat="1" applyFont="1"/>
    <xf numFmtId="0" fontId="8" fillId="0" borderId="0" xfId="0" applyFont="1"/>
    <xf numFmtId="20" fontId="8" fillId="0" borderId="0" xfId="0" applyNumberFormat="1" applyFont="1"/>
    <xf numFmtId="2" fontId="8" fillId="0" borderId="0" xfId="0" applyNumberFormat="1" applyFont="1"/>
    <xf numFmtId="3" fontId="8" fillId="0" borderId="0" xfId="0" applyNumberFormat="1" applyFont="1"/>
    <xf numFmtId="14" fontId="8" fillId="0" borderId="0" xfId="0" applyNumberFormat="1" applyFont="1"/>
    <xf numFmtId="0" fontId="7" fillId="0" borderId="0" xfId="0" applyFont="1"/>
    <xf numFmtId="20" fontId="7" fillId="0" borderId="0" xfId="0" applyNumberFormat="1" applyFont="1"/>
    <xf numFmtId="2" fontId="7" fillId="0" borderId="0" xfId="0" applyNumberFormat="1" applyFont="1"/>
    <xf numFmtId="3" fontId="7" fillId="0" borderId="0" xfId="0" applyNumberFormat="1" applyFont="1"/>
    <xf numFmtId="14" fontId="7" fillId="0" borderId="0" xfId="0" applyNumberFormat="1" applyFont="1"/>
    <xf numFmtId="0" fontId="5" fillId="0" borderId="0" xfId="0" applyFont="1"/>
    <xf numFmtId="0" fontId="6" fillId="0" borderId="0" xfId="0" applyFont="1"/>
    <xf numFmtId="0" fontId="4" fillId="0" borderId="0" xfId="0" applyFont="1"/>
    <xf numFmtId="20" fontId="4" fillId="0" borderId="0" xfId="0" applyNumberFormat="1" applyFont="1"/>
    <xf numFmtId="2" fontId="4" fillId="0" borderId="0" xfId="0" applyNumberFormat="1" applyFont="1"/>
    <xf numFmtId="3" fontId="4" fillId="0" borderId="0" xfId="0" applyNumberFormat="1" applyFont="1"/>
    <xf numFmtId="14" fontId="4" fillId="0" borderId="0" xfId="0" applyNumberFormat="1" applyFont="1"/>
    <xf numFmtId="0" fontId="3" fillId="0" borderId="0" xfId="0" applyFont="1"/>
    <xf numFmtId="20" fontId="3" fillId="0" borderId="0" xfId="0" applyNumberFormat="1" applyFont="1"/>
    <xf numFmtId="2" fontId="3" fillId="0" borderId="0" xfId="0" applyNumberFormat="1" applyFont="1"/>
    <xf numFmtId="3" fontId="3" fillId="0" borderId="0" xfId="0" applyNumberFormat="1" applyFont="1"/>
    <xf numFmtId="14" fontId="3" fillId="0" borderId="0" xfId="0" applyNumberFormat="1" applyFont="1"/>
    <xf numFmtId="0" fontId="2" fillId="0" borderId="0" xfId="0" applyFont="1"/>
    <xf numFmtId="20" fontId="2" fillId="0" borderId="0" xfId="0" applyNumberFormat="1" applyFont="1"/>
    <xf numFmtId="2" fontId="2" fillId="0" borderId="0" xfId="0" applyNumberFormat="1" applyFont="1"/>
    <xf numFmtId="3" fontId="2" fillId="0" borderId="0" xfId="0" applyNumberFormat="1" applyFont="1"/>
    <xf numFmtId="14" fontId="2" fillId="0" borderId="0" xfId="0" applyNumberFormat="1" applyFont="1"/>
    <xf numFmtId="14" fontId="1" fillId="0" borderId="0" xfId="0" applyNumberFormat="1" applyFont="1"/>
    <xf numFmtId="0" fontId="1" fillId="0" borderId="0" xfId="0" applyFont="1"/>
    <xf numFmtId="20" fontId="1" fillId="0" borderId="0" xfId="0" applyNumberFormat="1" applyFont="1"/>
    <xf numFmtId="2" fontId="1" fillId="0" borderId="0" xfId="0" applyNumberFormat="1" applyFont="1"/>
    <xf numFmtId="3" fontId="1" fillId="0" borderId="0" xfId="0" applyNumberFormat="1"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O63"/>
  <sheetViews>
    <sheetView topLeftCell="A23" workbookViewId="0">
      <selection activeCell="K49" sqref="K49"/>
    </sheetView>
  </sheetViews>
  <sheetFormatPr baseColWidth="10" defaultRowHeight="13"/>
  <sheetData>
    <row r="1" spans="2:15">
      <c r="B1" t="s">
        <v>277</v>
      </c>
      <c r="H1" t="s">
        <v>150</v>
      </c>
    </row>
    <row r="2" spans="2:15" s="1" customFormat="1">
      <c r="B2" s="1" t="s">
        <v>278</v>
      </c>
      <c r="C2" s="1" t="s">
        <v>279</v>
      </c>
      <c r="D2" s="1" t="s">
        <v>280</v>
      </c>
      <c r="E2" s="1" t="s">
        <v>281</v>
      </c>
      <c r="F2" s="1" t="s">
        <v>282</v>
      </c>
      <c r="H2" s="1" t="s">
        <v>283</v>
      </c>
      <c r="I2" s="1" t="s">
        <v>279</v>
      </c>
      <c r="J2" s="1" t="s">
        <v>280</v>
      </c>
      <c r="K2" s="1" t="s">
        <v>281</v>
      </c>
      <c r="L2" s="1" t="s">
        <v>175</v>
      </c>
      <c r="N2" s="1" t="s">
        <v>178</v>
      </c>
      <c r="O2" s="1" t="s">
        <v>176</v>
      </c>
    </row>
    <row r="4" spans="2:15">
      <c r="B4" s="2">
        <v>41940</v>
      </c>
      <c r="C4" t="s">
        <v>177</v>
      </c>
      <c r="D4">
        <v>2695</v>
      </c>
    </row>
    <row r="7" spans="2:15">
      <c r="B7" s="2">
        <v>41944</v>
      </c>
      <c r="N7">
        <f>-1750-64.8</f>
        <v>-1814.8</v>
      </c>
    </row>
    <row r="9" spans="2:15">
      <c r="I9" s="3">
        <f>SUM(I13:I52)</f>
        <v>-1689</v>
      </c>
    </row>
    <row r="11" spans="2:15">
      <c r="B11" t="s">
        <v>114</v>
      </c>
      <c r="C11" t="s">
        <v>115</v>
      </c>
      <c r="D11" t="s">
        <v>116</v>
      </c>
      <c r="F11" t="s">
        <v>117</v>
      </c>
      <c r="G11" t="s">
        <v>118</v>
      </c>
    </row>
    <row r="13" spans="2:15">
      <c r="B13" s="2">
        <v>41944</v>
      </c>
      <c r="C13" t="s">
        <v>109</v>
      </c>
      <c r="D13">
        <v>1</v>
      </c>
      <c r="E13" t="s">
        <v>110</v>
      </c>
      <c r="F13">
        <v>2719.5</v>
      </c>
      <c r="G13" s="3">
        <v>-2.7</v>
      </c>
      <c r="H13" s="3"/>
      <c r="I13" s="3">
        <f>50*(F13-F14)-SUM(G13:G14)</f>
        <v>-119.6</v>
      </c>
    </row>
    <row r="14" spans="2:15">
      <c r="B14" s="2">
        <v>41944</v>
      </c>
      <c r="C14" t="s">
        <v>111</v>
      </c>
      <c r="D14">
        <v>1</v>
      </c>
      <c r="E14" t="s">
        <v>110</v>
      </c>
      <c r="F14">
        <v>2722</v>
      </c>
      <c r="G14" s="3">
        <v>-2.7</v>
      </c>
      <c r="H14" s="3"/>
    </row>
    <row r="15" spans="2:15">
      <c r="B15" s="2"/>
      <c r="G15" s="3"/>
      <c r="H15" s="3"/>
    </row>
    <row r="16" spans="2:15">
      <c r="B16" s="2">
        <v>41944</v>
      </c>
      <c r="C16" t="s">
        <v>109</v>
      </c>
      <c r="D16">
        <v>1</v>
      </c>
      <c r="E16" t="s">
        <v>110</v>
      </c>
      <c r="F16">
        <v>2723.75</v>
      </c>
      <c r="G16" s="3">
        <v>-2.7</v>
      </c>
      <c r="H16" s="3"/>
      <c r="I16" s="3">
        <f>50*(F16-F17)-SUM(G16:G17)</f>
        <v>55.4</v>
      </c>
    </row>
    <row r="17" spans="2:11">
      <c r="B17" s="2">
        <v>41944</v>
      </c>
      <c r="C17" t="s">
        <v>111</v>
      </c>
      <c r="D17">
        <v>1</v>
      </c>
      <c r="E17" t="s">
        <v>110</v>
      </c>
      <c r="F17">
        <v>2722.75</v>
      </c>
      <c r="G17" s="3">
        <v>-2.7</v>
      </c>
      <c r="H17" s="3"/>
    </row>
    <row r="18" spans="2:11">
      <c r="B18" s="2"/>
      <c r="G18" s="3"/>
      <c r="H18" s="3"/>
    </row>
    <row r="19" spans="2:11">
      <c r="B19" s="2">
        <v>41944</v>
      </c>
      <c r="C19" t="s">
        <v>109</v>
      </c>
      <c r="D19">
        <v>1</v>
      </c>
      <c r="E19" t="s">
        <v>110</v>
      </c>
      <c r="F19">
        <v>2717.75</v>
      </c>
      <c r="G19" s="3">
        <v>-2.7</v>
      </c>
      <c r="H19" s="3"/>
      <c r="I19" s="3">
        <f>50*(F19-F20)-SUM(G19:G20)</f>
        <v>-619.6</v>
      </c>
    </row>
    <row r="20" spans="2:11">
      <c r="B20" s="2">
        <v>41944</v>
      </c>
      <c r="C20" t="s">
        <v>111</v>
      </c>
      <c r="D20">
        <v>1</v>
      </c>
      <c r="E20" t="s">
        <v>110</v>
      </c>
      <c r="F20">
        <v>2730.25</v>
      </c>
      <c r="G20" s="3">
        <v>-2.7</v>
      </c>
      <c r="H20" s="3"/>
    </row>
    <row r="21" spans="2:11">
      <c r="B21" s="2"/>
      <c r="G21" s="3"/>
      <c r="H21" s="3"/>
    </row>
    <row r="22" spans="2:11">
      <c r="B22" s="2">
        <v>41944</v>
      </c>
      <c r="C22" t="s">
        <v>109</v>
      </c>
      <c r="D22">
        <v>1</v>
      </c>
      <c r="E22" t="s">
        <v>110</v>
      </c>
      <c r="F22">
        <v>2726.5</v>
      </c>
      <c r="G22" s="3">
        <v>-2.7</v>
      </c>
      <c r="H22" s="3"/>
      <c r="I22" s="3">
        <f>50*(F22-F23)-SUM(G22:G23)</f>
        <v>-107.1</v>
      </c>
    </row>
    <row r="23" spans="2:11">
      <c r="B23" s="2">
        <v>41944</v>
      </c>
      <c r="C23" t="s">
        <v>111</v>
      </c>
      <c r="D23">
        <v>1</v>
      </c>
      <c r="E23" t="s">
        <v>110</v>
      </c>
      <c r="F23">
        <v>2728.75</v>
      </c>
      <c r="G23" s="3">
        <v>-2.7</v>
      </c>
      <c r="H23" s="3"/>
    </row>
    <row r="24" spans="2:11">
      <c r="B24" s="2"/>
      <c r="G24" s="3"/>
      <c r="H24" s="3"/>
    </row>
    <row r="25" spans="2:11">
      <c r="B25" s="2">
        <v>41944</v>
      </c>
      <c r="C25" t="s">
        <v>112</v>
      </c>
      <c r="D25">
        <v>1</v>
      </c>
      <c r="E25" t="s">
        <v>110</v>
      </c>
      <c r="F25">
        <v>2747.25</v>
      </c>
      <c r="G25" s="3">
        <v>-2.7</v>
      </c>
      <c r="H25" s="3"/>
      <c r="I25" s="3">
        <f>50*(F26-F25)-SUM(G25:G26)</f>
        <v>245.6</v>
      </c>
    </row>
    <row r="26" spans="2:11">
      <c r="B26" s="2">
        <v>41944</v>
      </c>
      <c r="C26" t="s">
        <v>109</v>
      </c>
      <c r="D26">
        <v>2</v>
      </c>
      <c r="E26" t="s">
        <v>110</v>
      </c>
      <c r="F26">
        <v>2752</v>
      </c>
      <c r="G26" s="3">
        <v>-5.4</v>
      </c>
      <c r="H26" s="3"/>
      <c r="I26" s="3">
        <f>50*(F26-F27)-SUM(G26:G27)</f>
        <v>-201.7</v>
      </c>
    </row>
    <row r="27" spans="2:11">
      <c r="B27" s="2">
        <v>41944</v>
      </c>
      <c r="C27" t="s">
        <v>112</v>
      </c>
      <c r="D27">
        <v>2</v>
      </c>
      <c r="E27" t="s">
        <v>110</v>
      </c>
      <c r="F27">
        <v>2756.25</v>
      </c>
      <c r="G27" s="3">
        <v>-5.4</v>
      </c>
      <c r="H27" s="3"/>
      <c r="I27" s="3">
        <f>50*(F28-F27)-SUM(G27:G28)</f>
        <v>-114.2</v>
      </c>
      <c r="K27" s="3">
        <f>SUM(I13:I32)</f>
        <v>-1759.9</v>
      </c>
    </row>
    <row r="28" spans="2:11">
      <c r="B28" s="2">
        <v>41944</v>
      </c>
      <c r="C28" t="s">
        <v>109</v>
      </c>
      <c r="D28">
        <v>2</v>
      </c>
      <c r="E28" t="s">
        <v>110</v>
      </c>
      <c r="F28">
        <v>2753.75</v>
      </c>
      <c r="G28" s="3">
        <v>-5.4</v>
      </c>
      <c r="H28" s="3"/>
      <c r="I28" s="3">
        <f>50*(F28-F29)-SUM(G28:G29)</f>
        <v>60.8</v>
      </c>
    </row>
    <row r="29" spans="2:11">
      <c r="B29" s="2">
        <v>41944</v>
      </c>
      <c r="C29" t="s">
        <v>112</v>
      </c>
      <c r="D29">
        <v>2</v>
      </c>
      <c r="E29" t="s">
        <v>110</v>
      </c>
      <c r="F29">
        <v>2752.75</v>
      </c>
      <c r="G29" s="3">
        <v>-5.4</v>
      </c>
      <c r="H29" s="3"/>
      <c r="I29" s="3">
        <f>50*(F30-F29)-SUM(G29:G30)</f>
        <v>-276.7</v>
      </c>
    </row>
    <row r="30" spans="2:11">
      <c r="B30" s="2">
        <v>41944</v>
      </c>
      <c r="C30" t="s">
        <v>109</v>
      </c>
      <c r="D30">
        <v>2</v>
      </c>
      <c r="E30" t="s">
        <v>110</v>
      </c>
      <c r="F30">
        <v>2747</v>
      </c>
      <c r="G30" s="3">
        <v>-5.4</v>
      </c>
      <c r="H30" s="3"/>
      <c r="I30" s="3">
        <f>50*(F30-F31)-SUM(G30:G31)</f>
        <v>-176.7</v>
      </c>
    </row>
    <row r="31" spans="2:11">
      <c r="B31" s="2">
        <v>41944</v>
      </c>
      <c r="C31" t="s">
        <v>112</v>
      </c>
      <c r="D31">
        <v>2</v>
      </c>
      <c r="E31" t="s">
        <v>110</v>
      </c>
      <c r="F31">
        <v>2750.75</v>
      </c>
      <c r="G31" s="3">
        <v>-5.4</v>
      </c>
      <c r="H31" s="3"/>
      <c r="I31" s="3">
        <f>50*(F32-F31)-SUM(G31:G32)</f>
        <v>-176.7</v>
      </c>
    </row>
    <row r="32" spans="2:11">
      <c r="B32" s="2">
        <v>41944</v>
      </c>
      <c r="C32" t="s">
        <v>109</v>
      </c>
      <c r="D32">
        <v>2</v>
      </c>
      <c r="E32" t="s">
        <v>110</v>
      </c>
      <c r="F32">
        <v>2747</v>
      </c>
      <c r="G32" s="3">
        <v>-5.4</v>
      </c>
      <c r="H32" s="3"/>
      <c r="I32" s="3">
        <f>50*(F32-F33)-SUM(G32:G33)</f>
        <v>-329.4</v>
      </c>
    </row>
    <row r="33" spans="2:11">
      <c r="B33" s="2">
        <v>41944</v>
      </c>
      <c r="C33" t="s">
        <v>111</v>
      </c>
      <c r="D33">
        <v>1</v>
      </c>
      <c r="E33" t="s">
        <v>110</v>
      </c>
      <c r="F33">
        <v>2753.75</v>
      </c>
      <c r="G33" s="3">
        <v>-2.7</v>
      </c>
      <c r="H33" s="3"/>
    </row>
    <row r="34" spans="2:11">
      <c r="B34" s="2"/>
      <c r="G34" s="3"/>
      <c r="H34" s="3"/>
    </row>
    <row r="35" spans="2:11">
      <c r="B35" s="2">
        <v>41943</v>
      </c>
      <c r="C35" t="s">
        <v>109</v>
      </c>
      <c r="D35">
        <v>1</v>
      </c>
      <c r="E35" t="s">
        <v>110</v>
      </c>
      <c r="F35">
        <v>2726.5</v>
      </c>
      <c r="G35" s="3">
        <v>-2.7</v>
      </c>
      <c r="H35" s="3"/>
    </row>
    <row r="36" spans="2:11">
      <c r="B36" s="2">
        <v>41943</v>
      </c>
      <c r="C36" t="s">
        <v>112</v>
      </c>
      <c r="D36">
        <v>2</v>
      </c>
      <c r="E36" t="s">
        <v>110</v>
      </c>
      <c r="F36">
        <v>2736</v>
      </c>
      <c r="G36" s="3">
        <v>-5.4</v>
      </c>
      <c r="H36" s="3"/>
      <c r="I36" s="3">
        <f>50*(F37-F36)-SUM(G36:G37)</f>
        <v>-391.9</v>
      </c>
    </row>
    <row r="37" spans="2:11">
      <c r="B37" s="2">
        <v>41943</v>
      </c>
      <c r="C37" t="s">
        <v>113</v>
      </c>
      <c r="D37">
        <v>1</v>
      </c>
      <c r="E37" t="s">
        <v>110</v>
      </c>
      <c r="F37">
        <v>2728</v>
      </c>
      <c r="G37" s="3">
        <v>-2.7</v>
      </c>
      <c r="H37" s="3"/>
    </row>
    <row r="38" spans="2:11">
      <c r="B38" s="2"/>
      <c r="G38" s="3"/>
      <c r="H38" s="3"/>
    </row>
    <row r="39" spans="2:11">
      <c r="B39" s="2">
        <v>41942</v>
      </c>
      <c r="C39" t="s">
        <v>109</v>
      </c>
      <c r="D39">
        <v>1</v>
      </c>
      <c r="E39" t="s">
        <v>110</v>
      </c>
      <c r="F39">
        <v>2720</v>
      </c>
      <c r="G39" s="3">
        <v>-2.7</v>
      </c>
      <c r="H39" s="3"/>
      <c r="I39" s="3">
        <f>50*(F39-F40)-SUM(G39:G40)</f>
        <v>2055.4</v>
      </c>
    </row>
    <row r="40" spans="2:11">
      <c r="B40" s="2">
        <v>41941</v>
      </c>
      <c r="C40" t="s">
        <v>111</v>
      </c>
      <c r="D40">
        <v>1</v>
      </c>
      <c r="E40" t="s">
        <v>110</v>
      </c>
      <c r="F40">
        <v>2679</v>
      </c>
      <c r="G40" s="3">
        <v>-2.7</v>
      </c>
      <c r="H40" s="3"/>
    </row>
    <row r="41" spans="2:11">
      <c r="B41" s="2"/>
      <c r="G41" s="3"/>
      <c r="H41" s="3"/>
    </row>
    <row r="42" spans="2:11">
      <c r="B42" s="2">
        <v>41941</v>
      </c>
      <c r="C42" t="s">
        <v>112</v>
      </c>
      <c r="D42">
        <v>1</v>
      </c>
      <c r="E42" t="s">
        <v>110</v>
      </c>
      <c r="F42">
        <v>2665</v>
      </c>
      <c r="G42" s="3">
        <v>-2.7</v>
      </c>
      <c r="H42" s="3"/>
      <c r="I42" s="3">
        <f>50*(F43-F42)-SUM(G42:G43)</f>
        <v>-844.6</v>
      </c>
    </row>
    <row r="43" spans="2:11">
      <c r="B43" s="2">
        <v>41941</v>
      </c>
      <c r="C43" t="s">
        <v>113</v>
      </c>
      <c r="D43">
        <v>1</v>
      </c>
      <c r="E43" t="s">
        <v>110</v>
      </c>
      <c r="F43">
        <v>2648</v>
      </c>
      <c r="G43" s="3">
        <v>-2.7</v>
      </c>
      <c r="H43" s="3"/>
    </row>
    <row r="44" spans="2:11">
      <c r="B44" s="2"/>
      <c r="G44" s="3"/>
      <c r="H44" s="3"/>
    </row>
    <row r="45" spans="2:11">
      <c r="B45" s="2">
        <v>41940</v>
      </c>
      <c r="C45" t="s">
        <v>109</v>
      </c>
      <c r="D45">
        <v>1</v>
      </c>
      <c r="E45" t="s">
        <v>110</v>
      </c>
      <c r="F45">
        <v>2638.25</v>
      </c>
      <c r="G45" s="3">
        <v>-2.7</v>
      </c>
      <c r="H45" s="3"/>
      <c r="I45" s="3">
        <f>50*(F45-F46)-SUM(G45:G46)</f>
        <v>30.4</v>
      </c>
    </row>
    <row r="46" spans="2:11">
      <c r="B46" s="2">
        <v>41940</v>
      </c>
      <c r="C46" t="s">
        <v>111</v>
      </c>
      <c r="D46">
        <v>1</v>
      </c>
      <c r="E46" t="s">
        <v>110</v>
      </c>
      <c r="F46">
        <v>2637.75</v>
      </c>
      <c r="G46" s="3">
        <v>-2.7</v>
      </c>
      <c r="H46" s="3"/>
    </row>
    <row r="47" spans="2:11">
      <c r="B47" s="2"/>
      <c r="G47" s="3"/>
      <c r="H47" s="3"/>
    </row>
    <row r="48" spans="2:11">
      <c r="B48" s="2">
        <v>41940</v>
      </c>
      <c r="C48" t="s">
        <v>112</v>
      </c>
      <c r="D48">
        <v>1</v>
      </c>
      <c r="E48" t="s">
        <v>110</v>
      </c>
      <c r="F48">
        <v>2705</v>
      </c>
      <c r="G48" s="3">
        <v>-2.7</v>
      </c>
      <c r="H48" s="3"/>
      <c r="I48" s="3">
        <f>50*(F49-F48)-SUM(G48:G49)</f>
        <v>-629.4</v>
      </c>
      <c r="K48" s="6">
        <f>I48+I49</f>
        <v>-771.3</v>
      </c>
    </row>
    <row r="49" spans="1:14">
      <c r="B49" s="2">
        <v>41940</v>
      </c>
      <c r="C49" t="s">
        <v>109</v>
      </c>
      <c r="D49">
        <v>2</v>
      </c>
      <c r="E49" t="s">
        <v>110</v>
      </c>
      <c r="F49">
        <v>2692.25</v>
      </c>
      <c r="G49" s="3">
        <v>-5.4</v>
      </c>
      <c r="H49" s="3"/>
      <c r="I49" s="3">
        <f>50*(F49-F50)-SUM(G49:G50)</f>
        <v>-141.9</v>
      </c>
    </row>
    <row r="50" spans="1:14">
      <c r="B50" s="2">
        <v>41940</v>
      </c>
      <c r="C50" t="s">
        <v>111</v>
      </c>
      <c r="D50">
        <v>1</v>
      </c>
      <c r="E50" t="s">
        <v>110</v>
      </c>
      <c r="F50">
        <v>2695.25</v>
      </c>
      <c r="G50" s="3">
        <v>-2.7</v>
      </c>
      <c r="H50" s="3"/>
    </row>
    <row r="51" spans="1:14">
      <c r="B51" s="2"/>
      <c r="G51" s="3"/>
      <c r="H51" s="3"/>
    </row>
    <row r="52" spans="1:14">
      <c r="B52" s="2">
        <v>41940</v>
      </c>
      <c r="C52" t="s">
        <v>112</v>
      </c>
      <c r="D52">
        <v>1</v>
      </c>
      <c r="E52" t="s">
        <v>110</v>
      </c>
      <c r="F52">
        <v>2695.25</v>
      </c>
      <c r="G52" s="3">
        <v>-2.7</v>
      </c>
      <c r="H52" s="3"/>
      <c r="I52" s="3">
        <f>50*(F53-F52)-SUM(G52:G53)</f>
        <v>-7.1</v>
      </c>
    </row>
    <row r="53" spans="1:14">
      <c r="B53" s="2">
        <v>41940</v>
      </c>
      <c r="C53" t="s">
        <v>113</v>
      </c>
      <c r="D53">
        <v>1</v>
      </c>
      <c r="E53" t="s">
        <v>110</v>
      </c>
      <c r="F53">
        <v>2695</v>
      </c>
      <c r="G53" s="3">
        <v>-2.7</v>
      </c>
      <c r="H53" s="3"/>
    </row>
    <row r="54" spans="1:14">
      <c r="C54" s="3"/>
      <c r="D54" s="3"/>
      <c r="E54" s="3"/>
    </row>
    <row r="55" spans="1:14" s="4" customFormat="1"/>
    <row r="56" spans="1:14">
      <c r="A56" s="2">
        <v>41944</v>
      </c>
    </row>
    <row r="57" spans="1:14">
      <c r="A57" t="s">
        <v>86</v>
      </c>
    </row>
    <row r="58" spans="1:14">
      <c r="A58" t="s">
        <v>179</v>
      </c>
    </row>
    <row r="60" spans="1:14">
      <c r="A60" t="s">
        <v>277</v>
      </c>
      <c r="G60" t="s">
        <v>150</v>
      </c>
    </row>
    <row r="61" spans="1:14">
      <c r="A61" s="1" t="s">
        <v>278</v>
      </c>
      <c r="B61" s="1" t="s">
        <v>279</v>
      </c>
      <c r="C61" s="1" t="s">
        <v>280</v>
      </c>
      <c r="D61" s="1" t="s">
        <v>281</v>
      </c>
      <c r="E61" s="1" t="s">
        <v>282</v>
      </c>
      <c r="F61" s="1"/>
      <c r="G61" s="1" t="s">
        <v>278</v>
      </c>
      <c r="H61" s="1" t="s">
        <v>279</v>
      </c>
      <c r="I61" s="1" t="s">
        <v>280</v>
      </c>
      <c r="J61" s="1" t="s">
        <v>281</v>
      </c>
      <c r="K61" s="1" t="s">
        <v>175</v>
      </c>
      <c r="L61" s="1"/>
      <c r="M61" s="1" t="s">
        <v>178</v>
      </c>
      <c r="N61" s="1" t="s">
        <v>176</v>
      </c>
    </row>
    <row r="63" spans="1:14">
      <c r="A63" s="2">
        <v>41947</v>
      </c>
      <c r="B63" t="s">
        <v>183</v>
      </c>
      <c r="C63">
        <v>2730.25</v>
      </c>
      <c r="D63">
        <v>2.7</v>
      </c>
      <c r="G63" s="2">
        <v>41947</v>
      </c>
      <c r="H63" t="s">
        <v>184</v>
      </c>
      <c r="I63">
        <v>2720</v>
      </c>
      <c r="J63">
        <v>2.7</v>
      </c>
      <c r="M63">
        <f>50*(C63-I63)-(J63+D63)</f>
        <v>507.1</v>
      </c>
    </row>
  </sheetData>
  <phoneticPr fontId="2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3:A18"/>
  <sheetViews>
    <sheetView workbookViewId="0">
      <selection activeCell="A19" sqref="A19"/>
    </sheetView>
  </sheetViews>
  <sheetFormatPr baseColWidth="10" defaultRowHeight="13"/>
  <sheetData>
    <row r="3" spans="1:1">
      <c r="A3" t="s">
        <v>210</v>
      </c>
    </row>
    <row r="4" spans="1:1">
      <c r="A4" t="s">
        <v>307</v>
      </c>
    </row>
    <row r="6" spans="1:1">
      <c r="A6" t="s">
        <v>182</v>
      </c>
    </row>
    <row r="8" spans="1:1">
      <c r="A8" t="s">
        <v>57</v>
      </c>
    </row>
    <row r="9" spans="1:1">
      <c r="A9" t="s">
        <v>58</v>
      </c>
    </row>
    <row r="11" spans="1:1">
      <c r="A11" s="17" t="s">
        <v>56</v>
      </c>
    </row>
    <row r="12" spans="1:1">
      <c r="A12" t="s">
        <v>55</v>
      </c>
    </row>
    <row r="13" spans="1:1">
      <c r="A13" t="s">
        <v>101</v>
      </c>
    </row>
    <row r="17" spans="1:1">
      <c r="A17" t="s">
        <v>6</v>
      </c>
    </row>
    <row r="18" spans="1:1">
      <c r="A18" t="s">
        <v>42</v>
      </c>
    </row>
  </sheetData>
  <phoneticPr fontId="23"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40"/>
  <sheetViews>
    <sheetView tabSelected="1" workbookViewId="0">
      <selection activeCell="A5" sqref="A5"/>
    </sheetView>
  </sheetViews>
  <sheetFormatPr baseColWidth="10" defaultRowHeight="13"/>
  <cols>
    <col min="2" max="2" width="12.5703125" customWidth="1"/>
    <col min="3" max="3" width="13.140625" customWidth="1"/>
    <col min="4" max="4" width="17.140625" customWidth="1"/>
    <col min="5" max="5" width="12.42578125" customWidth="1"/>
    <col min="6" max="6" width="11.85546875" bestFit="1" customWidth="1"/>
  </cols>
  <sheetData>
    <row r="1" spans="1:1">
      <c r="A1" t="s">
        <v>223</v>
      </c>
    </row>
    <row r="3" spans="1:1">
      <c r="A3" t="s">
        <v>224</v>
      </c>
    </row>
    <row r="4" spans="1:1">
      <c r="A4" t="s">
        <v>28</v>
      </c>
    </row>
    <row r="5" spans="1:1">
      <c r="A5" t="s">
        <v>62</v>
      </c>
    </row>
    <row r="7" spans="1:1">
      <c r="A7" s="7" t="s">
        <v>29</v>
      </c>
    </row>
    <row r="8" spans="1:1">
      <c r="A8" t="s">
        <v>63</v>
      </c>
    </row>
    <row r="9" spans="1:1">
      <c r="A9" t="s">
        <v>64</v>
      </c>
    </row>
    <row r="10" spans="1:1">
      <c r="A10" t="s">
        <v>65</v>
      </c>
    </row>
    <row r="11" spans="1:1">
      <c r="A11" t="s">
        <v>0</v>
      </c>
    </row>
    <row r="17" spans="1:8">
      <c r="A17" s="7" t="s">
        <v>158</v>
      </c>
    </row>
    <row r="18" spans="1:8">
      <c r="F18" t="s">
        <v>2</v>
      </c>
    </row>
    <row r="19" spans="1:8">
      <c r="B19" t="s">
        <v>163</v>
      </c>
    </row>
    <row r="20" spans="1:8">
      <c r="B20" t="s">
        <v>227</v>
      </c>
      <c r="D20" t="s">
        <v>166</v>
      </c>
      <c r="F20" t="s">
        <v>195</v>
      </c>
    </row>
    <row r="21" spans="1:8">
      <c r="B21" t="s">
        <v>164</v>
      </c>
      <c r="D21" t="s">
        <v>165</v>
      </c>
      <c r="F21" s="9" t="e">
        <f>SUM(IF(SPHistoricalData!J43:J68="Open-Test-Drive",MIN(SPHistoricalData!G43:G48,SPHistoricalData!E43:E48)))/B22</f>
        <v>#VALUE!</v>
      </c>
    </row>
    <row r="22" spans="1:8">
      <c r="B22">
        <f>C40</f>
        <v>3</v>
      </c>
      <c r="D22" s="8">
        <f>IF(SPHistoricalData!J48="Open-Test-Drive",MIN(SPHistoricalData!G48,SPHistoricalData!E48))</f>
        <v>0.36388888888888887</v>
      </c>
    </row>
    <row r="24" spans="1:8">
      <c r="D24" t="s">
        <v>196</v>
      </c>
    </row>
    <row r="25" spans="1:8">
      <c r="D25" s="9">
        <f>(SPHistoricalData!E48+SPHistoricalData!G51+SPHistoricalData!G50)/3</f>
        <v>0.35856481481481484</v>
      </c>
    </row>
    <row r="27" spans="1:8">
      <c r="A27" s="7" t="s">
        <v>197</v>
      </c>
    </row>
    <row r="29" spans="1:8">
      <c r="A29" s="1" t="s">
        <v>26</v>
      </c>
    </row>
    <row r="30" spans="1:8">
      <c r="B30" t="s">
        <v>92</v>
      </c>
      <c r="C30" t="s">
        <v>92</v>
      </c>
      <c r="D30" t="s">
        <v>92</v>
      </c>
      <c r="E30" t="s">
        <v>92</v>
      </c>
      <c r="F30" t="s">
        <v>92</v>
      </c>
      <c r="G30" t="s">
        <v>92</v>
      </c>
      <c r="H30" t="s">
        <v>92</v>
      </c>
    </row>
    <row r="31" spans="1:8">
      <c r="B31" t="s">
        <v>198</v>
      </c>
      <c r="C31" t="s">
        <v>229</v>
      </c>
      <c r="D31" t="s">
        <v>230</v>
      </c>
      <c r="E31" t="s">
        <v>231</v>
      </c>
      <c r="F31" t="s">
        <v>232</v>
      </c>
      <c r="G31" t="s">
        <v>233</v>
      </c>
      <c r="H31" t="s">
        <v>13</v>
      </c>
    </row>
    <row r="32" spans="1:8">
      <c r="B32" t="s">
        <v>199</v>
      </c>
      <c r="C32" t="s">
        <v>199</v>
      </c>
      <c r="D32" t="s">
        <v>199</v>
      </c>
      <c r="E32" t="s">
        <v>199</v>
      </c>
      <c r="F32" t="s">
        <v>199</v>
      </c>
      <c r="G32" t="s">
        <v>199</v>
      </c>
      <c r="H32" t="s">
        <v>199</v>
      </c>
    </row>
    <row r="33" spans="1:8">
      <c r="B33">
        <f>COUNTIF(SPHistoricalData!$L$43:$L61,"Trend")</f>
        <v>3</v>
      </c>
      <c r="C33">
        <f>COUNTIF(SPHistoricalData!$L$43:$L61,"DD Trend")</f>
        <v>3</v>
      </c>
      <c r="D33">
        <f>COUNTIF(SPHistoricalData!$L$43:$L61,"Neutral-Extreme")</f>
        <v>0</v>
      </c>
      <c r="E33">
        <f>COUNTIF(SPHistoricalData!$L$43:$L61,"Normal Var")</f>
        <v>0</v>
      </c>
      <c r="F33">
        <f>COUNTIF(SPHistoricalData!$L$43:$L61,"Neutral-Center")</f>
        <v>0</v>
      </c>
      <c r="G33">
        <f>COUNTIF(SPHistoricalData!$L$43:$L61,"Normal")</f>
        <v>1</v>
      </c>
      <c r="H33">
        <f>COUNTIF(SPHistoricalData!$L$43:$L61,"Non-trend")</f>
        <v>2</v>
      </c>
    </row>
    <row r="36" spans="1:8">
      <c r="A36" s="1" t="s">
        <v>14</v>
      </c>
    </row>
    <row r="37" spans="1:8">
      <c r="B37" t="s">
        <v>92</v>
      </c>
      <c r="C37" t="s">
        <v>92</v>
      </c>
      <c r="D37" t="s">
        <v>92</v>
      </c>
      <c r="E37" t="s">
        <v>92</v>
      </c>
    </row>
    <row r="38" spans="1:8">
      <c r="B38" t="s">
        <v>226</v>
      </c>
      <c r="C38" t="s">
        <v>227</v>
      </c>
      <c r="D38" t="s">
        <v>228</v>
      </c>
      <c r="E38" t="s">
        <v>25</v>
      </c>
    </row>
    <row r="39" spans="1:8">
      <c r="B39" t="s">
        <v>199</v>
      </c>
      <c r="C39" t="s">
        <v>199</v>
      </c>
      <c r="D39" t="s">
        <v>199</v>
      </c>
      <c r="E39" t="s">
        <v>199</v>
      </c>
    </row>
    <row r="40" spans="1:8">
      <c r="B40">
        <f>COUNTIF(SPHistoricalData!$J$43:$J68,"Open-Drive")</f>
        <v>2</v>
      </c>
      <c r="C40">
        <f>COUNTIF(SPHistoricalData!$J$43:$J68,"Open-Test-Drive")</f>
        <v>3</v>
      </c>
      <c r="D40">
        <f>COUNTIF(SPHistoricalData!$J$43:$J68,"Open-Reject-Reverse")</f>
        <v>1</v>
      </c>
      <c r="E40">
        <f>COUNTIF(SPHistoricalData!$J$43:$J68,"Open-Auction")</f>
        <v>3</v>
      </c>
    </row>
  </sheetData>
  <phoneticPr fontId="23"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B1:AE55"/>
  <sheetViews>
    <sheetView workbookViewId="0">
      <pane ySplit="4" topLeftCell="A5" activePane="bottomLeft" state="frozen"/>
      <selection pane="bottomLeft" activeCell="Q13" sqref="Q13"/>
    </sheetView>
  </sheetViews>
  <sheetFormatPr baseColWidth="10" defaultRowHeight="13"/>
  <cols>
    <col min="4" max="4" width="15.5703125" customWidth="1"/>
    <col min="5" max="5" width="11" style="9" customWidth="1"/>
    <col min="6" max="6" width="15.140625" customWidth="1"/>
    <col min="7" max="7" width="12" style="9" customWidth="1"/>
    <col min="8" max="8" width="12" style="46" customWidth="1"/>
    <col min="9" max="9" width="12" style="5" customWidth="1"/>
    <col min="10" max="11" width="22.7109375" customWidth="1"/>
    <col min="12" max="13" width="26.85546875" customWidth="1"/>
    <col min="17" max="17" width="13.85546875" bestFit="1" customWidth="1"/>
    <col min="22" max="22" width="11.85546875" bestFit="1" customWidth="1"/>
    <col min="23" max="23" width="11.85546875" customWidth="1"/>
    <col min="26" max="26" width="13.85546875" bestFit="1" customWidth="1"/>
    <col min="27" max="27" width="11.7109375" bestFit="1" customWidth="1"/>
  </cols>
  <sheetData>
    <row r="1" spans="2:31">
      <c r="E1" s="9" t="s">
        <v>276</v>
      </c>
      <c r="J1" t="s">
        <v>129</v>
      </c>
      <c r="L1" t="s">
        <v>128</v>
      </c>
      <c r="Q1" t="s">
        <v>222</v>
      </c>
      <c r="S1" t="s">
        <v>191</v>
      </c>
      <c r="Z1" t="s">
        <v>205</v>
      </c>
      <c r="AE1" t="s">
        <v>304</v>
      </c>
    </row>
    <row r="2" spans="2:31">
      <c r="C2" t="s">
        <v>123</v>
      </c>
      <c r="J2" t="s">
        <v>159</v>
      </c>
      <c r="L2" t="s">
        <v>126</v>
      </c>
      <c r="N2" t="s">
        <v>12</v>
      </c>
      <c r="O2" t="s">
        <v>188</v>
      </c>
      <c r="P2" t="s">
        <v>108</v>
      </c>
      <c r="Q2" t="s">
        <v>90</v>
      </c>
      <c r="AE2" t="s">
        <v>305</v>
      </c>
    </row>
    <row r="3" spans="2:31">
      <c r="C3" t="s">
        <v>120</v>
      </c>
      <c r="D3" t="s">
        <v>147</v>
      </c>
      <c r="E3" s="9" t="s">
        <v>148</v>
      </c>
      <c r="F3" t="s">
        <v>147</v>
      </c>
      <c r="G3" s="9" t="s">
        <v>148</v>
      </c>
      <c r="H3" s="46" t="s">
        <v>168</v>
      </c>
      <c r="I3" s="5" t="s">
        <v>208</v>
      </c>
      <c r="J3" t="s">
        <v>146</v>
      </c>
      <c r="L3" t="s">
        <v>125</v>
      </c>
      <c r="N3" t="s">
        <v>216</v>
      </c>
      <c r="O3" t="s">
        <v>189</v>
      </c>
      <c r="P3" t="s">
        <v>70</v>
      </c>
      <c r="Q3" t="s">
        <v>91</v>
      </c>
      <c r="S3" t="s">
        <v>119</v>
      </c>
      <c r="T3" t="s">
        <v>121</v>
      </c>
      <c r="U3" t="s">
        <v>121</v>
      </c>
      <c r="V3" t="s">
        <v>121</v>
      </c>
      <c r="W3" t="s">
        <v>60</v>
      </c>
      <c r="X3" t="s">
        <v>59</v>
      </c>
      <c r="AA3" t="s">
        <v>207</v>
      </c>
      <c r="AB3" t="s">
        <v>207</v>
      </c>
      <c r="AE3" t="s">
        <v>306</v>
      </c>
    </row>
    <row r="4" spans="2:31">
      <c r="B4" t="s">
        <v>180</v>
      </c>
      <c r="C4" t="s">
        <v>44</v>
      </c>
      <c r="D4" t="s">
        <v>124</v>
      </c>
      <c r="E4" s="9" t="s">
        <v>149</v>
      </c>
      <c r="F4" t="s">
        <v>11</v>
      </c>
      <c r="G4" s="9" t="s">
        <v>11</v>
      </c>
      <c r="I4" s="5" t="s">
        <v>209</v>
      </c>
      <c r="J4" t="s">
        <v>215</v>
      </c>
      <c r="L4" t="s">
        <v>127</v>
      </c>
      <c r="N4" t="s">
        <v>220</v>
      </c>
      <c r="O4" t="s">
        <v>190</v>
      </c>
      <c r="P4" t="s">
        <v>71</v>
      </c>
      <c r="S4" t="s">
        <v>120</v>
      </c>
      <c r="T4" t="s">
        <v>122</v>
      </c>
      <c r="U4" t="s">
        <v>124</v>
      </c>
      <c r="V4" t="s">
        <v>11</v>
      </c>
      <c r="Z4" t="s">
        <v>206</v>
      </c>
      <c r="AA4" t="s">
        <v>144</v>
      </c>
      <c r="AB4" t="s">
        <v>145</v>
      </c>
      <c r="AD4" t="s">
        <v>204</v>
      </c>
    </row>
    <row r="5" spans="2:31" s="10" customFormat="1">
      <c r="B5" s="10" t="s">
        <v>212</v>
      </c>
      <c r="C5" s="10" t="s">
        <v>213</v>
      </c>
      <c r="D5" s="10" t="s">
        <v>214</v>
      </c>
      <c r="E5" s="11" t="s">
        <v>27</v>
      </c>
      <c r="F5" s="10" t="s">
        <v>54</v>
      </c>
      <c r="G5" s="11" t="s">
        <v>151</v>
      </c>
      <c r="H5" s="47" t="s">
        <v>167</v>
      </c>
      <c r="I5" s="12" t="s">
        <v>152</v>
      </c>
      <c r="J5" s="10" t="s">
        <v>153</v>
      </c>
      <c r="K5" s="10" t="s">
        <v>285</v>
      </c>
      <c r="L5" s="10" t="s">
        <v>154</v>
      </c>
      <c r="M5" s="10" t="s">
        <v>22</v>
      </c>
      <c r="N5" s="10" t="s">
        <v>155</v>
      </c>
      <c r="O5" s="10" t="s">
        <v>156</v>
      </c>
      <c r="P5" s="10" t="s">
        <v>157</v>
      </c>
      <c r="Q5" s="10" t="s">
        <v>266</v>
      </c>
      <c r="S5" s="10" t="s">
        <v>267</v>
      </c>
      <c r="T5" s="10" t="s">
        <v>268</v>
      </c>
      <c r="U5" s="10" t="s">
        <v>269</v>
      </c>
      <c r="V5" s="10" t="s">
        <v>270</v>
      </c>
      <c r="W5" s="10" t="s">
        <v>61</v>
      </c>
      <c r="X5" s="86" t="s">
        <v>59</v>
      </c>
      <c r="Z5" s="10" t="s">
        <v>98</v>
      </c>
      <c r="AA5" s="10" t="s">
        <v>99</v>
      </c>
      <c r="AB5" s="10" t="s">
        <v>100</v>
      </c>
    </row>
    <row r="6" spans="2:31" s="104" customFormat="1">
      <c r="B6" s="103">
        <v>42010</v>
      </c>
      <c r="E6" s="105"/>
      <c r="G6" s="105"/>
      <c r="H6" s="106"/>
      <c r="I6" s="107"/>
      <c r="S6" s="104">
        <v>2483</v>
      </c>
      <c r="T6" s="104">
        <v>2532.5</v>
      </c>
      <c r="U6" s="104">
        <v>2539.25</v>
      </c>
      <c r="V6" s="104">
        <v>2478.75</v>
      </c>
      <c r="W6" s="81">
        <f t="shared" ref="W6:W11" si="0">MAX(U6-V6,U6-T7,T7-V6)</f>
        <v>91</v>
      </c>
      <c r="X6" s="81">
        <f t="shared" ref="X6:X11" si="1">SUM(W6:W15)/10</f>
        <v>76.150000000000006</v>
      </c>
    </row>
    <row r="7" spans="2:31" s="104" customFormat="1">
      <c r="B7" s="103">
        <v>42007</v>
      </c>
      <c r="C7" s="104">
        <v>2483</v>
      </c>
      <c r="D7" s="104">
        <v>2521.25</v>
      </c>
      <c r="E7" s="105">
        <v>0.39652777777777781</v>
      </c>
      <c r="F7" s="104">
        <v>2478.75</v>
      </c>
      <c r="G7" s="105">
        <v>0.35486111111111113</v>
      </c>
      <c r="H7" s="106">
        <v>2518</v>
      </c>
      <c r="I7" s="107">
        <f>262057+249105+188462</f>
        <v>699624</v>
      </c>
      <c r="J7" s="104" t="s">
        <v>240</v>
      </c>
      <c r="L7" s="104" t="s">
        <v>241</v>
      </c>
      <c r="N7" s="104" t="s">
        <v>242</v>
      </c>
      <c r="P7" s="104" t="s">
        <v>243</v>
      </c>
      <c r="Q7" s="104">
        <v>1</v>
      </c>
      <c r="S7" s="104">
        <v>2490.5</v>
      </c>
      <c r="T7" s="104">
        <v>2448.25</v>
      </c>
      <c r="U7" s="104">
        <v>2493.5</v>
      </c>
      <c r="V7" s="104">
        <v>2443.25</v>
      </c>
      <c r="W7" s="81">
        <f t="shared" si="0"/>
        <v>67.75</v>
      </c>
      <c r="X7" s="81">
        <f t="shared" si="1"/>
        <v>77.3</v>
      </c>
    </row>
    <row r="8" spans="2:31" s="98" customFormat="1">
      <c r="B8" s="102">
        <v>42006</v>
      </c>
      <c r="C8" s="98">
        <v>2490.5</v>
      </c>
      <c r="D8" s="98">
        <v>2493.5</v>
      </c>
      <c r="E8" s="99">
        <v>0.35486111111111113</v>
      </c>
      <c r="F8" s="98">
        <v>2449</v>
      </c>
      <c r="G8" s="99">
        <v>0.40625</v>
      </c>
      <c r="H8" s="100">
        <v>2460.75</v>
      </c>
      <c r="I8" s="101">
        <f>182232+221794+175796</f>
        <v>579822</v>
      </c>
      <c r="J8" s="104" t="s">
        <v>240</v>
      </c>
      <c r="L8" s="81" t="s">
        <v>24</v>
      </c>
      <c r="M8" s="81" t="s">
        <v>23</v>
      </c>
      <c r="N8" s="81" t="s">
        <v>245</v>
      </c>
      <c r="P8" s="98" t="s">
        <v>246</v>
      </c>
      <c r="Q8" s="98">
        <v>1</v>
      </c>
      <c r="S8" s="98">
        <v>2468</v>
      </c>
      <c r="T8" s="98">
        <v>2511</v>
      </c>
      <c r="U8" s="98">
        <v>2520.5</v>
      </c>
      <c r="V8" s="98">
        <v>2464.25</v>
      </c>
      <c r="W8" s="81">
        <f t="shared" si="0"/>
        <v>56.25</v>
      </c>
      <c r="X8" s="81">
        <f t="shared" si="1"/>
        <v>75.2</v>
      </c>
      <c r="Z8" s="98">
        <v>0</v>
      </c>
      <c r="AA8" s="98">
        <v>0</v>
      </c>
      <c r="AB8" s="98">
        <v>0</v>
      </c>
    </row>
    <row r="9" spans="2:31" s="98" customFormat="1">
      <c r="B9" s="102">
        <v>42005</v>
      </c>
      <c r="C9" s="98">
        <v>2468</v>
      </c>
      <c r="D9" s="98">
        <v>2499.5</v>
      </c>
      <c r="E9" s="99">
        <v>0.4145833333333333</v>
      </c>
      <c r="F9" s="98">
        <v>2467</v>
      </c>
      <c r="G9" s="99">
        <v>0.35416666666666669</v>
      </c>
      <c r="H9" s="100">
        <v>2496.5</v>
      </c>
      <c r="I9" s="101">
        <f>202530+157567+134797</f>
        <v>494894</v>
      </c>
      <c r="J9" s="104" t="s">
        <v>247</v>
      </c>
      <c r="L9" s="81" t="s">
        <v>248</v>
      </c>
      <c r="N9" s="81" t="s">
        <v>249</v>
      </c>
      <c r="P9" s="98" t="s">
        <v>250</v>
      </c>
      <c r="Q9" s="98">
        <v>0</v>
      </c>
      <c r="S9" s="98">
        <v>2503.5</v>
      </c>
      <c r="T9" s="98">
        <v>2509.5</v>
      </c>
      <c r="U9" s="98">
        <v>2510</v>
      </c>
      <c r="V9" s="98">
        <v>2482.75</v>
      </c>
      <c r="W9" s="81">
        <f t="shared" si="0"/>
        <v>27.25</v>
      </c>
      <c r="X9" s="81">
        <f t="shared" si="1"/>
        <v>76.775000000000006</v>
      </c>
      <c r="Z9" s="98">
        <v>0</v>
      </c>
      <c r="AA9" s="98">
        <v>0</v>
      </c>
      <c r="AB9" s="98">
        <v>0</v>
      </c>
    </row>
    <row r="10" spans="2:31" s="98" customFormat="1">
      <c r="B10" s="102">
        <v>42003</v>
      </c>
      <c r="C10" s="98">
        <v>2503.5</v>
      </c>
      <c r="D10" s="98">
        <v>2510</v>
      </c>
      <c r="E10" s="99">
        <v>0.3576388888888889</v>
      </c>
      <c r="F10" s="98">
        <v>2489.25</v>
      </c>
      <c r="G10" s="99">
        <v>0.4152777777777778</v>
      </c>
      <c r="H10" s="100">
        <v>2492.25</v>
      </c>
      <c r="I10" s="101">
        <f>112809+90064+71864</f>
        <v>274737</v>
      </c>
      <c r="J10" s="104" t="s">
        <v>253</v>
      </c>
      <c r="L10" s="81" t="s">
        <v>251</v>
      </c>
      <c r="N10" s="81" t="s">
        <v>244</v>
      </c>
      <c r="P10" s="98" t="s">
        <v>243</v>
      </c>
      <c r="Q10" s="98">
        <v>3</v>
      </c>
      <c r="S10" s="98">
        <v>2504.25</v>
      </c>
      <c r="T10" s="98">
        <v>2488</v>
      </c>
      <c r="U10" s="98">
        <v>2523</v>
      </c>
      <c r="V10" s="98">
        <v>2472.75</v>
      </c>
      <c r="W10" s="81">
        <f t="shared" si="0"/>
        <v>50.25</v>
      </c>
      <c r="X10" s="81">
        <f t="shared" si="1"/>
        <v>78.724999999999994</v>
      </c>
      <c r="Z10" s="98">
        <v>0</v>
      </c>
      <c r="AA10" s="98">
        <v>0</v>
      </c>
      <c r="AB10" s="98">
        <v>0</v>
      </c>
    </row>
    <row r="11" spans="2:31" s="98" customFormat="1">
      <c r="B11" s="102">
        <v>42000</v>
      </c>
      <c r="C11" s="98">
        <v>2504.25</v>
      </c>
      <c r="D11" s="98">
        <v>2509.75</v>
      </c>
      <c r="E11" s="99">
        <v>0.3666666666666667</v>
      </c>
      <c r="F11" s="98">
        <v>2473.5</v>
      </c>
      <c r="G11" s="99">
        <v>0.40069444444444446</v>
      </c>
      <c r="H11" s="100">
        <v>2483.75</v>
      </c>
      <c r="I11" s="101">
        <f>190378+156847+138643</f>
        <v>485868</v>
      </c>
      <c r="J11" s="104" t="s">
        <v>254</v>
      </c>
      <c r="L11" s="81" t="s">
        <v>251</v>
      </c>
      <c r="N11" s="81" t="s">
        <v>255</v>
      </c>
      <c r="P11" s="98" t="s">
        <v>246</v>
      </c>
      <c r="Q11" s="98">
        <v>2</v>
      </c>
      <c r="S11" s="98">
        <v>2433.5</v>
      </c>
      <c r="T11" s="98">
        <v>2493.25</v>
      </c>
      <c r="U11" s="98">
        <v>2498.75</v>
      </c>
      <c r="V11" s="98">
        <v>2397</v>
      </c>
      <c r="W11" s="81">
        <f t="shared" si="0"/>
        <v>101.75</v>
      </c>
      <c r="X11" s="81">
        <f t="shared" si="1"/>
        <v>77.075000000000003</v>
      </c>
      <c r="Z11" s="98">
        <v>2</v>
      </c>
      <c r="AA11" s="98">
        <v>13.5</v>
      </c>
      <c r="AB11" s="98">
        <f>13.5*50</f>
        <v>675</v>
      </c>
    </row>
    <row r="12" spans="2:31" s="93" customFormat="1">
      <c r="B12" s="97">
        <v>41999</v>
      </c>
      <c r="C12" s="98">
        <v>2433.5</v>
      </c>
      <c r="D12" s="98">
        <v>2445.75</v>
      </c>
      <c r="E12" s="94">
        <v>0.35972222222222222</v>
      </c>
      <c r="F12" s="98">
        <v>2412.5</v>
      </c>
      <c r="G12" s="94">
        <v>0.39583333333333331</v>
      </c>
      <c r="H12" s="95">
        <v>2424</v>
      </c>
      <c r="I12" s="96">
        <f>222361+176724+144882</f>
        <v>543967</v>
      </c>
      <c r="J12" s="104" t="s">
        <v>254</v>
      </c>
      <c r="L12" s="98" t="s">
        <v>251</v>
      </c>
      <c r="M12" s="93" t="s">
        <v>252</v>
      </c>
      <c r="N12" s="93" t="s">
        <v>256</v>
      </c>
      <c r="P12" s="93" t="s">
        <v>243</v>
      </c>
      <c r="Q12" s="98">
        <v>6</v>
      </c>
      <c r="S12" s="93">
        <v>2368.25</v>
      </c>
      <c r="T12" s="93">
        <v>2469</v>
      </c>
      <c r="U12" s="93">
        <v>2477.75</v>
      </c>
      <c r="V12" s="93">
        <v>2345.5</v>
      </c>
      <c r="W12" s="81">
        <f>MAX(U12-V12,U12-T13,T13-V12)</f>
        <v>132.25</v>
      </c>
      <c r="X12" s="81">
        <f>SUM(W12:W21)/10</f>
        <v>71.5</v>
      </c>
      <c r="Z12" s="93">
        <v>2</v>
      </c>
      <c r="AA12" s="93">
        <v>30.5</v>
      </c>
      <c r="AB12" s="93">
        <f>30.5*50</f>
        <v>1525</v>
      </c>
    </row>
    <row r="13" spans="2:31" s="88" customFormat="1">
      <c r="B13" s="92">
        <v>41998</v>
      </c>
      <c r="C13" s="88">
        <v>2368.25</v>
      </c>
      <c r="D13" s="88">
        <v>2387</v>
      </c>
      <c r="E13" s="89">
        <v>0.35972222222222222</v>
      </c>
      <c r="F13" s="88">
        <v>2345.5</v>
      </c>
      <c r="G13" s="89">
        <v>0.41250000000000003</v>
      </c>
      <c r="H13" s="90">
        <v>2349.25</v>
      </c>
      <c r="I13" s="91">
        <f>187456+123815+97346</f>
        <v>408617</v>
      </c>
      <c r="J13" s="88" t="s">
        <v>10</v>
      </c>
      <c r="L13" s="81" t="s">
        <v>131</v>
      </c>
      <c r="M13" s="81" t="s">
        <v>132</v>
      </c>
      <c r="N13" s="81" t="s">
        <v>244</v>
      </c>
      <c r="P13" s="88" t="s">
        <v>243</v>
      </c>
      <c r="Q13" s="98">
        <v>1</v>
      </c>
      <c r="S13" s="88">
        <v>2400.25</v>
      </c>
      <c r="T13" s="88">
        <v>2354</v>
      </c>
      <c r="U13" s="88">
        <v>2412.5</v>
      </c>
      <c r="V13" s="88">
        <v>2349</v>
      </c>
      <c r="W13" s="81">
        <f>MAX(U13-V13,U13-T14,T14-V13)</f>
        <v>66</v>
      </c>
      <c r="X13" s="81">
        <f>SUM(W13:W22)/10</f>
        <v>63.7</v>
      </c>
      <c r="Z13" s="88">
        <v>2</v>
      </c>
      <c r="AA13" s="88">
        <v>0</v>
      </c>
      <c r="AB13" s="88">
        <v>0</v>
      </c>
    </row>
    <row r="14" spans="2:31" s="88" customFormat="1">
      <c r="B14" s="92">
        <v>41996</v>
      </c>
      <c r="C14" s="88">
        <v>2400.25</v>
      </c>
      <c r="D14" s="88">
        <v>2412.5</v>
      </c>
      <c r="E14" s="89">
        <v>0.40416666666666662</v>
      </c>
      <c r="F14" s="88">
        <v>2368</v>
      </c>
      <c r="G14" s="89">
        <v>0.37986111111111115</v>
      </c>
      <c r="H14" s="90">
        <v>2395.25</v>
      </c>
      <c r="I14" s="91">
        <f>202840+148473+122520</f>
        <v>473833</v>
      </c>
      <c r="J14" s="81" t="s">
        <v>133</v>
      </c>
      <c r="L14" s="81" t="s">
        <v>131</v>
      </c>
      <c r="M14" s="81" t="s">
        <v>132</v>
      </c>
      <c r="N14" s="81" t="s">
        <v>9</v>
      </c>
      <c r="P14" s="88" t="s">
        <v>8</v>
      </c>
      <c r="Q14" s="88">
        <v>4</v>
      </c>
      <c r="S14" s="88">
        <v>2476.5</v>
      </c>
      <c r="T14" s="88">
        <v>2415</v>
      </c>
      <c r="U14" s="88">
        <v>2508</v>
      </c>
      <c r="V14" s="88">
        <v>2409.5</v>
      </c>
      <c r="W14" s="81">
        <f>MAX(U14-V14,U14-T15,T15-V14)</f>
        <v>98.5</v>
      </c>
      <c r="X14" s="81">
        <f>SUM(W14:W23)/10</f>
        <v>63.65</v>
      </c>
      <c r="Z14" s="88">
        <v>2</v>
      </c>
      <c r="AA14" s="88">
        <v>26.5</v>
      </c>
      <c r="AB14" s="88">
        <f>26.5*50</f>
        <v>1325</v>
      </c>
    </row>
    <row r="15" spans="2:31" s="81" customFormat="1">
      <c r="B15" s="85">
        <v>41993</v>
      </c>
      <c r="C15" s="81">
        <v>2476.5</v>
      </c>
      <c r="D15" s="81">
        <v>2508</v>
      </c>
      <c r="E15" s="82">
        <v>0.38750000000000001</v>
      </c>
      <c r="F15" s="81">
        <v>2475</v>
      </c>
      <c r="G15" s="82">
        <v>0.41666666666666669</v>
      </c>
      <c r="H15" s="83">
        <v>2482.75</v>
      </c>
      <c r="I15" s="84">
        <f>268091+284106+147073</f>
        <v>699270</v>
      </c>
      <c r="J15" s="81" t="s">
        <v>133</v>
      </c>
      <c r="L15" s="81" t="s">
        <v>258</v>
      </c>
      <c r="M15" s="81" t="s">
        <v>265</v>
      </c>
      <c r="N15" s="81" t="s">
        <v>134</v>
      </c>
      <c r="P15" s="81" t="s">
        <v>135</v>
      </c>
      <c r="Q15" s="81">
        <v>3</v>
      </c>
      <c r="S15" s="81">
        <v>2494.25</v>
      </c>
      <c r="T15" s="81">
        <v>2487</v>
      </c>
      <c r="U15" s="81">
        <v>2512</v>
      </c>
      <c r="V15" s="81">
        <v>2441.5</v>
      </c>
      <c r="W15" s="81">
        <f>MAX(U15-V15,U15-T16,T16-V15)</f>
        <v>70.5</v>
      </c>
      <c r="X15" s="81">
        <f>SUM(W15:W24)/10</f>
        <v>62.45</v>
      </c>
      <c r="Z15" s="42">
        <v>0</v>
      </c>
      <c r="AA15" s="42">
        <v>0</v>
      </c>
      <c r="AB15" s="42">
        <v>0</v>
      </c>
    </row>
    <row r="16" spans="2:31" s="81" customFormat="1">
      <c r="B16" s="85">
        <v>41992</v>
      </c>
      <c r="C16" s="81">
        <v>2494.25</v>
      </c>
      <c r="D16" s="81">
        <v>2512</v>
      </c>
      <c r="E16" s="82">
        <v>0.38055555555555554</v>
      </c>
      <c r="F16" s="81">
        <v>2484.25</v>
      </c>
      <c r="G16" s="82">
        <v>0.37013888888888885</v>
      </c>
      <c r="H16" s="83">
        <v>2501.5</v>
      </c>
      <c r="I16" s="84">
        <f>329880+209284+174155</f>
        <v>713319</v>
      </c>
      <c r="J16" s="81" t="s">
        <v>137</v>
      </c>
      <c r="L16" s="81" t="s">
        <v>131</v>
      </c>
      <c r="N16" s="81" t="s">
        <v>134</v>
      </c>
      <c r="P16" s="81" t="s">
        <v>136</v>
      </c>
      <c r="Q16" s="81">
        <v>2</v>
      </c>
      <c r="S16" s="81">
        <v>2549.25</v>
      </c>
      <c r="T16" s="81">
        <v>2504.75</v>
      </c>
      <c r="U16" s="81">
        <v>2592</v>
      </c>
      <c r="V16" s="81">
        <v>2489.5</v>
      </c>
      <c r="W16" s="81">
        <f>MAX(U16-V16,U16-T17,T17-V16)</f>
        <v>102.5</v>
      </c>
      <c r="X16" s="81">
        <f t="shared" ref="X16:X41" si="2">SUM(W16:W25)/10</f>
        <v>63.475000000000001</v>
      </c>
      <c r="Z16" s="42">
        <v>0</v>
      </c>
      <c r="AA16" s="42">
        <v>0</v>
      </c>
      <c r="AB16" s="42">
        <v>0</v>
      </c>
    </row>
    <row r="17" spans="2:28" s="81" customFormat="1">
      <c r="B17" s="85">
        <v>41991</v>
      </c>
      <c r="C17" s="81">
        <v>2549.25</v>
      </c>
      <c r="D17" s="81">
        <v>2574.25</v>
      </c>
      <c r="E17" s="82">
        <v>0.41111111111111115</v>
      </c>
      <c r="F17" s="81">
        <v>2546.75</v>
      </c>
      <c r="G17" s="82">
        <v>0.35416666666666669</v>
      </c>
      <c r="H17" s="83">
        <v>2573</v>
      </c>
      <c r="I17" s="84">
        <f>184647+136548+102690</f>
        <v>423885</v>
      </c>
      <c r="J17" s="81" t="s">
        <v>138</v>
      </c>
      <c r="L17" s="81" t="s">
        <v>131</v>
      </c>
      <c r="M17" s="81" t="s">
        <v>132</v>
      </c>
      <c r="N17" s="81" t="s">
        <v>263</v>
      </c>
      <c r="P17" s="81" t="s">
        <v>264</v>
      </c>
      <c r="Q17" s="81">
        <v>0</v>
      </c>
      <c r="S17" s="81">
        <v>2570</v>
      </c>
      <c r="T17" s="81">
        <v>2536.75</v>
      </c>
      <c r="U17" s="81">
        <v>2577.75</v>
      </c>
      <c r="V17" s="81">
        <v>2531</v>
      </c>
      <c r="W17" s="81">
        <f t="shared" ref="W17:W50" si="3">MAX(U17-V17,U17-T18,T18-V17)</f>
        <v>46.75</v>
      </c>
      <c r="X17" s="81">
        <f t="shared" si="2"/>
        <v>62.6</v>
      </c>
      <c r="Z17" s="42">
        <v>0</v>
      </c>
      <c r="AA17" s="42">
        <v>0</v>
      </c>
      <c r="AB17" s="42">
        <v>0</v>
      </c>
    </row>
    <row r="18" spans="2:28" s="81" customFormat="1">
      <c r="B18" s="85">
        <v>41990</v>
      </c>
      <c r="C18" s="81">
        <v>2570</v>
      </c>
      <c r="D18" s="81">
        <v>2577.75</v>
      </c>
      <c r="E18" s="82">
        <v>0.3743055555555555</v>
      </c>
      <c r="F18" s="81">
        <v>2561.25</v>
      </c>
      <c r="G18" s="82">
        <v>0.4069444444444445</v>
      </c>
      <c r="H18" s="83">
        <v>2564.5</v>
      </c>
      <c r="I18" s="84">
        <f>211223+136317+155380</f>
        <v>502920</v>
      </c>
      <c r="J18" s="81" t="s">
        <v>139</v>
      </c>
      <c r="L18" s="81" t="s">
        <v>259</v>
      </c>
      <c r="N18" s="81" t="s">
        <v>134</v>
      </c>
      <c r="P18" s="81" t="s">
        <v>136</v>
      </c>
      <c r="Q18" s="81">
        <v>7</v>
      </c>
      <c r="S18" s="81">
        <v>2593</v>
      </c>
      <c r="T18" s="81">
        <v>2555.5</v>
      </c>
      <c r="U18" s="81">
        <v>2605.5</v>
      </c>
      <c r="V18" s="81">
        <v>2533.5</v>
      </c>
      <c r="W18" s="81">
        <f t="shared" si="3"/>
        <v>72</v>
      </c>
      <c r="X18" s="81">
        <f t="shared" si="2"/>
        <v>61.75</v>
      </c>
      <c r="Z18" s="42">
        <v>0</v>
      </c>
      <c r="AA18" s="42">
        <v>0</v>
      </c>
      <c r="AB18" s="42">
        <v>0</v>
      </c>
    </row>
    <row r="19" spans="2:28" s="81" customFormat="1">
      <c r="B19" s="85">
        <v>41989</v>
      </c>
      <c r="C19" s="81">
        <v>2593</v>
      </c>
      <c r="D19" s="81">
        <v>2600.5</v>
      </c>
      <c r="E19" s="82">
        <v>0.41666666666666669</v>
      </c>
      <c r="F19" s="81">
        <v>2571</v>
      </c>
      <c r="G19" s="82">
        <v>0.36805555555555558</v>
      </c>
      <c r="H19" s="83">
        <v>2594.5</v>
      </c>
      <c r="I19" s="84">
        <f>224538+138560+134185</f>
        <v>497283</v>
      </c>
      <c r="J19" s="81" t="s">
        <v>138</v>
      </c>
      <c r="K19" s="81" t="s">
        <v>262</v>
      </c>
      <c r="L19" s="81" t="s">
        <v>130</v>
      </c>
      <c r="M19" s="81" t="s">
        <v>132</v>
      </c>
      <c r="N19" s="81" t="s">
        <v>261</v>
      </c>
      <c r="P19" s="81" t="s">
        <v>260</v>
      </c>
      <c r="Q19" s="81">
        <v>1</v>
      </c>
      <c r="S19" s="81">
        <v>2628.75</v>
      </c>
      <c r="T19" s="81">
        <v>2605.25</v>
      </c>
      <c r="U19" s="81">
        <v>2639.75</v>
      </c>
      <c r="V19" s="81">
        <v>2597.25</v>
      </c>
      <c r="W19" s="81">
        <f t="shared" si="3"/>
        <v>46.75</v>
      </c>
      <c r="X19" s="81">
        <f t="shared" si="2"/>
        <v>57.7</v>
      </c>
      <c r="Z19" s="42">
        <v>0</v>
      </c>
      <c r="AA19" s="42">
        <v>0</v>
      </c>
      <c r="AB19" s="42">
        <v>0</v>
      </c>
    </row>
    <row r="20" spans="2:28" s="76" customFormat="1">
      <c r="B20" s="80">
        <v>41986</v>
      </c>
      <c r="C20" s="76">
        <v>2628.75</v>
      </c>
      <c r="D20" s="76">
        <v>2639.75</v>
      </c>
      <c r="E20" s="77">
        <v>0.38541666666666669</v>
      </c>
      <c r="F20" s="76">
        <v>2623</v>
      </c>
      <c r="G20" s="77">
        <v>0.39930555555555558</v>
      </c>
      <c r="H20" s="78">
        <v>2629.5</v>
      </c>
      <c r="I20" s="79">
        <v>512718</v>
      </c>
      <c r="J20" s="76" t="s">
        <v>287</v>
      </c>
      <c r="L20" s="76" t="s">
        <v>286</v>
      </c>
      <c r="N20" s="76" t="s">
        <v>291</v>
      </c>
      <c r="P20" s="76" t="s">
        <v>290</v>
      </c>
      <c r="Q20" s="76">
        <v>3</v>
      </c>
      <c r="S20" s="76">
        <v>2661.25</v>
      </c>
      <c r="T20" s="76">
        <v>2644</v>
      </c>
      <c r="U20" s="76">
        <v>2671</v>
      </c>
      <c r="V20" s="76">
        <v>2637.25</v>
      </c>
      <c r="W20" s="81">
        <f t="shared" si="3"/>
        <v>33.75</v>
      </c>
      <c r="X20" s="81">
        <f t="shared" si="2"/>
        <v>56.15</v>
      </c>
      <c r="Z20" s="42">
        <v>0</v>
      </c>
      <c r="AA20" s="42">
        <v>0</v>
      </c>
      <c r="AB20" s="42">
        <v>0</v>
      </c>
    </row>
    <row r="21" spans="2:28" s="71" customFormat="1">
      <c r="B21" s="75">
        <v>41985</v>
      </c>
      <c r="C21" s="71">
        <v>2661.25</v>
      </c>
      <c r="D21" s="71">
        <v>2671</v>
      </c>
      <c r="E21" s="72">
        <v>0.3840277777777778</v>
      </c>
      <c r="F21" s="71">
        <v>2645.75</v>
      </c>
      <c r="G21" s="72">
        <v>0.41180555555555554</v>
      </c>
      <c r="H21" s="73">
        <v>2654</v>
      </c>
      <c r="I21" s="74">
        <v>415611</v>
      </c>
      <c r="J21" s="76" t="s">
        <v>296</v>
      </c>
      <c r="K21" s="61" t="s">
        <v>21</v>
      </c>
      <c r="L21" s="71" t="s">
        <v>19</v>
      </c>
      <c r="M21" s="71" t="s">
        <v>30</v>
      </c>
      <c r="N21" s="76" t="s">
        <v>294</v>
      </c>
      <c r="P21" s="76" t="s">
        <v>293</v>
      </c>
      <c r="Q21" s="71">
        <v>3</v>
      </c>
      <c r="S21" s="71">
        <v>2671.5</v>
      </c>
      <c r="T21" s="71">
        <v>2651.25</v>
      </c>
      <c r="U21" s="71">
        <v>2686.5</v>
      </c>
      <c r="V21" s="71">
        <v>2647.25</v>
      </c>
      <c r="W21" s="81">
        <f t="shared" si="3"/>
        <v>46</v>
      </c>
      <c r="X21" s="81">
        <f t="shared" si="2"/>
        <v>58.875</v>
      </c>
      <c r="Z21" s="42">
        <v>0</v>
      </c>
      <c r="AA21" s="42">
        <v>0</v>
      </c>
      <c r="AB21" s="42">
        <v>0</v>
      </c>
    </row>
    <row r="22" spans="2:28" s="66" customFormat="1">
      <c r="B22" s="70">
        <v>41984</v>
      </c>
      <c r="C22" s="66">
        <v>2671.5</v>
      </c>
      <c r="D22" s="66">
        <v>2679.5</v>
      </c>
      <c r="E22" s="67">
        <v>0.4145833333333333</v>
      </c>
      <c r="F22" s="66">
        <v>2661.5</v>
      </c>
      <c r="G22" s="67">
        <v>0.3659722222222222</v>
      </c>
      <c r="H22" s="68">
        <v>2678</v>
      </c>
      <c r="I22" s="69">
        <v>426341</v>
      </c>
      <c r="J22" s="76" t="s">
        <v>296</v>
      </c>
      <c r="K22" s="66" t="s">
        <v>297</v>
      </c>
      <c r="L22" s="71" t="s">
        <v>302</v>
      </c>
      <c r="M22" s="66" t="s">
        <v>303</v>
      </c>
      <c r="N22" s="76" t="s">
        <v>295</v>
      </c>
      <c r="P22" s="66" t="s">
        <v>292</v>
      </c>
      <c r="Q22" s="66">
        <v>3</v>
      </c>
      <c r="S22" s="66">
        <v>2673.25</v>
      </c>
      <c r="T22" s="66">
        <v>2640.5</v>
      </c>
      <c r="U22" s="66">
        <v>2675.5</v>
      </c>
      <c r="V22" s="66">
        <v>2621.25</v>
      </c>
      <c r="W22" s="81">
        <f t="shared" si="3"/>
        <v>54.25</v>
      </c>
      <c r="X22" s="81">
        <f t="shared" si="2"/>
        <v>57.15</v>
      </c>
      <c r="Z22" s="42">
        <v>0</v>
      </c>
      <c r="AA22" s="42">
        <v>0</v>
      </c>
      <c r="AB22" s="42">
        <v>0</v>
      </c>
    </row>
    <row r="23" spans="2:28" s="61" customFormat="1">
      <c r="B23" s="65">
        <v>41983</v>
      </c>
      <c r="C23" s="61">
        <v>2673.25</v>
      </c>
      <c r="D23" s="61">
        <v>2675.5</v>
      </c>
      <c r="E23" s="62">
        <v>0.35833333333333334</v>
      </c>
      <c r="F23" s="61">
        <v>2656.75</v>
      </c>
      <c r="G23" s="62">
        <v>0.41250000000000003</v>
      </c>
      <c r="H23" s="63">
        <v>2657.75</v>
      </c>
      <c r="I23" s="64">
        <v>502351</v>
      </c>
      <c r="J23" s="61" t="s">
        <v>284</v>
      </c>
      <c r="K23" s="61" t="s">
        <v>21</v>
      </c>
      <c r="L23" s="61" t="s">
        <v>7</v>
      </c>
      <c r="N23" s="61" t="s">
        <v>37</v>
      </c>
      <c r="P23" s="61" t="s">
        <v>38</v>
      </c>
      <c r="Q23" s="61">
        <v>9</v>
      </c>
      <c r="S23" s="61">
        <v>2630.75</v>
      </c>
      <c r="T23" s="61">
        <v>2643</v>
      </c>
      <c r="U23" s="61">
        <v>2648.5</v>
      </c>
      <c r="V23" s="61">
        <v>2583</v>
      </c>
      <c r="W23" s="81">
        <f t="shared" si="3"/>
        <v>65.5</v>
      </c>
      <c r="X23" s="81">
        <f t="shared" si="2"/>
        <v>56.274999999999999</v>
      </c>
      <c r="Z23" s="42">
        <v>0</v>
      </c>
      <c r="AA23" s="42">
        <v>0</v>
      </c>
      <c r="AB23" s="42">
        <v>0</v>
      </c>
    </row>
    <row r="24" spans="2:28" s="61" customFormat="1">
      <c r="B24" s="65">
        <v>41982</v>
      </c>
      <c r="C24" s="61">
        <v>2630.75</v>
      </c>
      <c r="D24" s="61">
        <v>2639.25</v>
      </c>
      <c r="E24" s="62">
        <v>0.35833333333333334</v>
      </c>
      <c r="F24" s="61">
        <v>2595.75</v>
      </c>
      <c r="G24" s="62">
        <v>0.41666666666666669</v>
      </c>
      <c r="H24" s="63">
        <v>2602</v>
      </c>
      <c r="I24" s="64">
        <v>703286</v>
      </c>
      <c r="J24" s="61" t="s">
        <v>39</v>
      </c>
      <c r="L24" s="61" t="s">
        <v>24</v>
      </c>
      <c r="M24" s="61" t="s">
        <v>23</v>
      </c>
      <c r="N24" s="61" t="s">
        <v>41</v>
      </c>
      <c r="P24" s="61" t="s">
        <v>40</v>
      </c>
      <c r="Q24" s="61">
        <v>1</v>
      </c>
      <c r="S24" s="61">
        <v>2691.75</v>
      </c>
      <c r="T24" s="61">
        <v>2632.75</v>
      </c>
      <c r="U24" s="61">
        <v>2709.75</v>
      </c>
      <c r="V24" s="61">
        <v>2623.25</v>
      </c>
      <c r="W24" s="81">
        <f t="shared" si="3"/>
        <v>86.5</v>
      </c>
      <c r="X24" s="81">
        <f t="shared" si="2"/>
        <v>51.7</v>
      </c>
      <c r="Z24" s="42">
        <v>2</v>
      </c>
      <c r="AA24" s="42">
        <v>-4.5</v>
      </c>
      <c r="AB24" s="42">
        <v>-225</v>
      </c>
    </row>
    <row r="25" spans="2:28" s="57" customFormat="1">
      <c r="B25" s="56">
        <v>41979</v>
      </c>
      <c r="C25" s="57">
        <v>2691.75</v>
      </c>
      <c r="D25" s="57">
        <v>2709.75</v>
      </c>
      <c r="E25" s="58">
        <v>0.36249999999999999</v>
      </c>
      <c r="F25" s="57">
        <v>2667.5</v>
      </c>
      <c r="G25" s="58">
        <v>0.40069444444444446</v>
      </c>
      <c r="H25" s="59">
        <v>2679.75</v>
      </c>
      <c r="I25" s="60">
        <v>568320</v>
      </c>
      <c r="J25" s="57" t="s">
        <v>1</v>
      </c>
      <c r="L25" s="57" t="s">
        <v>217</v>
      </c>
      <c r="N25" s="57" t="s">
        <v>15</v>
      </c>
      <c r="P25" s="57" t="s">
        <v>16</v>
      </c>
      <c r="Q25" s="57">
        <v>1</v>
      </c>
      <c r="S25" s="57">
        <v>2656.75</v>
      </c>
      <c r="T25" s="57">
        <v>2691.5</v>
      </c>
      <c r="U25" s="57">
        <v>2699.25</v>
      </c>
      <c r="V25" s="57">
        <v>2621.25</v>
      </c>
      <c r="W25" s="81">
        <f t="shared" si="3"/>
        <v>80.75</v>
      </c>
      <c r="X25" s="81">
        <f t="shared" si="2"/>
        <v>46.125</v>
      </c>
      <c r="Z25" s="42">
        <v>0</v>
      </c>
      <c r="AA25" s="42">
        <v>0</v>
      </c>
      <c r="AB25" s="42">
        <v>0</v>
      </c>
    </row>
    <row r="26" spans="2:28" s="57" customFormat="1">
      <c r="B26" s="56">
        <v>41978</v>
      </c>
      <c r="C26" s="57">
        <v>2656.75</v>
      </c>
      <c r="D26" s="57">
        <v>2669.25</v>
      </c>
      <c r="E26" s="58">
        <v>0.36041666666666666</v>
      </c>
      <c r="F26" s="57">
        <v>2637.75</v>
      </c>
      <c r="G26" s="58">
        <v>0.41597222222222219</v>
      </c>
      <c r="H26" s="59">
        <v>2640</v>
      </c>
      <c r="I26" s="60">
        <v>844630</v>
      </c>
      <c r="J26" s="57" t="s">
        <v>18</v>
      </c>
      <c r="L26" s="57" t="s">
        <v>218</v>
      </c>
      <c r="N26" s="57" t="s">
        <v>17</v>
      </c>
      <c r="P26" s="57" t="s">
        <v>235</v>
      </c>
      <c r="Q26" s="57">
        <v>8</v>
      </c>
      <c r="S26" s="57">
        <v>2782.25</v>
      </c>
      <c r="T26" s="57">
        <v>2702</v>
      </c>
      <c r="U26" s="57">
        <v>2787.25</v>
      </c>
      <c r="V26" s="57">
        <v>2697.25</v>
      </c>
      <c r="W26" s="81">
        <f t="shared" si="3"/>
        <v>93.75</v>
      </c>
      <c r="X26" s="81">
        <f t="shared" si="2"/>
        <v>44.524999999999999</v>
      </c>
      <c r="Z26" s="42">
        <v>0</v>
      </c>
      <c r="AA26" s="42">
        <v>0</v>
      </c>
      <c r="AB26" s="42">
        <v>0</v>
      </c>
    </row>
    <row r="27" spans="2:28" s="57" customFormat="1">
      <c r="B27" s="56">
        <v>41976</v>
      </c>
      <c r="C27" s="57">
        <v>2782.25</v>
      </c>
      <c r="D27" s="57">
        <v>2787.25</v>
      </c>
      <c r="E27" s="58">
        <v>0.36041666666666666</v>
      </c>
      <c r="F27" s="57">
        <v>2769.5</v>
      </c>
      <c r="G27" s="58">
        <v>0.39444444444444443</v>
      </c>
      <c r="H27" s="59">
        <v>2770.75</v>
      </c>
      <c r="I27" s="60">
        <v>430990</v>
      </c>
      <c r="J27" s="57" t="s">
        <v>1</v>
      </c>
      <c r="L27" s="57" t="s">
        <v>219</v>
      </c>
      <c r="N27" s="57" t="s">
        <v>15</v>
      </c>
      <c r="P27" s="57" t="s">
        <v>4</v>
      </c>
      <c r="Q27" s="57">
        <v>3</v>
      </c>
      <c r="S27" s="57">
        <v>2801</v>
      </c>
      <c r="T27" s="57">
        <v>2791</v>
      </c>
      <c r="U27" s="57">
        <v>2802.5</v>
      </c>
      <c r="V27" s="57">
        <v>2773.5</v>
      </c>
      <c r="W27" s="81">
        <f t="shared" si="3"/>
        <v>38.25</v>
      </c>
      <c r="X27" s="81">
        <f t="shared" si="2"/>
        <v>41.25</v>
      </c>
      <c r="Z27" s="42">
        <v>0</v>
      </c>
      <c r="AA27" s="42">
        <v>0</v>
      </c>
      <c r="AB27" s="42">
        <v>0</v>
      </c>
    </row>
    <row r="28" spans="2:28" s="57" customFormat="1">
      <c r="B28" s="56">
        <v>41975</v>
      </c>
      <c r="C28" s="57">
        <v>2801</v>
      </c>
      <c r="D28" s="57">
        <v>2802.5</v>
      </c>
      <c r="E28" s="58">
        <v>0.35416666666666669</v>
      </c>
      <c r="F28" s="57">
        <v>2778.75</v>
      </c>
      <c r="G28" s="58">
        <v>0.41597222222222219</v>
      </c>
      <c r="H28" s="59">
        <v>2780.25</v>
      </c>
      <c r="I28" s="60">
        <v>560150</v>
      </c>
      <c r="J28" s="57" t="s">
        <v>5</v>
      </c>
      <c r="L28" s="57" t="s">
        <v>218</v>
      </c>
      <c r="N28" s="57" t="s">
        <v>17</v>
      </c>
      <c r="P28" s="57" t="s">
        <v>234</v>
      </c>
      <c r="Q28" s="57">
        <v>0</v>
      </c>
      <c r="S28" s="57">
        <v>2736.5</v>
      </c>
      <c r="T28" s="57">
        <v>2764.25</v>
      </c>
      <c r="U28" s="57">
        <v>2764.75</v>
      </c>
      <c r="V28" s="57">
        <v>2733.25</v>
      </c>
      <c r="W28" s="81">
        <f t="shared" si="3"/>
        <v>31.5</v>
      </c>
      <c r="X28" s="81">
        <f t="shared" si="2"/>
        <v>40.975000000000001</v>
      </c>
      <c r="Z28" s="42">
        <v>0</v>
      </c>
      <c r="AA28" s="42">
        <v>0</v>
      </c>
      <c r="AB28" s="42">
        <v>0</v>
      </c>
    </row>
    <row r="29" spans="2:28" s="42" customFormat="1">
      <c r="B29" s="45">
        <v>41972</v>
      </c>
      <c r="C29" s="42">
        <v>2736.75</v>
      </c>
      <c r="D29" s="42">
        <v>2748.5</v>
      </c>
      <c r="E29" s="43">
        <v>0.40347222222222223</v>
      </c>
      <c r="F29" s="42">
        <v>2733.25</v>
      </c>
      <c r="G29" s="43">
        <v>0.3576388888888889</v>
      </c>
      <c r="H29" s="48">
        <v>2743.25</v>
      </c>
      <c r="I29" s="44">
        <f>118809+76278+97024</f>
        <v>292111</v>
      </c>
      <c r="J29" s="42" t="s">
        <v>75</v>
      </c>
      <c r="L29" s="42" t="s">
        <v>76</v>
      </c>
      <c r="N29" s="42" t="s">
        <v>79</v>
      </c>
      <c r="P29" s="42" t="s">
        <v>172</v>
      </c>
      <c r="Q29" s="42">
        <v>5</v>
      </c>
      <c r="S29" s="42">
        <v>2736.25</v>
      </c>
      <c r="T29" s="42">
        <v>2744</v>
      </c>
      <c r="U29" s="42">
        <v>2754.5</v>
      </c>
      <c r="V29" s="42">
        <v>2723.25</v>
      </c>
      <c r="W29" s="81">
        <f t="shared" si="3"/>
        <v>31.25</v>
      </c>
      <c r="X29" s="81">
        <f t="shared" si="2"/>
        <v>44.375</v>
      </c>
      <c r="Z29" s="42">
        <v>0</v>
      </c>
      <c r="AA29" s="42">
        <v>0</v>
      </c>
      <c r="AB29" s="42">
        <v>0</v>
      </c>
    </row>
    <row r="30" spans="2:28" s="42" customFormat="1">
      <c r="B30" s="45">
        <v>41971</v>
      </c>
      <c r="C30" s="42">
        <v>2736.25</v>
      </c>
      <c r="D30" s="42">
        <v>2740</v>
      </c>
      <c r="E30" s="43">
        <v>0.39583333333333331</v>
      </c>
      <c r="F30" s="42">
        <v>2723.25</v>
      </c>
      <c r="G30" s="43">
        <v>0.41180555555555554</v>
      </c>
      <c r="H30" s="48">
        <v>2726.75</v>
      </c>
      <c r="I30" s="44">
        <f>160127+111404+188823</f>
        <v>460354</v>
      </c>
      <c r="J30" s="42" t="s">
        <v>95</v>
      </c>
      <c r="L30" s="42" t="s">
        <v>97</v>
      </c>
      <c r="N30" s="42" t="s">
        <v>81</v>
      </c>
      <c r="P30" s="42" t="s">
        <v>171</v>
      </c>
      <c r="Q30" s="42">
        <v>8</v>
      </c>
      <c r="S30" s="42">
        <v>2695.25</v>
      </c>
      <c r="T30" s="42">
        <v>2742.25</v>
      </c>
      <c r="U30" s="42">
        <v>2745</v>
      </c>
      <c r="V30" s="42">
        <v>2684.25</v>
      </c>
      <c r="W30" s="81">
        <f t="shared" si="3"/>
        <v>61</v>
      </c>
      <c r="X30" s="81">
        <f t="shared" si="2"/>
        <v>47.45</v>
      </c>
      <c r="Z30" s="42">
        <v>0</v>
      </c>
      <c r="AA30" s="42">
        <v>0</v>
      </c>
      <c r="AB30" s="42">
        <v>0</v>
      </c>
    </row>
    <row r="31" spans="2:28" s="42" customFormat="1">
      <c r="B31" s="45">
        <v>41970</v>
      </c>
      <c r="C31" s="42">
        <v>2695.25</v>
      </c>
      <c r="D31" s="42">
        <v>2698</v>
      </c>
      <c r="E31" s="43">
        <v>0.3611111111111111</v>
      </c>
      <c r="F31" s="42">
        <v>2684.25</v>
      </c>
      <c r="G31" s="43">
        <v>0.39652777777777781</v>
      </c>
      <c r="H31" s="48">
        <v>2688.5</v>
      </c>
      <c r="I31" s="44">
        <f>159010+95510+92123</f>
        <v>346643</v>
      </c>
      <c r="J31" s="42" t="s">
        <v>95</v>
      </c>
      <c r="L31" s="42" t="s">
        <v>94</v>
      </c>
      <c r="N31" s="42" t="s">
        <v>78</v>
      </c>
      <c r="P31" s="42" t="s">
        <v>96</v>
      </c>
      <c r="Q31" s="42">
        <v>5</v>
      </c>
      <c r="S31" s="42">
        <v>2662.25</v>
      </c>
      <c r="T31" s="42">
        <v>2684</v>
      </c>
      <c r="U31" s="42">
        <v>2684</v>
      </c>
      <c r="V31" s="42">
        <v>2655.25</v>
      </c>
      <c r="W31" s="81">
        <f t="shared" si="3"/>
        <v>28.75</v>
      </c>
      <c r="X31" s="81">
        <f t="shared" si="2"/>
        <v>45.475000000000001</v>
      </c>
      <c r="Z31" s="42">
        <v>0</v>
      </c>
      <c r="AA31" s="42">
        <v>0</v>
      </c>
      <c r="AB31" s="42">
        <v>0</v>
      </c>
    </row>
    <row r="32" spans="2:28" s="39" customFormat="1">
      <c r="B32" s="38">
        <v>41969</v>
      </c>
      <c r="C32" s="39">
        <v>2662.25</v>
      </c>
      <c r="D32" s="39">
        <v>2677.5</v>
      </c>
      <c r="E32" s="40">
        <v>0.41388888888888892</v>
      </c>
      <c r="F32" s="39">
        <v>2655.25</v>
      </c>
      <c r="G32" s="40">
        <v>0.36180555555555555</v>
      </c>
      <c r="H32" s="49">
        <v>2673.5</v>
      </c>
      <c r="I32" s="41">
        <f>196153+148338+97756</f>
        <v>442247</v>
      </c>
      <c r="J32" s="42" t="s">
        <v>173</v>
      </c>
      <c r="K32" s="42"/>
      <c r="L32" s="42" t="s">
        <v>93</v>
      </c>
      <c r="M32" s="42"/>
      <c r="N32" s="39" t="s">
        <v>53</v>
      </c>
      <c r="P32" s="39" t="s">
        <v>171</v>
      </c>
      <c r="Q32" s="39">
        <v>4</v>
      </c>
      <c r="S32" s="39">
        <v>2657.25</v>
      </c>
      <c r="T32" s="39">
        <v>2673.75</v>
      </c>
      <c r="U32" s="39">
        <v>2674</v>
      </c>
      <c r="V32" s="39">
        <v>2652.5</v>
      </c>
      <c r="W32" s="81">
        <f t="shared" si="3"/>
        <v>45.5</v>
      </c>
      <c r="X32" s="81">
        <f t="shared" si="2"/>
        <v>48.35</v>
      </c>
      <c r="Z32" s="39">
        <v>0</v>
      </c>
      <c r="AA32" s="42">
        <v>0</v>
      </c>
      <c r="AB32" s="42">
        <v>0</v>
      </c>
    </row>
    <row r="33" spans="2:30" s="39" customFormat="1">
      <c r="B33" s="38">
        <v>41968</v>
      </c>
      <c r="C33" s="39">
        <v>2657.25</v>
      </c>
      <c r="D33" s="39">
        <v>2671.75</v>
      </c>
      <c r="E33" s="40">
        <v>0.37638888888888888</v>
      </c>
      <c r="F33" s="39">
        <v>2655.75</v>
      </c>
      <c r="G33" s="40">
        <v>0.35833333333333334</v>
      </c>
      <c r="H33" s="49">
        <v>2669.5</v>
      </c>
      <c r="I33" s="41">
        <f>184014+107461+100758</f>
        <v>392233</v>
      </c>
      <c r="J33" s="39" t="s">
        <v>272</v>
      </c>
      <c r="L33" s="39" t="s">
        <v>273</v>
      </c>
      <c r="N33" s="39" t="s">
        <v>275</v>
      </c>
      <c r="P33" s="39" t="s">
        <v>274</v>
      </c>
      <c r="Q33" s="39">
        <v>1</v>
      </c>
      <c r="S33" s="39">
        <v>2631</v>
      </c>
      <c r="T33" s="39">
        <v>2628.5</v>
      </c>
      <c r="U33" s="39">
        <v>2647.5</v>
      </c>
      <c r="V33" s="39">
        <v>2628.5</v>
      </c>
      <c r="W33" s="81">
        <f t="shared" si="3"/>
        <v>19.75</v>
      </c>
      <c r="X33" s="81">
        <f t="shared" si="2"/>
        <v>48.274999999999999</v>
      </c>
      <c r="Z33" s="39">
        <v>0</v>
      </c>
      <c r="AA33" s="42">
        <v>0</v>
      </c>
      <c r="AB33" s="42">
        <v>0</v>
      </c>
    </row>
    <row r="34" spans="2:30" s="39" customFormat="1">
      <c r="B34" s="38">
        <v>41965</v>
      </c>
      <c r="C34" s="39">
        <v>2631</v>
      </c>
      <c r="D34" s="39">
        <v>2643.5</v>
      </c>
      <c r="E34" s="40">
        <v>0.38194444444444442</v>
      </c>
      <c r="F34" s="39">
        <v>2630</v>
      </c>
      <c r="G34" s="40">
        <v>0.35486111111111113</v>
      </c>
      <c r="H34" s="49">
        <v>2641</v>
      </c>
      <c r="I34" s="41">
        <f>127734+69625+60016</f>
        <v>257375</v>
      </c>
      <c r="J34" s="39" t="s">
        <v>170</v>
      </c>
      <c r="L34" s="39" t="s">
        <v>169</v>
      </c>
      <c r="N34" s="39" t="s">
        <v>78</v>
      </c>
      <c r="P34" s="39" t="s">
        <v>172</v>
      </c>
      <c r="Q34" s="39">
        <v>0</v>
      </c>
      <c r="S34" s="39">
        <v>2658.25</v>
      </c>
      <c r="T34" s="39">
        <v>2648.25</v>
      </c>
      <c r="U34" s="39">
        <v>2671.25</v>
      </c>
      <c r="V34" s="39">
        <v>2647.75</v>
      </c>
      <c r="W34" s="81">
        <f t="shared" si="3"/>
        <v>30.75</v>
      </c>
      <c r="X34" s="81">
        <f t="shared" si="2"/>
        <v>48.325000000000003</v>
      </c>
      <c r="Z34" s="39">
        <v>0</v>
      </c>
      <c r="AA34" s="42">
        <v>0</v>
      </c>
      <c r="AB34" s="42">
        <v>0</v>
      </c>
    </row>
    <row r="35" spans="2:30" s="34" customFormat="1">
      <c r="B35" s="37">
        <v>41963</v>
      </c>
      <c r="C35" s="34">
        <v>2658.25</v>
      </c>
      <c r="D35" s="34">
        <v>2666.25</v>
      </c>
      <c r="E35" s="35">
        <v>0.39305555555555555</v>
      </c>
      <c r="F35" s="34">
        <v>2651</v>
      </c>
      <c r="G35" s="35">
        <v>0.36874999999999997</v>
      </c>
      <c r="H35" s="50">
        <v>2661.5</v>
      </c>
      <c r="I35" s="36">
        <f>196558+139920+91693</f>
        <v>428171</v>
      </c>
      <c r="J35" s="34" t="s">
        <v>102</v>
      </c>
      <c r="L35" s="34" t="s">
        <v>225</v>
      </c>
      <c r="N35" s="34" t="s">
        <v>79</v>
      </c>
      <c r="P35" s="34" t="s">
        <v>77</v>
      </c>
      <c r="Q35" s="34">
        <v>4</v>
      </c>
      <c r="S35" s="34">
        <v>2654.25</v>
      </c>
      <c r="T35" s="34">
        <v>2640.5</v>
      </c>
      <c r="U35" s="34">
        <v>2670.75</v>
      </c>
      <c r="V35" s="34">
        <v>2631.75</v>
      </c>
      <c r="W35" s="81">
        <f t="shared" si="3"/>
        <v>64.75</v>
      </c>
      <c r="X35" s="81">
        <f t="shared" si="2"/>
        <v>51.15</v>
      </c>
      <c r="Z35" s="34">
        <v>0</v>
      </c>
      <c r="AA35" s="34">
        <v>0</v>
      </c>
      <c r="AB35" s="34">
        <v>0</v>
      </c>
    </row>
    <row r="36" spans="2:30" s="34" customFormat="1">
      <c r="B36" s="37">
        <v>41962</v>
      </c>
      <c r="C36" s="34">
        <v>2654.25</v>
      </c>
      <c r="D36" s="34">
        <v>2668.5</v>
      </c>
      <c r="E36" s="35">
        <v>0.41666666666666669</v>
      </c>
      <c r="F36" s="34">
        <v>2633.75</v>
      </c>
      <c r="G36" s="35">
        <v>0.38541666666666669</v>
      </c>
      <c r="H36" s="50">
        <v>2666.75</v>
      </c>
      <c r="I36" s="36">
        <f>343512+261169+213682</f>
        <v>818363</v>
      </c>
      <c r="J36" s="34" t="s">
        <v>102</v>
      </c>
      <c r="L36" s="34" t="s">
        <v>225</v>
      </c>
      <c r="N36" s="34" t="s">
        <v>80</v>
      </c>
      <c r="P36" s="34" t="s">
        <v>103</v>
      </c>
      <c r="Q36" s="34">
        <v>2</v>
      </c>
      <c r="S36" s="34">
        <v>2731.25</v>
      </c>
      <c r="T36" s="34">
        <v>2696.5</v>
      </c>
      <c r="U36" s="34">
        <v>2734.75</v>
      </c>
      <c r="V36" s="34">
        <v>2681.5</v>
      </c>
      <c r="W36" s="81">
        <f t="shared" si="3"/>
        <v>61</v>
      </c>
      <c r="X36" s="81">
        <f t="shared" si="2"/>
        <v>46.6</v>
      </c>
      <c r="Z36" s="34">
        <v>4</v>
      </c>
      <c r="AA36" s="34">
        <v>4</v>
      </c>
      <c r="AB36" s="34">
        <v>200</v>
      </c>
    </row>
    <row r="37" spans="2:30" s="34" customFormat="1">
      <c r="B37" s="37">
        <v>41961</v>
      </c>
      <c r="C37" s="34">
        <v>2731.25</v>
      </c>
      <c r="D37" s="34">
        <v>2734.75</v>
      </c>
      <c r="E37" s="35">
        <v>0.36249999999999999</v>
      </c>
      <c r="F37" s="34">
        <v>2706.5</v>
      </c>
      <c r="G37" s="35">
        <v>0.39861111111111108</v>
      </c>
      <c r="H37" s="50">
        <v>2717</v>
      </c>
      <c r="I37" s="36">
        <f>179713+150728+131896</f>
        <v>462337</v>
      </c>
      <c r="J37" s="34" t="s">
        <v>102</v>
      </c>
      <c r="L37" s="34" t="s">
        <v>225</v>
      </c>
      <c r="N37" s="34" t="s">
        <v>104</v>
      </c>
      <c r="P37" s="34" t="s">
        <v>103</v>
      </c>
      <c r="Q37" s="34">
        <v>3</v>
      </c>
      <c r="S37" s="34">
        <v>2719</v>
      </c>
      <c r="T37" s="34">
        <v>2742.5</v>
      </c>
      <c r="U37" s="34">
        <v>2748.75</v>
      </c>
      <c r="V37" s="34">
        <v>2713.25</v>
      </c>
      <c r="W37" s="81">
        <f t="shared" si="3"/>
        <v>35.5</v>
      </c>
      <c r="X37" s="81">
        <f t="shared" si="2"/>
        <v>43.174999999999997</v>
      </c>
      <c r="Z37" s="34">
        <v>0</v>
      </c>
      <c r="AA37" s="34">
        <v>0</v>
      </c>
      <c r="AB37" s="34">
        <v>0</v>
      </c>
    </row>
    <row r="38" spans="2:30" s="30" customFormat="1">
      <c r="B38" s="33">
        <v>41958</v>
      </c>
      <c r="C38" s="30">
        <v>2719</v>
      </c>
      <c r="D38" s="30">
        <v>2740.5</v>
      </c>
      <c r="E38" s="31">
        <v>0.40069444444444446</v>
      </c>
      <c r="F38" s="30">
        <v>2713.25</v>
      </c>
      <c r="G38" s="31">
        <v>0.35902777777777778</v>
      </c>
      <c r="H38" s="51">
        <v>2733.75</v>
      </c>
      <c r="I38" s="32">
        <v>454610</v>
      </c>
      <c r="J38" s="30" t="s">
        <v>82</v>
      </c>
      <c r="L38" s="34" t="s">
        <v>271</v>
      </c>
      <c r="M38" s="34"/>
      <c r="N38" s="30" t="s">
        <v>89</v>
      </c>
      <c r="P38" s="30" t="s">
        <v>83</v>
      </c>
      <c r="Q38" s="30">
        <v>2</v>
      </c>
      <c r="S38" s="30">
        <v>2689</v>
      </c>
      <c r="T38" s="30">
        <v>2730</v>
      </c>
      <c r="U38" s="30">
        <v>2736.75</v>
      </c>
      <c r="V38" s="30">
        <v>2671.25</v>
      </c>
      <c r="W38" s="81">
        <f t="shared" si="3"/>
        <v>65.5</v>
      </c>
      <c r="X38" s="81">
        <f t="shared" si="2"/>
        <v>45.325000000000003</v>
      </c>
      <c r="Z38" s="30">
        <v>0</v>
      </c>
      <c r="AA38" s="30">
        <v>0</v>
      </c>
      <c r="AB38" s="30">
        <v>0</v>
      </c>
    </row>
    <row r="39" spans="2:30" s="26" customFormat="1">
      <c r="B39" s="29">
        <v>41957</v>
      </c>
      <c r="C39" s="26">
        <v>2689</v>
      </c>
      <c r="D39" s="26">
        <v>2698</v>
      </c>
      <c r="E39" s="27">
        <v>0.36736111111111108</v>
      </c>
      <c r="F39" s="26">
        <v>2671.25</v>
      </c>
      <c r="G39" s="27">
        <v>0.40069444444444446</v>
      </c>
      <c r="H39" s="52">
        <v>2686.25</v>
      </c>
      <c r="I39" s="28">
        <v>605576</v>
      </c>
      <c r="J39" s="26" t="s">
        <v>48</v>
      </c>
      <c r="L39" s="26" t="s">
        <v>50</v>
      </c>
      <c r="N39" s="30" t="s">
        <v>89</v>
      </c>
      <c r="P39" s="30" t="s">
        <v>88</v>
      </c>
      <c r="Q39" s="26">
        <v>5</v>
      </c>
      <c r="S39" s="26">
        <v>2743.75</v>
      </c>
      <c r="T39" s="26">
        <v>2703</v>
      </c>
      <c r="U39" s="26">
        <v>2748.25</v>
      </c>
      <c r="V39" s="26">
        <v>2686.25</v>
      </c>
      <c r="W39" s="81">
        <f t="shared" si="3"/>
        <v>62</v>
      </c>
      <c r="X39" s="81">
        <f t="shared" si="2"/>
        <v>42.35</v>
      </c>
      <c r="Z39" s="26">
        <v>0</v>
      </c>
      <c r="AA39" s="26">
        <v>0</v>
      </c>
      <c r="AB39" s="26">
        <v>0</v>
      </c>
    </row>
    <row r="40" spans="2:30" s="22" customFormat="1">
      <c r="B40" s="25">
        <v>41956</v>
      </c>
      <c r="C40" s="22">
        <v>2743.75</v>
      </c>
      <c r="D40" s="22">
        <v>2748.25</v>
      </c>
      <c r="E40" s="23">
        <v>0.36458333333333331</v>
      </c>
      <c r="F40" s="22">
        <v>2722.5</v>
      </c>
      <c r="G40" s="23">
        <v>0.41111111111111115</v>
      </c>
      <c r="H40" s="53">
        <v>2725.75</v>
      </c>
      <c r="I40" s="24">
        <v>460681</v>
      </c>
      <c r="J40" s="26" t="s">
        <v>49</v>
      </c>
      <c r="K40" s="26"/>
      <c r="L40" s="26" t="s">
        <v>50</v>
      </c>
      <c r="M40" s="26"/>
      <c r="N40" s="26" t="s">
        <v>51</v>
      </c>
      <c r="P40" s="22" t="s">
        <v>52</v>
      </c>
      <c r="Q40" s="22">
        <v>4</v>
      </c>
      <c r="S40" s="22">
        <v>2733.25</v>
      </c>
      <c r="T40" s="22">
        <v>2727.5</v>
      </c>
      <c r="U40" s="22">
        <v>2755.75</v>
      </c>
      <c r="V40" s="22">
        <v>2714.5</v>
      </c>
      <c r="W40" s="81">
        <f t="shared" si="3"/>
        <v>41.25</v>
      </c>
      <c r="X40" s="81">
        <f t="shared" si="2"/>
        <v>41.45</v>
      </c>
      <c r="Z40" s="22">
        <v>0</v>
      </c>
      <c r="AA40" s="22">
        <v>0</v>
      </c>
      <c r="AB40" s="22">
        <v>0</v>
      </c>
    </row>
    <row r="41" spans="2:30" s="18" customFormat="1">
      <c r="B41" s="21">
        <v>41955</v>
      </c>
      <c r="C41" s="18">
        <v>2733.25</v>
      </c>
      <c r="D41" s="18">
        <v>2744</v>
      </c>
      <c r="E41" s="19">
        <v>0.3666666666666667</v>
      </c>
      <c r="F41" s="18">
        <v>2719.5</v>
      </c>
      <c r="G41" s="19">
        <v>0.3972222222222222</v>
      </c>
      <c r="H41" s="54">
        <v>2736.25</v>
      </c>
      <c r="I41" s="20">
        <v>546403</v>
      </c>
      <c r="J41" s="18" t="s">
        <v>20</v>
      </c>
      <c r="L41" s="18" t="s">
        <v>31</v>
      </c>
      <c r="N41" s="22" t="s">
        <v>32</v>
      </c>
      <c r="P41" s="18" t="s">
        <v>33</v>
      </c>
      <c r="Q41" s="18">
        <v>6</v>
      </c>
      <c r="S41" s="18">
        <v>2774.25</v>
      </c>
      <c r="T41" s="18">
        <v>2728.75</v>
      </c>
      <c r="U41" s="18">
        <v>2777.5</v>
      </c>
      <c r="V41" s="18">
        <v>2722.25</v>
      </c>
      <c r="W41" s="87">
        <f t="shared" si="3"/>
        <v>57.5</v>
      </c>
      <c r="X41" s="81">
        <f t="shared" si="2"/>
        <v>42.1</v>
      </c>
      <c r="Z41" s="18">
        <v>6</v>
      </c>
      <c r="AA41" s="18">
        <v>-17.25</v>
      </c>
      <c r="AB41" s="18">
        <v>-862</v>
      </c>
    </row>
    <row r="42" spans="2:30" s="14" customFormat="1">
      <c r="B42" s="13">
        <v>41954</v>
      </c>
      <c r="C42" s="14">
        <v>2774.25</v>
      </c>
      <c r="D42" s="14">
        <v>2777.5</v>
      </c>
      <c r="E42" s="15">
        <v>0.35486111111111113</v>
      </c>
      <c r="F42" s="14">
        <v>2745.5</v>
      </c>
      <c r="G42" s="15">
        <v>0.41666666666666669</v>
      </c>
      <c r="H42" s="55">
        <v>2747.75</v>
      </c>
      <c r="I42" s="16">
        <v>448339</v>
      </c>
      <c r="J42" s="14" t="s">
        <v>73</v>
      </c>
      <c r="L42" s="14" t="s">
        <v>34</v>
      </c>
      <c r="N42" s="14" t="s">
        <v>35</v>
      </c>
      <c r="P42" s="14" t="s">
        <v>36</v>
      </c>
      <c r="Q42" s="14">
        <v>0</v>
      </c>
      <c r="S42" s="14">
        <v>2793</v>
      </c>
      <c r="T42" s="14">
        <v>2779.75</v>
      </c>
      <c r="U42" s="14">
        <v>2795.25</v>
      </c>
      <c r="V42" s="14">
        <v>2764.5</v>
      </c>
      <c r="W42" s="81">
        <f t="shared" si="3"/>
        <v>44.75</v>
      </c>
      <c r="Z42" s="14">
        <v>8</v>
      </c>
      <c r="AA42" s="14">
        <v>-5.25</v>
      </c>
      <c r="AB42" s="14">
        <v>-262.5</v>
      </c>
      <c r="AD42" s="14" t="s">
        <v>221</v>
      </c>
    </row>
    <row r="43" spans="2:30">
      <c r="B43" s="2">
        <v>41951</v>
      </c>
      <c r="C43">
        <v>2793</v>
      </c>
      <c r="D43">
        <v>2795.25</v>
      </c>
      <c r="E43" s="9">
        <v>0.35555555555555557</v>
      </c>
      <c r="F43">
        <v>2777.25</v>
      </c>
      <c r="G43" s="9">
        <v>0.41944444444444445</v>
      </c>
      <c r="H43" s="46">
        <v>2782.5</v>
      </c>
      <c r="I43" s="5">
        <v>404717</v>
      </c>
      <c r="J43" t="s">
        <v>3</v>
      </c>
      <c r="L43" t="s">
        <v>105</v>
      </c>
      <c r="N43" t="s">
        <v>106</v>
      </c>
      <c r="P43" t="s">
        <v>107</v>
      </c>
      <c r="Q43">
        <v>0</v>
      </c>
      <c r="S43">
        <v>2804.75</v>
      </c>
      <c r="T43">
        <v>2809.25</v>
      </c>
      <c r="U43">
        <v>2815.25</v>
      </c>
      <c r="V43">
        <v>2795</v>
      </c>
      <c r="W43" s="81">
        <f t="shared" si="3"/>
        <v>20.25</v>
      </c>
      <c r="Z43">
        <v>8</v>
      </c>
      <c r="AA43">
        <v>-2</v>
      </c>
      <c r="AB43">
        <v>-100</v>
      </c>
      <c r="AD43" t="s">
        <v>85</v>
      </c>
    </row>
    <row r="44" spans="2:30">
      <c r="B44" s="2">
        <v>41950</v>
      </c>
      <c r="C44">
        <v>2804.75</v>
      </c>
      <c r="D44">
        <v>2813.25</v>
      </c>
      <c r="E44" s="9">
        <v>0.37152777777777773</v>
      </c>
      <c r="F44">
        <v>2804.5</v>
      </c>
      <c r="G44" s="9">
        <v>0.38680555555555557</v>
      </c>
      <c r="H44" s="46">
        <v>2810.5</v>
      </c>
      <c r="I44" s="5">
        <v>321469</v>
      </c>
      <c r="J44" t="s">
        <v>211</v>
      </c>
      <c r="L44" t="s">
        <v>181</v>
      </c>
      <c r="N44" t="s">
        <v>66</v>
      </c>
      <c r="P44" t="s">
        <v>143</v>
      </c>
      <c r="Q44">
        <v>0</v>
      </c>
      <c r="S44">
        <v>2779</v>
      </c>
      <c r="T44">
        <v>2814</v>
      </c>
      <c r="U44">
        <v>2815</v>
      </c>
      <c r="V44">
        <v>2774.25</v>
      </c>
      <c r="W44" s="81">
        <f t="shared" si="3"/>
        <v>59</v>
      </c>
      <c r="Z44">
        <v>2</v>
      </c>
      <c r="AA44">
        <v>-5</v>
      </c>
      <c r="AB44">
        <v>-250</v>
      </c>
      <c r="AD44" t="s">
        <v>142</v>
      </c>
    </row>
    <row r="45" spans="2:30">
      <c r="B45" s="2">
        <v>41949</v>
      </c>
      <c r="C45">
        <v>2779</v>
      </c>
      <c r="D45">
        <v>2792</v>
      </c>
      <c r="E45" s="9">
        <v>0.41250000000000003</v>
      </c>
      <c r="F45">
        <v>2774.25</v>
      </c>
      <c r="G45" s="9">
        <v>0.37847222222222227</v>
      </c>
      <c r="H45" s="46">
        <v>2789.25</v>
      </c>
      <c r="I45" s="5">
        <v>354715</v>
      </c>
      <c r="J45" t="s">
        <v>161</v>
      </c>
      <c r="L45" t="s">
        <v>162</v>
      </c>
      <c r="N45" t="s">
        <v>160</v>
      </c>
      <c r="P45" t="s">
        <v>87</v>
      </c>
      <c r="Q45">
        <v>2</v>
      </c>
      <c r="S45">
        <v>2736.75</v>
      </c>
      <c r="T45">
        <v>2756</v>
      </c>
      <c r="U45">
        <v>2756</v>
      </c>
      <c r="V45">
        <v>2736.75</v>
      </c>
      <c r="W45" s="81">
        <f t="shared" si="3"/>
        <v>19.25</v>
      </c>
      <c r="Z45">
        <v>11</v>
      </c>
      <c r="AA45">
        <v>0</v>
      </c>
      <c r="AB45">
        <v>0</v>
      </c>
    </row>
    <row r="46" spans="2:30">
      <c r="B46" s="2">
        <v>41948</v>
      </c>
      <c r="C46">
        <v>2736.75</v>
      </c>
      <c r="D46">
        <v>2751.75</v>
      </c>
      <c r="E46" s="9">
        <v>0.37361111111111112</v>
      </c>
      <c r="F46">
        <v>2736.75</v>
      </c>
      <c r="G46" s="9">
        <v>0.35416666666666669</v>
      </c>
      <c r="H46" s="46">
        <v>2747.25</v>
      </c>
      <c r="I46" s="5">
        <v>354715</v>
      </c>
      <c r="J46" t="s">
        <v>200</v>
      </c>
      <c r="L46" t="s">
        <v>201</v>
      </c>
      <c r="N46" t="s">
        <v>203</v>
      </c>
      <c r="P46" t="s">
        <v>202</v>
      </c>
      <c r="Q46">
        <v>0</v>
      </c>
      <c r="S46">
        <v>2727.5</v>
      </c>
      <c r="T46">
        <v>2740.25</v>
      </c>
      <c r="U46">
        <v>2743.75</v>
      </c>
      <c r="V46">
        <v>2717</v>
      </c>
      <c r="W46" s="81">
        <f t="shared" si="3"/>
        <v>26.75</v>
      </c>
      <c r="Z46">
        <v>10</v>
      </c>
      <c r="AA46">
        <v>-12.5</v>
      </c>
      <c r="AB46">
        <v>-625</v>
      </c>
    </row>
    <row r="47" spans="2:30">
      <c r="B47" s="2">
        <v>41947</v>
      </c>
      <c r="C47">
        <v>2727.5</v>
      </c>
      <c r="D47">
        <v>2733.25</v>
      </c>
      <c r="E47" s="9">
        <v>0.35833333333333334</v>
      </c>
      <c r="F47">
        <v>2717</v>
      </c>
      <c r="G47" s="9">
        <v>0.39097222222222222</v>
      </c>
      <c r="H47" s="46">
        <v>2732</v>
      </c>
      <c r="I47" s="5">
        <v>377277</v>
      </c>
      <c r="J47" t="s">
        <v>185</v>
      </c>
      <c r="L47" t="s">
        <v>43</v>
      </c>
      <c r="N47" t="s">
        <v>187</v>
      </c>
      <c r="P47" t="s">
        <v>84</v>
      </c>
      <c r="Q47" t="s">
        <v>186</v>
      </c>
      <c r="S47">
        <v>2751.5</v>
      </c>
      <c r="T47">
        <v>2722.75</v>
      </c>
      <c r="U47">
        <v>2756.5</v>
      </c>
      <c r="V47">
        <v>2699.5</v>
      </c>
      <c r="W47" s="81">
        <f t="shared" si="3"/>
        <v>57</v>
      </c>
      <c r="Z47">
        <v>2</v>
      </c>
      <c r="AA47">
        <v>10.25</v>
      </c>
      <c r="AB47">
        <v>512.5</v>
      </c>
    </row>
    <row r="48" spans="2:30">
      <c r="B48" s="2">
        <v>41944</v>
      </c>
      <c r="C48">
        <v>2751.5</v>
      </c>
      <c r="D48">
        <v>2756.5</v>
      </c>
      <c r="E48" s="9">
        <v>0.36388888888888887</v>
      </c>
      <c r="F48">
        <v>2721.75</v>
      </c>
      <c r="G48" s="9">
        <v>0.40277777777777773</v>
      </c>
      <c r="H48" s="46">
        <v>2732.5</v>
      </c>
      <c r="I48" s="5">
        <v>566727</v>
      </c>
      <c r="J48" t="s">
        <v>45</v>
      </c>
      <c r="L48" t="s">
        <v>43</v>
      </c>
      <c r="N48" t="s">
        <v>46</v>
      </c>
      <c r="P48" t="s">
        <v>47</v>
      </c>
      <c r="Q48">
        <v>2</v>
      </c>
      <c r="S48">
        <v>2706</v>
      </c>
      <c r="T48">
        <v>2738</v>
      </c>
      <c r="U48">
        <v>2741.25</v>
      </c>
      <c r="V48">
        <v>2705.5</v>
      </c>
      <c r="W48" s="81">
        <f t="shared" si="3"/>
        <v>35.75</v>
      </c>
      <c r="AB48">
        <v>-1759</v>
      </c>
      <c r="AD48" t="s">
        <v>236</v>
      </c>
    </row>
    <row r="49" spans="2:28">
      <c r="B49" s="2">
        <v>41943</v>
      </c>
      <c r="C49">
        <v>2720.5</v>
      </c>
      <c r="D49">
        <v>2732.25</v>
      </c>
      <c r="E49" s="9">
        <v>0.41666666666666669</v>
      </c>
      <c r="F49">
        <v>2707.75</v>
      </c>
      <c r="G49" s="9">
        <v>0.38055555555555554</v>
      </c>
      <c r="H49" s="46">
        <v>2730.25</v>
      </c>
      <c r="I49" s="5">
        <v>567516</v>
      </c>
      <c r="J49" t="s">
        <v>48</v>
      </c>
      <c r="L49" t="s">
        <v>72</v>
      </c>
      <c r="N49" t="s">
        <v>237</v>
      </c>
      <c r="P49" t="s">
        <v>71</v>
      </c>
      <c r="Q49">
        <v>6</v>
      </c>
      <c r="S49">
        <v>2710.5</v>
      </c>
      <c r="T49">
        <v>2709.75</v>
      </c>
      <c r="U49">
        <v>2736.5</v>
      </c>
      <c r="V49">
        <v>2704.75</v>
      </c>
      <c r="W49" s="81">
        <f t="shared" si="3"/>
        <v>53</v>
      </c>
      <c r="AB49">
        <v>-391</v>
      </c>
    </row>
    <row r="50" spans="2:28">
      <c r="B50" s="2">
        <v>41942</v>
      </c>
      <c r="C50">
        <v>2711.75</v>
      </c>
      <c r="D50">
        <v>2729.25</v>
      </c>
      <c r="E50" s="9">
        <v>0.39930555555555558</v>
      </c>
      <c r="F50">
        <v>2706.25</v>
      </c>
      <c r="G50" s="9">
        <v>0.3576388888888889</v>
      </c>
      <c r="H50" s="46">
        <v>2719.25</v>
      </c>
      <c r="I50" s="5">
        <v>517819</v>
      </c>
      <c r="J50" t="s">
        <v>68</v>
      </c>
      <c r="L50" t="s">
        <v>67</v>
      </c>
      <c r="N50" t="s">
        <v>298</v>
      </c>
      <c r="P50" t="s">
        <v>299</v>
      </c>
      <c r="Q50">
        <v>1</v>
      </c>
      <c r="S50">
        <v>2641.25</v>
      </c>
      <c r="T50">
        <v>2683.5</v>
      </c>
      <c r="U50">
        <v>2683.5</v>
      </c>
      <c r="V50">
        <v>2635.75</v>
      </c>
      <c r="W50" s="81">
        <f t="shared" si="3"/>
        <v>47.75</v>
      </c>
    </row>
    <row r="51" spans="2:28">
      <c r="B51" s="2">
        <v>41941</v>
      </c>
      <c r="C51">
        <v>2641.25</v>
      </c>
      <c r="D51">
        <v>2675.25</v>
      </c>
      <c r="E51" s="9">
        <v>0.37152777777777773</v>
      </c>
      <c r="F51">
        <v>2635.75</v>
      </c>
      <c r="G51" s="9">
        <v>0.35416666666666669</v>
      </c>
      <c r="H51" s="46">
        <v>2650.75</v>
      </c>
      <c r="I51" s="5">
        <v>650925</v>
      </c>
      <c r="J51" t="s">
        <v>68</v>
      </c>
      <c r="L51" t="s">
        <v>69</v>
      </c>
      <c r="N51" t="s">
        <v>300</v>
      </c>
      <c r="P51" t="s">
        <v>301</v>
      </c>
      <c r="Q51">
        <v>0</v>
      </c>
      <c r="S51">
        <v>2692.25</v>
      </c>
      <c r="T51">
        <v>2638.75</v>
      </c>
      <c r="U51">
        <v>2707</v>
      </c>
      <c r="V51">
        <v>2603</v>
      </c>
      <c r="AB51">
        <v>1211</v>
      </c>
    </row>
    <row r="52" spans="2:28">
      <c r="AB52">
        <v>-770</v>
      </c>
    </row>
    <row r="55" spans="2:28">
      <c r="AB55">
        <f>SUM(AB11:AB52)</f>
        <v>204</v>
      </c>
    </row>
  </sheetData>
  <phoneticPr fontId="23"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RowHeight="13"/>
  <sheetData/>
  <phoneticPr fontId="23" type="noConversion"/>
  <pageMargins left="0.75" right="0.75" top="1" bottom="1" header="0.5" footer="0.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B17"/>
  <sheetViews>
    <sheetView workbookViewId="0">
      <selection activeCell="A18" sqref="A18"/>
    </sheetView>
  </sheetViews>
  <sheetFormatPr baseColWidth="10" defaultRowHeight="13"/>
  <cols>
    <col min="1" max="1" width="22.42578125" customWidth="1"/>
  </cols>
  <sheetData>
    <row r="2" spans="1:2">
      <c r="A2" t="s">
        <v>174</v>
      </c>
      <c r="B2" t="s">
        <v>74</v>
      </c>
    </row>
    <row r="5" spans="1:2">
      <c r="A5" t="s">
        <v>288</v>
      </c>
      <c r="B5" t="s">
        <v>289</v>
      </c>
    </row>
    <row r="8" spans="1:2">
      <c r="A8" s="7" t="s">
        <v>140</v>
      </c>
    </row>
    <row r="9" spans="1:2">
      <c r="A9" t="s">
        <v>257</v>
      </c>
      <c r="B9" t="s">
        <v>141</v>
      </c>
    </row>
    <row r="14" spans="1:2">
      <c r="A14" t="s">
        <v>192</v>
      </c>
    </row>
    <row r="15" spans="1:2">
      <c r="A15" t="s">
        <v>193</v>
      </c>
      <c r="B15" t="s">
        <v>194</v>
      </c>
    </row>
    <row r="17" spans="1:2">
      <c r="A17" t="s">
        <v>238</v>
      </c>
      <c r="B17" t="s">
        <v>239</v>
      </c>
    </row>
  </sheetData>
  <phoneticPr fontId="23"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TradeHistory</vt:lpstr>
      <vt:lpstr>Research Points</vt:lpstr>
      <vt:lpstr>S&amp;P Stats</vt:lpstr>
      <vt:lpstr>SPHistoricalData</vt:lpstr>
      <vt:lpstr>NFLX Historical Data</vt:lpstr>
      <vt:lpstr>Definitions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Marlowe Quart</dc:creator>
  <cp:lastModifiedBy>Marlowe Quart</cp:lastModifiedBy>
  <dcterms:created xsi:type="dcterms:W3CDTF">2018-11-02T20:01:08Z</dcterms:created>
  <dcterms:modified xsi:type="dcterms:W3CDTF">2019-01-07T01:58:44Z</dcterms:modified>
</cp:coreProperties>
</file>