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ail\Downloads\"/>
    </mc:Choice>
  </mc:AlternateContent>
  <xr:revisionPtr revIDLastSave="0" documentId="13_ncr:1_{C44F527F-7587-4DF3-8668-2B645831433A}" xr6:coauthVersionLast="47" xr6:coauthVersionMax="47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aurélie" sheetId="1" r:id="rId1"/>
    <sheet name="V2" sheetId="2" r:id="rId2"/>
    <sheet name="Détails dev" sheetId="3" r:id="rId3"/>
    <sheet name="Calendrier" sheetId="4" r:id="rId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3" l="1"/>
  <c r="E38" i="3"/>
  <c r="E37" i="3"/>
  <c r="L2" i="3"/>
  <c r="E21" i="3" s="1"/>
  <c r="L3" i="3"/>
  <c r="E23" i="3"/>
  <c r="E22" i="3"/>
  <c r="E2" i="3"/>
  <c r="D2" i="3" s="1"/>
  <c r="E3" i="3"/>
  <c r="D3" i="3" s="1"/>
  <c r="E4" i="3"/>
  <c r="S2" i="3"/>
  <c r="U2" i="3" s="1"/>
  <c r="D37" i="3"/>
  <c r="K2" i="3"/>
  <c r="M2" i="3" s="1"/>
  <c r="K3" i="3"/>
  <c r="C21" i="3"/>
  <c r="D21" i="3"/>
  <c r="D4" i="3"/>
  <c r="C23" i="3"/>
  <c r="C22" i="3"/>
  <c r="G3" i="4"/>
  <c r="G4" i="4"/>
  <c r="G5" i="4"/>
  <c r="G6" i="4"/>
  <c r="G7" i="4"/>
  <c r="G8" i="4"/>
  <c r="G9" i="4"/>
  <c r="C3" i="4"/>
  <c r="C4" i="4"/>
  <c r="C5" i="4"/>
  <c r="C6" i="4"/>
  <c r="C7" i="4"/>
  <c r="C8" i="4"/>
  <c r="C9" i="4"/>
  <c r="G2" i="4"/>
  <c r="C2" i="4"/>
  <c r="B22" i="3"/>
  <c r="B23" i="3"/>
  <c r="B21" i="3"/>
  <c r="F2" i="2"/>
  <c r="I2" i="2" s="1"/>
  <c r="F3" i="2"/>
  <c r="I3" i="2" s="1"/>
  <c r="F4" i="2"/>
  <c r="I4" i="2" s="1"/>
  <c r="F5" i="2"/>
  <c r="I5" i="2" s="1"/>
  <c r="F6" i="2"/>
  <c r="I6" i="2" s="1"/>
  <c r="F7" i="2"/>
  <c r="I7" i="2" s="1"/>
  <c r="F8" i="2"/>
  <c r="I8" i="2" s="1"/>
  <c r="F9" i="2"/>
  <c r="I9" i="2" s="1"/>
  <c r="F10" i="2"/>
  <c r="I10" i="2" s="1"/>
  <c r="F11" i="2"/>
  <c r="I11" i="2" s="1"/>
  <c r="F12" i="2"/>
  <c r="E2" i="2"/>
  <c r="E3" i="2"/>
  <c r="E4" i="2"/>
  <c r="E5" i="2"/>
  <c r="E6" i="2"/>
  <c r="E7" i="2"/>
  <c r="E8" i="2"/>
  <c r="E9" i="2"/>
  <c r="E10" i="2"/>
  <c r="E11" i="2"/>
  <c r="E12" i="2"/>
  <c r="D23" i="3" l="1"/>
  <c r="M3" i="3"/>
  <c r="D22" i="3"/>
  <c r="F4" i="3"/>
  <c r="F2" i="3"/>
  <c r="F3" i="3"/>
  <c r="C38" i="3"/>
  <c r="B38" i="3"/>
  <c r="H2" i="2"/>
  <c r="I12" i="2"/>
  <c r="H12" i="2"/>
  <c r="D38" i="3" l="1"/>
</calcChain>
</file>

<file path=xl/sharedStrings.xml><?xml version="1.0" encoding="utf-8"?>
<sst xmlns="http://schemas.openxmlformats.org/spreadsheetml/2006/main" count="131" uniqueCount="97">
  <si>
    <t>Tâches / fonctionnalités</t>
  </si>
  <si>
    <t>Date</t>
  </si>
  <si>
    <t>Mathieu</t>
  </si>
  <si>
    <t>Aurélie</t>
  </si>
  <si>
    <t>Adrien</t>
  </si>
  <si>
    <t>Conception Fonctionnelle</t>
  </si>
  <si>
    <t>10 jrs + validation</t>
  </si>
  <si>
    <t>0,5j/ semaine</t>
  </si>
  <si>
    <t>2j / mois</t>
  </si>
  <si>
    <t>4j/ semaine</t>
  </si>
  <si>
    <t>16j / mois</t>
  </si>
  <si>
    <t>4j / semaine</t>
  </si>
  <si>
    <t>Diagrammes de parcours</t>
  </si>
  <si>
    <t>6 jours</t>
  </si>
  <si>
    <t>Backlog</t>
  </si>
  <si>
    <t>10 jours (2 jours avec Adrien 02/11 - 03/11 + semaine en autonomie du 13/11 - 17/11 + passation et données 20/11 - 22/11)</t>
  </si>
  <si>
    <t>4 jours (2 jours avec Aurélie 02/11-03/11 + passation et diagrammes données 20/11 - 22/11)</t>
  </si>
  <si>
    <t>Wireframes + Maquettes</t>
  </si>
  <si>
    <t>Diagrammes de classes</t>
  </si>
  <si>
    <t>2 jours</t>
  </si>
  <si>
    <t>MCD / MLD / MPD</t>
  </si>
  <si>
    <t>Cahier des charges</t>
  </si>
  <si>
    <t>Configuration environnement</t>
  </si>
  <si>
    <t>1 journée</t>
  </si>
  <si>
    <t>Git / GitLab / React / Java-PHP / MySQL</t>
  </si>
  <si>
    <t>1  jour</t>
  </si>
  <si>
    <t>Prise en main technos</t>
  </si>
  <si>
    <t>Adrien &amp; Aurélie : novices React / Aurélie : ne connaît pas Java / Aurélie : novice dev</t>
  </si>
  <si>
    <t>Développement MVP</t>
  </si>
  <si>
    <t>Authentification</t>
  </si>
  <si>
    <t>Mise en place BDD</t>
  </si>
  <si>
    <t>1 jour</t>
  </si>
  <si>
    <t>Répondre à un questionnaire</t>
  </si>
  <si>
    <t>Page d'explication du questionnaire</t>
  </si>
  <si>
    <t>1/2 journée</t>
  </si>
  <si>
    <t>Affichage des questions 1 à 1</t>
  </si>
  <si>
    <t>Réponse par OUI ou NON</t>
  </si>
  <si>
    <t>Coloration des réponses en fonction du choix</t>
  </si>
  <si>
    <t>Afficher question suivante / précédante</t>
  </si>
  <si>
    <t>Consultation du graphique global</t>
  </si>
  <si>
    <t>Test / recette</t>
  </si>
  <si>
    <t>5 jours</t>
  </si>
  <si>
    <t>Déploiement Factory</t>
  </si>
  <si>
    <t>v1 opérationnelle</t>
  </si>
  <si>
    <t>Action</t>
  </si>
  <si>
    <t>Date de début</t>
  </si>
  <si>
    <t>Date de fin</t>
  </si>
  <si>
    <t>Date Réelle de fin</t>
  </si>
  <si>
    <t>Durée (jours calendaires)</t>
  </si>
  <si>
    <t>Durée (jours ouvrables)</t>
  </si>
  <si>
    <t>Assignation (Personnes impliquées)</t>
  </si>
  <si>
    <t>Disponibilités Adrien (jours ouvrables)</t>
  </si>
  <si>
    <t>Disponibilités Aurélie (jours ouvrables)</t>
  </si>
  <si>
    <t>Livraison</t>
  </si>
  <si>
    <t>Tous</t>
  </si>
  <si>
    <t>Recette - corrections</t>
  </si>
  <si>
    <t>Adrien, Aurélie</t>
  </si>
  <si>
    <t>Recette</t>
  </si>
  <si>
    <t>Développement - Front</t>
  </si>
  <si>
    <t>Développement - Back</t>
  </si>
  <si>
    <t>Installation environnements</t>
  </si>
  <si>
    <t>Conception affinage</t>
  </si>
  <si>
    <t>Arbitrage conception MVP</t>
  </si>
  <si>
    <t>100% Autres</t>
  </si>
  <si>
    <t>Conception Technique</t>
  </si>
  <si>
    <t>Lancement projet</t>
  </si>
  <si>
    <t>/</t>
  </si>
  <si>
    <t>Notes:</t>
  </si>
  <si>
    <t>Les disponibilités doivent représenter les jours attribués à ce projet et pas les jours de présence en entreprise</t>
  </si>
  <si>
    <t>Estimations à refaire</t>
  </si>
  <si>
    <t>Charge consommée</t>
  </si>
  <si>
    <t>TOTAL</t>
  </si>
  <si>
    <t>Charge estimée</t>
  </si>
  <si>
    <t>% effectué</t>
  </si>
  <si>
    <t>Reste à faire</t>
  </si>
  <si>
    <t>Front</t>
  </si>
  <si>
    <t>Back</t>
  </si>
  <si>
    <t>RECETTE</t>
  </si>
  <si>
    <t>Phase de recette</t>
  </si>
  <si>
    <t>Semaine (Adrien)</t>
  </si>
  <si>
    <t>Jours</t>
  </si>
  <si>
    <t>% de disponibilité dans la semaine</t>
  </si>
  <si>
    <t>Semaine (Aurélie)</t>
  </si>
  <si>
    <t>Charge totale estimée</t>
  </si>
  <si>
    <t>% total effectué</t>
  </si>
  <si>
    <t>Reste à faire total</t>
  </si>
  <si>
    <t>Reste à faire cumulé</t>
  </si>
  <si>
    <t>Charge terminée</t>
  </si>
  <si>
    <t>Mise en place environnement de développement après choix des technologies</t>
  </si>
  <si>
    <t>MOTEUR DE JEU</t>
  </si>
  <si>
    <t>LOGIQUE DE JEU</t>
  </si>
  <si>
    <t>Créer les entités (Plateforme, Balle, Brique, …)</t>
  </si>
  <si>
    <t>Estimation de départ: 29/01/2024</t>
  </si>
  <si>
    <t>Dernière mise à jour: 29/01/2024</t>
  </si>
  <si>
    <t>Créer la logique de collisions</t>
  </si>
  <si>
    <t>Créer la logique de déplacements</t>
  </si>
  <si>
    <t>Créer le système de contrôles pour déclencher les actions de la logique de jeu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</si>
</sst>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C]dd\-mmm\-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sz val="8"/>
      <name val="Calibri"/>
      <family val="2"/>
      <scheme val="minor"/>
    </font>
    <font>
      <sz val="11"/>
      <color theme="1"/>
      <name val="Calibri"/>
      <charset val="1"/>
    </font>
    <font>
      <sz val="11"/>
      <color theme="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ck">
        <color theme="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left" indent="3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center" wrapText="1"/>
    </xf>
    <xf numFmtId="1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" fontId="0" fillId="0" borderId="0" xfId="0" applyNumberFormat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10" fontId="0" fillId="0" borderId="14" xfId="0" applyNumberForma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0" fontId="6" fillId="0" borderId="0" xfId="0" applyNumberFormat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6" fontId="0" fillId="0" borderId="0" xfId="0" applyNumberFormat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92">
    <dxf>
      <font>
        <color theme="9" tint="0.59996337778862885"/>
      </font>
      <fill>
        <patternFill>
          <bgColor rgb="FF008000"/>
        </patternFill>
      </fill>
    </dxf>
    <dxf>
      <font>
        <color theme="5" tint="0.59996337778862885"/>
      </font>
      <fill>
        <patternFill>
          <bgColor theme="5"/>
        </patternFill>
      </fill>
    </dxf>
    <dxf>
      <font>
        <color rgb="FFFF0000"/>
      </font>
      <fill>
        <patternFill>
          <bgColor rgb="FF960000"/>
        </patternFill>
      </fill>
    </dxf>
    <dxf>
      <font>
        <color theme="9" tint="0.59996337778862885"/>
      </font>
      <fill>
        <patternFill>
          <bgColor rgb="FF008000"/>
        </patternFill>
      </fill>
    </dxf>
    <dxf>
      <font>
        <color theme="5" tint="0.59996337778862885"/>
      </font>
      <fill>
        <patternFill>
          <bgColor theme="5"/>
        </patternFill>
      </fill>
    </dxf>
    <dxf>
      <font>
        <color rgb="FFFF0000"/>
      </font>
      <fill>
        <patternFill>
          <bgColor rgb="FF960000"/>
        </patternFill>
      </fill>
    </dxf>
    <dxf>
      <font>
        <color theme="5" tint="0.59996337778862885"/>
      </font>
      <fill>
        <patternFill>
          <bgColor theme="5"/>
        </patternFill>
      </fill>
    </dxf>
    <dxf>
      <font>
        <color theme="9" tint="0.59996337778862885"/>
      </font>
      <fill>
        <patternFill>
          <bgColor rgb="FF008000"/>
        </patternFill>
      </fill>
    </dxf>
    <dxf>
      <font>
        <color rgb="FFFF0000"/>
      </font>
      <fill>
        <patternFill>
          <bgColor rgb="FF960000"/>
        </patternFill>
      </fill>
    </dxf>
    <dxf>
      <font>
        <color theme="9" tint="0.59996337778862885"/>
      </font>
      <fill>
        <patternFill>
          <bgColor rgb="FF008000"/>
        </patternFill>
      </fill>
    </dxf>
    <dxf>
      <font>
        <color rgb="FFFF0000"/>
      </font>
      <fill>
        <patternFill>
          <bgColor rgb="FF960000"/>
        </patternFill>
      </fill>
    </dxf>
    <dxf>
      <font>
        <color theme="7" tint="0.59996337778862885"/>
      </font>
      <fill>
        <patternFill>
          <bgColor theme="5"/>
        </patternFill>
      </fill>
    </dxf>
    <dxf>
      <font>
        <color rgb="FFFF0000"/>
      </font>
      <fill>
        <patternFill>
          <bgColor rgb="FF960000"/>
        </patternFill>
      </fill>
    </dxf>
    <dxf>
      <font>
        <color theme="9" tint="0.59996337778862885"/>
      </font>
      <fill>
        <patternFill>
          <bgColor rgb="FF008000"/>
        </patternFill>
      </fill>
    </dxf>
    <dxf>
      <font>
        <color theme="9" tint="0.59996337778862885"/>
      </font>
      <fill>
        <patternFill>
          <bgColor rgb="FF008000"/>
        </patternFill>
      </fill>
    </dxf>
    <dxf>
      <font>
        <color theme="5" tint="0.59996337778862885"/>
      </font>
      <fill>
        <patternFill>
          <bgColor theme="5"/>
        </patternFill>
      </fill>
    </dxf>
    <dxf>
      <font>
        <color rgb="FFFF0000"/>
      </font>
      <fill>
        <patternFill>
          <bgColor rgb="FF960000"/>
        </patternFill>
      </fill>
    </dxf>
    <dxf>
      <font>
        <color theme="9" tint="0.59996337778862885"/>
      </font>
      <fill>
        <patternFill>
          <bgColor rgb="FF008000"/>
        </patternFill>
      </fill>
    </dxf>
    <dxf>
      <font>
        <color theme="5" tint="0.59996337778862885"/>
      </font>
      <fill>
        <patternFill>
          <bgColor theme="5"/>
        </patternFill>
      </fill>
    </dxf>
    <dxf>
      <font>
        <color rgb="FFFF0000"/>
      </font>
      <fill>
        <patternFill>
          <bgColor rgb="FF960000"/>
        </patternFill>
      </fill>
    </dxf>
    <dxf>
      <font>
        <color theme="5" tint="0.59996337778862885"/>
      </font>
      <fill>
        <patternFill>
          <bgColor theme="5"/>
        </patternFill>
      </fill>
    </dxf>
    <dxf>
      <font>
        <color theme="9" tint="0.59996337778862885"/>
      </font>
      <fill>
        <patternFill>
          <bgColor rgb="FF008000"/>
        </patternFill>
      </fill>
    </dxf>
    <dxf>
      <font>
        <color rgb="FFFF0000"/>
      </font>
      <fill>
        <patternFill>
          <bgColor rgb="FF960000"/>
        </patternFill>
      </fill>
    </dxf>
    <dxf>
      <numFmt numFmtId="14" formatCode="0.00%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1" formatCode="dd\-mmm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1" formatCode="dd\-mmm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"/>
        <scheme val="none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"/>
        <scheme val="none"/>
      </font>
    </dxf>
    <dxf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"/>
        <scheme val="none"/>
      </font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"/>
        <scheme val="none"/>
      </font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14" formatCode="0.00%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dd/mm/yyyy"/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4" formatCode="0.00%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numFmt numFmtId="14" formatCode="0.00%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/>
        </top>
        <bottom style="thin">
          <color theme="0"/>
        </bottom>
      </border>
    </dxf>
    <dxf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/>
        </top>
        <bottom style="thin">
          <color theme="0"/>
        </bottom>
      </border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4" formatCode="0.00%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numFmt numFmtId="14" formatCode="0.00%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rgb="FF2F75B5"/>
          <bgColor rgb="FF2F75B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0" formatCode="General"/>
      <fill>
        <patternFill patternType="solid">
          <fgColor rgb="FF2F75B5"/>
          <bgColor rgb="FF2F75B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rgb="FF2F75B5"/>
          <bgColor rgb="FF2F75B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0" formatCode="General"/>
      <fill>
        <patternFill patternType="solid">
          <fgColor rgb="FF2F75B5"/>
          <bgColor rgb="FF2F75B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0" formatCode="General"/>
      <fill>
        <patternFill patternType="solid">
          <fgColor rgb="FF2F75B5"/>
          <bgColor rgb="FF2F75B5"/>
        </patternFill>
      </fill>
      <alignment horizontal="center" vertical="center" textRotation="0" wrapText="1" indent="0" justifyLastLine="0" shrinkToFit="0" readingOrder="0"/>
    </dxf>
    <dxf>
      <numFmt numFmtId="164" formatCode="[$-40C]dd\-mmm\-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4" formatCode="[$-40C]dd\-mmm\-yy;@"/>
      <fill>
        <patternFill patternType="solid">
          <fgColor rgb="FF2F75B5"/>
          <bgColor rgb="FF2F75B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4" formatCode="[$-40C]dd\-mmm\-yy;@"/>
      <fill>
        <patternFill patternType="solid">
          <fgColor rgb="FF2F75B5"/>
          <bgColor rgb="FF2F75B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rgb="FF2F75B5"/>
          <bgColor rgb="FF2F75B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rgb="FF2F75B5"/>
          <bgColor rgb="FF2F75B5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Medium9">
    <tableStyle name="Style de tableau 1" pivot="0" count="0" xr9:uid="{2019A9C2-EDEC-40EB-87FB-7702216DBB30}"/>
  </tableStyles>
  <colors>
    <mruColors>
      <color rgb="FF960000"/>
      <color rgb="FF008000"/>
      <color rgb="FF009600"/>
      <color rgb="FFC49500"/>
      <color rgb="FFA80000"/>
      <color rgb="FF00A2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Diagramme de GANTT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'V2'!$B$1</c:f>
              <c:strCache>
                <c:ptCount val="1"/>
                <c:pt idx="0">
                  <c:v>Date de début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'V2'!$B$2:$B$12</c:f>
              <c:numCache>
                <c:formatCode>[$-40C]dd\-mmm\-yy;@</c:formatCode>
                <c:ptCount val="11"/>
                <c:pt idx="0">
                  <c:v>45289</c:v>
                </c:pt>
                <c:pt idx="1">
                  <c:v>45282</c:v>
                </c:pt>
                <c:pt idx="2">
                  <c:v>45278</c:v>
                </c:pt>
                <c:pt idx="3">
                  <c:v>45260</c:v>
                </c:pt>
                <c:pt idx="4">
                  <c:v>45260</c:v>
                </c:pt>
                <c:pt idx="5">
                  <c:v>45259</c:v>
                </c:pt>
                <c:pt idx="6">
                  <c:v>45258</c:v>
                </c:pt>
                <c:pt idx="7">
                  <c:v>45257</c:v>
                </c:pt>
                <c:pt idx="8">
                  <c:v>45230</c:v>
                </c:pt>
                <c:pt idx="9">
                  <c:v>45230</c:v>
                </c:pt>
                <c:pt idx="10">
                  <c:v>45230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D8-4E34-844F-36FF400A02AA}"/>
            </c:ext>
          </c:extLst>
        </c:ser>
        <c:ser>
          <c:idx val="0"/>
          <c:order val="1"/>
          <c:tx>
            <c:strRef>
              <c:f>'V2'!$E$1</c:f>
              <c:strCache>
                <c:ptCount val="1"/>
                <c:pt idx="0">
                  <c:v>Durée (jours calendaires)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A3EDBCF-0F5A-447D-BCA2-D0FB78827055}" type="CELLRANGE">
                      <a:rPr lang="fr-FR"/>
                      <a:pPr/>
                      <a:t>[PLAGECELL]</a:t>
                    </a:fld>
                    <a:r>
                      <a:rPr lang="fr-FR" baseline="0"/>
                      <a:t>/</a:t>
                    </a:r>
                    <a:fld id="{2E5C2D9B-E0B3-46E8-A040-E7611A9A9B3F}" type="VALUE">
                      <a:rPr lang="fr-FR" baseline="0"/>
                      <a:pPr/>
                      <a:t>[VALEUR]</a:t>
                    </a:fld>
                    <a:endParaRPr lang="fr-F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/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8D8-4E34-844F-36FF400A02A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12E74CA-F866-4E2F-B624-CA4466B9AA4D}" type="CELLRANGE">
                      <a:rPr lang="fr-FR"/>
                      <a:pPr/>
                      <a:t>[PLAGECELL]</a:t>
                    </a:fld>
                    <a:r>
                      <a:rPr lang="fr-FR" baseline="0"/>
                      <a:t>/</a:t>
                    </a:r>
                    <a:fld id="{62E4520B-359F-4F55-B94B-F79C91E6FD10}" type="VALUE">
                      <a:rPr lang="fr-FR" baseline="0"/>
                      <a:pPr/>
                      <a:t>[VALEUR]</a:t>
                    </a:fld>
                    <a:endParaRPr lang="fr-F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/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8D8-4E34-844F-36FF400A02A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ABD6F81-BB92-4158-8AA2-689660C481BD}" type="CELLRANGE">
                      <a:rPr lang="fr-FR"/>
                      <a:pPr/>
                      <a:t>[PLAGECELL]</a:t>
                    </a:fld>
                    <a:r>
                      <a:rPr lang="fr-FR" baseline="0"/>
                      <a:t>/</a:t>
                    </a:r>
                    <a:fld id="{3F6C02FB-BC12-404D-BF04-CD234453102A}" type="VALUE">
                      <a:rPr lang="fr-FR" baseline="0"/>
                      <a:pPr/>
                      <a:t>[VALEUR]</a:t>
                    </a:fld>
                    <a:endParaRPr lang="fr-F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/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8D8-4E34-844F-36FF400A02A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1DAB1C9-F4F3-46EE-86EA-BF14D7D4C011}" type="CELLRANGE">
                      <a:rPr lang="fr-FR"/>
                      <a:pPr/>
                      <a:t>[PLAGECELL]</a:t>
                    </a:fld>
                    <a:r>
                      <a:rPr lang="fr-FR" baseline="0"/>
                      <a:t>/</a:t>
                    </a:r>
                    <a:fld id="{D5E541C0-AC82-46D3-8FCC-C4C89D3432BE}" type="VALUE">
                      <a:rPr lang="fr-FR" baseline="0"/>
                      <a:pPr/>
                      <a:t>[VALEUR]</a:t>
                    </a:fld>
                    <a:endParaRPr lang="fr-F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/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8D8-4E34-844F-36FF400A02A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24EFE9D-AA19-4DDF-ADA3-C5622DF48840}" type="CELLRANGE">
                      <a:rPr lang="fr-FR"/>
                      <a:pPr/>
                      <a:t>[PLAGECELL]</a:t>
                    </a:fld>
                    <a:r>
                      <a:rPr lang="fr-FR" baseline="0"/>
                      <a:t>/</a:t>
                    </a:r>
                    <a:fld id="{FC3FABB9-C7F1-4894-AE6D-246F7C4B28D2}" type="VALUE">
                      <a:rPr lang="fr-FR" baseline="0"/>
                      <a:pPr/>
                      <a:t>[VALEUR]</a:t>
                    </a:fld>
                    <a:endParaRPr lang="fr-F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/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8D8-4E34-844F-36FF400A02A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B9EBF5A-98C9-4A7E-BDD0-1D1C9A1E0273}" type="CELLRANGE">
                      <a:rPr lang="fr-FR"/>
                      <a:pPr/>
                      <a:t>[PLAGECELL]</a:t>
                    </a:fld>
                    <a:r>
                      <a:rPr lang="fr-FR" baseline="0"/>
                      <a:t>/</a:t>
                    </a:r>
                    <a:fld id="{FBD36B03-4D05-4D66-B402-A4BD1061B0F5}" type="VALUE">
                      <a:rPr lang="fr-FR" baseline="0"/>
                      <a:pPr/>
                      <a:t>[VALEUR]</a:t>
                    </a:fld>
                    <a:endParaRPr lang="fr-F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/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8D8-4E34-844F-36FF400A02A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6B5E29E-4B71-4714-983E-8CE6437E2AFC}" type="CELLRANGE">
                      <a:rPr lang="fr-FR"/>
                      <a:pPr/>
                      <a:t>[PLAGECELL]</a:t>
                    </a:fld>
                    <a:r>
                      <a:rPr lang="fr-FR" baseline="0"/>
                      <a:t>/</a:t>
                    </a:r>
                    <a:fld id="{89CCFC00-9F54-47C5-A873-23A126416737}" type="VALUE">
                      <a:rPr lang="fr-FR" baseline="0"/>
                      <a:pPr/>
                      <a:t>[VALEUR]</a:t>
                    </a:fld>
                    <a:endParaRPr lang="fr-F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/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8D8-4E34-844F-36FF400A02A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EF7D062-CF2F-411B-AD5C-7979D7D64A6B}" type="CELLRANGE">
                      <a:rPr lang="fr-FR"/>
                      <a:pPr/>
                      <a:t>[PLAGECELL]</a:t>
                    </a:fld>
                    <a:r>
                      <a:rPr lang="fr-FR" baseline="0"/>
                      <a:t>/</a:t>
                    </a:r>
                    <a:fld id="{3365B924-6B94-4E74-ACCF-816250C5587F}" type="VALUE">
                      <a:rPr lang="fr-FR" baseline="0"/>
                      <a:pPr/>
                      <a:t>[VALEUR]</a:t>
                    </a:fld>
                    <a:endParaRPr lang="fr-F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/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8D8-4E34-844F-36FF400A02A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FE0D772-8C53-4577-B3D6-E0F72442F925}" type="CELLRANGE">
                      <a:rPr lang="fr-FR"/>
                      <a:pPr/>
                      <a:t>[PLAGECELL]</a:t>
                    </a:fld>
                    <a:r>
                      <a:rPr lang="fr-FR" baseline="0"/>
                      <a:t>/</a:t>
                    </a:r>
                    <a:fld id="{711A5D2B-19DC-48DB-9C30-A576D3B3A41D}" type="VALUE">
                      <a:rPr lang="fr-FR" baseline="0"/>
                      <a:pPr/>
                      <a:t>[VALEUR]</a:t>
                    </a:fld>
                    <a:endParaRPr lang="fr-F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/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8D8-4E34-844F-36FF400A02A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83FBFF4-6CB3-4C41-A282-B35733DBFAE6}" type="CELLRANGE">
                      <a:rPr lang="fr-FR"/>
                      <a:pPr/>
                      <a:t>[PLAGECELL]</a:t>
                    </a:fld>
                    <a:r>
                      <a:rPr lang="fr-FR" baseline="0"/>
                      <a:t>/</a:t>
                    </a:r>
                    <a:fld id="{64278FF0-923A-4B38-AFF6-0548B14A5E73}" type="VALUE">
                      <a:rPr lang="fr-FR" baseline="0"/>
                      <a:pPr/>
                      <a:t>[VALEUR]</a:t>
                    </a:fld>
                    <a:endParaRPr lang="fr-F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/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8D8-4E34-844F-36FF400A02A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9FB633F-E5A1-4D86-B2C4-F58ECF9DD201}" type="CELLRANGE">
                      <a:rPr lang="fr-FR"/>
                      <a:pPr/>
                      <a:t>[PLAGECELL]</a:t>
                    </a:fld>
                    <a:r>
                      <a:rPr lang="fr-FR" baseline="0"/>
                      <a:t>/</a:t>
                    </a:r>
                    <a:fld id="{F81CEEFD-3BE2-4D21-B3F6-BA528DC98393}" type="VALUE">
                      <a:rPr lang="fr-FR" baseline="0"/>
                      <a:pPr/>
                      <a:t>[VALEUR]</a:t>
                    </a:fld>
                    <a:endParaRPr lang="fr-F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/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8D8-4E34-844F-36FF400A02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ln>
                      <a:noFill/>
                    </a:ln>
                    <a:solidFill>
                      <a:schemeClr val="lt1">
                        <a:lumMod val="85000"/>
                      </a:schemeClr>
                    </a:solidFill>
                    <a:effectLst>
                      <a:outerShdw blurRad="63500" sx="101000" sy="101000" algn="ctr" rotWithShape="0">
                        <a:prstClr val="black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/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'V2'!$A$2:$A$12</c:f>
              <c:strCache>
                <c:ptCount val="11"/>
                <c:pt idx="0">
                  <c:v>Livraison</c:v>
                </c:pt>
                <c:pt idx="1">
                  <c:v>Recette - corrections</c:v>
                </c:pt>
                <c:pt idx="2">
                  <c:v>Recette</c:v>
                </c:pt>
                <c:pt idx="3">
                  <c:v>Développement - Front</c:v>
                </c:pt>
                <c:pt idx="4">
                  <c:v>Développement - Back</c:v>
                </c:pt>
                <c:pt idx="5">
                  <c:v>Installation environnements</c:v>
                </c:pt>
                <c:pt idx="6">
                  <c:v>Conception affinage</c:v>
                </c:pt>
                <c:pt idx="7">
                  <c:v>Arbitrage conception MVP</c:v>
                </c:pt>
                <c:pt idx="8">
                  <c:v>Conception Technique</c:v>
                </c:pt>
                <c:pt idx="9">
                  <c:v>Conception Fonctionnelle</c:v>
                </c:pt>
                <c:pt idx="10">
                  <c:v>Lancement projet</c:v>
                </c:pt>
              </c:strCache>
            </c:strRef>
          </c:cat>
          <c:val>
            <c:numRef>
              <c:f>'V2'!$E$2:$E$12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22</c:v>
                </c:pt>
                <c:pt idx="4">
                  <c:v>22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25</c:v>
                </c:pt>
                <c:pt idx="9">
                  <c:v>23</c:v>
                </c:pt>
                <c:pt idx="1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'V2'!$F$2:$F$12</c15:f>
                <c15:dlblRangeCache>
                  <c:ptCount val="11"/>
                  <c:pt idx="0">
                    <c:v>1</c:v>
                  </c:pt>
                  <c:pt idx="1">
                    <c:v>5</c:v>
                  </c:pt>
                  <c:pt idx="2">
                    <c:v>5</c:v>
                  </c:pt>
                  <c:pt idx="3">
                    <c:v>16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1</c:v>
                  </c:pt>
                  <c:pt idx="8">
                    <c:v>19</c:v>
                  </c:pt>
                  <c:pt idx="9">
                    <c:v>17</c:v>
                  </c:pt>
                  <c:pt idx="10">
                    <c:v>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FA77-4D88-895A-7DD467189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15799560"/>
        <c:axId val="715805704"/>
      </c:barChart>
      <c:catAx>
        <c:axId val="715799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5805704"/>
        <c:crosses val="autoZero"/>
        <c:auto val="1"/>
        <c:lblAlgn val="ctr"/>
        <c:lblOffset val="100"/>
        <c:noMultiLvlLbl val="0"/>
      </c:catAx>
      <c:valAx>
        <c:axId val="715805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-40C]dd\-mmm\-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579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Progression Front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'Détails dev'!$I$1</c:f>
              <c:strCache>
                <c:ptCount val="1"/>
                <c:pt idx="0">
                  <c:v>Charge estimée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'Détails dev'!$H$2:$H$3</c:f>
              <c:strCache>
                <c:ptCount val="2"/>
                <c:pt idx="0">
                  <c:v>Créer les entités (Plateforme, Balle, Brique, …)</c:v>
                </c:pt>
                <c:pt idx="1">
                  <c:v>Créer le système de contrôles pour déclencher les actions de la logique de jeu</c:v>
                </c:pt>
              </c:strCache>
            </c:strRef>
          </c:cat>
          <c:val>
            <c:numRef>
              <c:f>'Détails dev'!$I$2:$I$3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6-444D-95BA-D5E3DAC0DAD4}"/>
            </c:ext>
          </c:extLst>
        </c:ser>
        <c:ser>
          <c:idx val="1"/>
          <c:order val="1"/>
          <c:tx>
            <c:strRef>
              <c:f>'Détails dev'!$J$1</c:f>
              <c:strCache>
                <c:ptCount val="1"/>
                <c:pt idx="0">
                  <c:v>Charge terminée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'Détails dev'!$H$2:$H$3</c:f>
              <c:strCache>
                <c:ptCount val="2"/>
                <c:pt idx="0">
                  <c:v>Créer les entités (Plateforme, Balle, Brique, …)</c:v>
                </c:pt>
                <c:pt idx="1">
                  <c:v>Créer le système de contrôles pour déclencher les actions de la logique de jeu</c:v>
                </c:pt>
              </c:strCache>
            </c:strRef>
          </c:cat>
          <c:val>
            <c:numRef>
              <c:f>'Détails dev'!$J$2:$J$3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E6-444D-95BA-D5E3DAC0D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39564176"/>
        <c:axId val="1965496944"/>
      </c:barChart>
      <c:catAx>
        <c:axId val="1439564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5496944"/>
        <c:crosses val="autoZero"/>
        <c:auto val="1"/>
        <c:lblAlgn val="ctr"/>
        <c:lblOffset val="100"/>
        <c:noMultiLvlLbl val="0"/>
      </c:catAx>
      <c:valAx>
        <c:axId val="196549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956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Progression Back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'Détails dev'!$B$1</c:f>
              <c:strCache>
                <c:ptCount val="1"/>
                <c:pt idx="0">
                  <c:v>Charge estimée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'Détails dev'!$A$2:$A$6</c:f>
              <c:strCache>
                <c:ptCount val="3"/>
                <c:pt idx="0">
                  <c:v>Mise en place environnement de développement après choix des technologies</c:v>
                </c:pt>
                <c:pt idx="1">
                  <c:v>Créer la logique de collisions</c:v>
                </c:pt>
                <c:pt idx="2">
                  <c:v>Créer la logique de déplacements</c:v>
                </c:pt>
              </c:strCache>
            </c:strRef>
          </c:cat>
          <c:val>
            <c:numRef>
              <c:f>'Détails dev'!$B$2:$B$6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2-45AD-9376-2A39FCFDB0BB}"/>
            </c:ext>
          </c:extLst>
        </c:ser>
        <c:ser>
          <c:idx val="1"/>
          <c:order val="1"/>
          <c:tx>
            <c:strRef>
              <c:f>'Détails dev'!$C$1</c:f>
              <c:strCache>
                <c:ptCount val="1"/>
                <c:pt idx="0">
                  <c:v>Charge terminée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'Détails dev'!$A$2:$A$6</c:f>
              <c:strCache>
                <c:ptCount val="3"/>
                <c:pt idx="0">
                  <c:v>Mise en place environnement de développement après choix des technologies</c:v>
                </c:pt>
                <c:pt idx="1">
                  <c:v>Créer la logique de collisions</c:v>
                </c:pt>
                <c:pt idx="2">
                  <c:v>Créer la logique de déplacements</c:v>
                </c:pt>
              </c:strCache>
            </c:strRef>
          </c:cat>
          <c:val>
            <c:numRef>
              <c:f>'Détails dev'!$C$2:$C$6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02-45AD-9376-2A39FCFDB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06031520"/>
        <c:axId val="1775911840"/>
      </c:barChart>
      <c:catAx>
        <c:axId val="1106031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5911840"/>
        <c:crosses val="autoZero"/>
        <c:auto val="1"/>
        <c:lblAlgn val="ctr"/>
        <c:lblOffset val="100"/>
        <c:noMultiLvlLbl val="0"/>
      </c:catAx>
      <c:valAx>
        <c:axId val="177591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603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'Détails dev'!$P$2</c:f>
              <c:strCache>
                <c:ptCount val="1"/>
                <c:pt idx="0">
                  <c:v>Phase de recette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'Détails dev'!$Q$1:$R$1</c:f>
              <c:strCache>
                <c:ptCount val="2"/>
                <c:pt idx="0">
                  <c:v>Charge estimée</c:v>
                </c:pt>
                <c:pt idx="1">
                  <c:v>Charge consommée</c:v>
                </c:pt>
              </c:strCache>
            </c:strRef>
          </c:cat>
          <c:val>
            <c:numRef>
              <c:f>'Détails dev'!$Q$2:$R$2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5-47CA-A7B6-8BB93517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842538560"/>
        <c:axId val="1841059264"/>
      </c:barChart>
      <c:catAx>
        <c:axId val="1842538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1059264"/>
        <c:crosses val="autoZero"/>
        <c:auto val="1"/>
        <c:lblAlgn val="ctr"/>
        <c:lblOffset val="100"/>
        <c:noMultiLvlLbl val="0"/>
      </c:catAx>
      <c:valAx>
        <c:axId val="184105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253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Progression par phase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'Détails dev'!$B$20</c:f>
              <c:strCache>
                <c:ptCount val="1"/>
                <c:pt idx="0">
                  <c:v>Charge estimée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'Détails dev'!$A$21:$A$23</c:f>
              <c:strCache>
                <c:ptCount val="3"/>
                <c:pt idx="0">
                  <c:v>Front</c:v>
                </c:pt>
                <c:pt idx="1">
                  <c:v>Back</c:v>
                </c:pt>
                <c:pt idx="2">
                  <c:v>Recette</c:v>
                </c:pt>
              </c:strCache>
            </c:strRef>
          </c:cat>
          <c:val>
            <c:numRef>
              <c:f>'Détails dev'!$B$21:$B$23</c:f>
              <c:numCache>
                <c:formatCode>General</c:formatCode>
                <c:ptCount val="3"/>
                <c:pt idx="0">
                  <c:v>5</c:v>
                </c:pt>
                <c:pt idx="1">
                  <c:v>7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5-4516-BE19-88DD3AC2B47C}"/>
            </c:ext>
          </c:extLst>
        </c:ser>
        <c:ser>
          <c:idx val="1"/>
          <c:order val="1"/>
          <c:tx>
            <c:strRef>
              <c:f>'Détails dev'!$C$20</c:f>
              <c:strCache>
                <c:ptCount val="1"/>
                <c:pt idx="0">
                  <c:v>Charge terminée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'Détails dev'!$A$21:$A$23</c:f>
              <c:strCache>
                <c:ptCount val="3"/>
                <c:pt idx="0">
                  <c:v>Front</c:v>
                </c:pt>
                <c:pt idx="1">
                  <c:v>Back</c:v>
                </c:pt>
                <c:pt idx="2">
                  <c:v>Recette</c:v>
                </c:pt>
              </c:strCache>
            </c:strRef>
          </c:cat>
          <c:val>
            <c:numRef>
              <c:f>'Détails dev'!$C$21:$C$23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45-4516-BE19-88DD3AC2B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58266576"/>
        <c:axId val="1842497856"/>
      </c:barChart>
      <c:catAx>
        <c:axId val="195826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2497856"/>
        <c:crosses val="autoZero"/>
        <c:auto val="1"/>
        <c:lblAlgn val="ctr"/>
        <c:lblOffset val="100"/>
        <c:noMultiLvlLbl val="0"/>
      </c:catAx>
      <c:valAx>
        <c:axId val="184249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826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Progession totale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'Détails dev'!$B$36</c:f>
              <c:strCache>
                <c:ptCount val="1"/>
                <c:pt idx="0">
                  <c:v>Charge totale estimée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'Détails dev'!$A$37:$A$38</c:f>
              <c:strCache>
                <c:ptCount val="2"/>
                <c:pt idx="0">
                  <c:v>Estimation de départ: 29/01/2024</c:v>
                </c:pt>
                <c:pt idx="1">
                  <c:v>Dernière mise à jour: 29/01/2024</c:v>
                </c:pt>
              </c:strCache>
            </c:strRef>
          </c:cat>
          <c:val>
            <c:numRef>
              <c:f>'Détails dev'!$B$37:$B$38</c:f>
              <c:numCache>
                <c:formatCode>General</c:formatCode>
                <c:ptCount val="2"/>
                <c:pt idx="0">
                  <c:v>17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4-4422-B72A-445973830FEE}"/>
            </c:ext>
          </c:extLst>
        </c:ser>
        <c:ser>
          <c:idx val="1"/>
          <c:order val="1"/>
          <c:tx>
            <c:strRef>
              <c:f>'Détails dev'!$C$36</c:f>
              <c:strCache>
                <c:ptCount val="1"/>
                <c:pt idx="0">
                  <c:v>Charge terminée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'Détails dev'!$A$37:$A$38</c:f>
              <c:strCache>
                <c:ptCount val="2"/>
                <c:pt idx="0">
                  <c:v>Estimation de départ: 29/01/2024</c:v>
                </c:pt>
                <c:pt idx="1">
                  <c:v>Dernière mise à jour: 29/01/2024</c:v>
                </c:pt>
              </c:strCache>
            </c:strRef>
          </c:cat>
          <c:val>
            <c:numRef>
              <c:f>'Détails dev'!$C$37:$C$38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4-4422-B72A-445973830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72447760"/>
        <c:axId val="1965490000"/>
      </c:barChart>
      <c:catAx>
        <c:axId val="19724477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5490000"/>
        <c:crosses val="autoZero"/>
        <c:auto val="1"/>
        <c:lblAlgn val="ctr"/>
        <c:lblOffset val="100"/>
        <c:noMultiLvlLbl val="1"/>
      </c:catAx>
      <c:valAx>
        <c:axId val="196549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244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302560</xdr:colOff>
      <xdr:row>13</xdr:row>
      <xdr:rowOff>44087</xdr:rowOff>
    </xdr:from>
    <xdr:to>
      <xdr:col>9</xdr:col>
      <xdr:colOff>15017</xdr:colOff>
      <xdr:row>37</xdr:row>
      <xdr:rowOff>78441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EA51D7C-BDE5-9925-6E25-FE6CAE736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101930</xdr:colOff>
      <xdr:row>4</xdr:row>
      <xdr:rowOff>70269</xdr:rowOff>
    </xdr:from>
    <xdr:to>
      <xdr:col>12</xdr:col>
      <xdr:colOff>872836</xdr:colOff>
      <xdr:row>19</xdr:row>
      <xdr:rowOff>78928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EC533C5-8808-9D52-0F5B-EA74237E2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83127</xdr:colOff>
      <xdr:row>5</xdr:row>
      <xdr:rowOff>49381</xdr:rowOff>
    </xdr:from>
    <xdr:to>
      <xdr:col>5</xdr:col>
      <xdr:colOff>872835</xdr:colOff>
      <xdr:row>17</xdr:row>
      <xdr:rowOff>167986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648AF4E-7C76-1D87-99CC-9CD41AA0A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374072</xdr:colOff>
      <xdr:row>4</xdr:row>
      <xdr:rowOff>15584</xdr:rowOff>
    </xdr:from>
    <xdr:to>
      <xdr:col>21</xdr:col>
      <xdr:colOff>0</xdr:colOff>
      <xdr:row>10</xdr:row>
      <xdr:rowOff>190498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84AF68D-66B7-AC91-3618-8679F57BB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83128</xdr:colOff>
      <xdr:row>23</xdr:row>
      <xdr:rowOff>79663</xdr:rowOff>
    </xdr:from>
    <xdr:to>
      <xdr:col>4</xdr:col>
      <xdr:colOff>845128</xdr:colOff>
      <xdr:row>33</xdr:row>
      <xdr:rowOff>173181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A04512A-B0F6-2557-DBE6-7CF3CFCF6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83128</xdr:colOff>
      <xdr:row>38</xdr:row>
      <xdr:rowOff>76202</xdr:rowOff>
    </xdr:from>
    <xdr:to>
      <xdr:col>4</xdr:col>
      <xdr:colOff>955964</xdr:colOff>
      <xdr:row>53</xdr:row>
      <xdr:rowOff>117765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892EAB2-4B5E-A5E2-A757-9802C3F8F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161133-4098-4A00-885C-8F47C892B515}" name="Tableau1" displayName="Tableau1" ref="A1:I12" totalsRowShown="0" headerRowDxfId="91" dataDxfId="90">
  <autoFilter ref="A1:I12" xr:uid="{3D161133-4098-4A00-885C-8F47C892B515}"/>
  <tableColumns count="9">
    <tableColumn id="1" xr3:uid="{B0173B6C-3891-4848-A400-123903404627}" name="Action" dataDxfId="89"/>
    <tableColumn id="2" xr3:uid="{A5BBFD5F-2E2F-4341-AB08-C5C5B9EB895F}" name="Date de début" dataDxfId="88"/>
    <tableColumn id="3" xr3:uid="{921D5FB2-E15F-40B6-AA12-1D18A35054BC}" name="Date de fin" dataDxfId="87"/>
    <tableColumn id="9" xr3:uid="{9B15491A-0702-4BD1-9CE9-0338E2242382}" name="Date Réelle de fin" dataDxfId="86"/>
    <tableColumn id="4" xr3:uid="{361B656C-E905-4FC3-9712-F304DD821FA7}" name="Durée (jours calendaires)" dataDxfId="85">
      <calculatedColumnFormula>DATEDIF(B2,C2, "D")+1</calculatedColumnFormula>
    </tableColumn>
    <tableColumn id="5" xr3:uid="{2AA97834-5DAC-40EF-9C5A-04BF45EF6187}" name="Durée (jours ouvrables)" dataDxfId="84">
      <calculatedColumnFormula>NETWORKDAYS(B2, C2, "0000011")</calculatedColumnFormula>
    </tableColumn>
    <tableColumn id="6" xr3:uid="{EC902F6F-9CA9-4753-B224-D260E52C0A7A}" name="Assignation (Personnes impliquées)" dataDxfId="83"/>
    <tableColumn id="7" xr3:uid="{725CD740-9292-439E-8AAA-24D78DDD0E2A}" name="Disponibilités Adrien (jours ouvrables)" dataDxfId="82">
      <calculatedColumnFormula>_xlfn.CONCAT("1 (", (1/$E2)*100,"%)")</calculatedColumnFormula>
    </tableColumn>
    <tableColumn id="8" xr3:uid="{48E19A1B-4E91-4740-B94C-4096DD27D002}" name="Disponibilités Aurélie (jours ouvrables)" dataDxfId="81"/>
  </tableColumns>
  <tableStyleInfo name="TableStyleDark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5ED65FF-4FB1-4DBF-9A25-261D2D77CA12}" name="Tableau5" displayName="Tableau5" ref="P1:U2" totalsRowShown="0" headerRowDxfId="80" dataDxfId="78" headerRowBorderDxfId="79">
  <autoFilter ref="P1:U2" xr:uid="{65ED65FF-4FB1-4DBF-9A25-261D2D77CA12}"/>
  <tableColumns count="6">
    <tableColumn id="1" xr3:uid="{59373767-B69F-4F8D-93C8-E4F1BF6DF58B}" name="RECETTE" dataDxfId="77"/>
    <tableColumn id="2" xr3:uid="{1D901CF0-70DE-45B2-B2EA-13C889F9ED0D}" name="Charge estimée" dataDxfId="76"/>
    <tableColumn id="5" xr3:uid="{0E36AE1B-A7E9-4000-83C3-F0C8E1EBEA36}" name="Charge consommée" dataDxfId="75"/>
    <tableColumn id="3" xr3:uid="{61C112A8-E925-4DAB-A002-A827126B6736}" name="Reste à faire" dataDxfId="74">
      <calculatedColumnFormula>MAX(0, $Q2-($Q2*$T2))</calculatedColumnFormula>
    </tableColumn>
    <tableColumn id="4" xr3:uid="{894BA855-C547-4574-9F58-723E1101448E}" name="% effectué" dataDxfId="73">
      <calculatedColumnFormula>MAX(0, Tableau5[[#This Row],[Charge consommée]]/Tableau5[[#This Row],[Charge estimée]])</calculatedColumnFormula>
    </tableColumn>
    <tableColumn id="6" xr3:uid="{22749237-62F7-47C8-BD1E-E2415629E03B}" name="Reste à faire cumulé" dataDxfId="72">
      <calculatedColumnFormula>MAX(0, SUM(S2:S2))</calculatedColumnFormula>
    </tableColumn>
  </tableColumns>
  <tableStyleInfo name="TableStyleDark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C89ABFB-7970-4C5B-9976-1ED105C7B178}" name="Tableau6" displayName="Tableau6" ref="A1:F4" totalsRowShown="0" headerRowDxfId="71" dataDxfId="69" headerRowBorderDxfId="70" tableBorderDxfId="68" totalsRowBorderDxfId="67">
  <autoFilter ref="A1:F4" xr:uid="{BC89ABFB-7970-4C5B-9976-1ED105C7B178}"/>
  <tableColumns count="6">
    <tableColumn id="1" xr3:uid="{E7BD900D-5948-41EF-80A8-99EEAE0CAD66}" name="MOTEUR DE JEU" dataDxfId="66"/>
    <tableColumn id="2" xr3:uid="{ABA134FB-7805-4C7F-A78E-ACAABED721FB}" name="Charge estimée" dataDxfId="65"/>
    <tableColumn id="5" xr3:uid="{5C5A402C-7C5A-452A-A8B1-7E36389329DF}" name="Charge terminée" dataDxfId="64"/>
    <tableColumn id="3" xr3:uid="{3D6841B0-0315-4016-AC0A-6CABAF6991D4}" name="Reste à faire" dataDxfId="63">
      <calculatedColumnFormula>MAX(0, $B2-($B2*$E2))</calculatedColumnFormula>
    </tableColumn>
    <tableColumn id="8" xr3:uid="{66FF3BD9-670C-4808-A3CB-67C1BEEE5088}" name="% effectué" dataDxfId="62">
      <calculatedColumnFormula>MAX(0, Tableau6[[#This Row],[Charge terminée]]/Tableau6[[#This Row],[Charge estimée]])</calculatedColumnFormula>
    </tableColumn>
    <tableColumn id="4" xr3:uid="{80DBC8F2-F055-46A5-830E-6B796D932C8E}" name="Reste à faire cumulé" dataDxfId="61">
      <calculatedColumnFormula>MAX(0, SUM($D$2:D2))</calculatedColumnFormula>
    </tableColumn>
  </tableColumns>
  <tableStyleInfo name="TableStyleDark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C7172E8-5343-4970-9751-660E612A0763}" name="Tableau55" displayName="Tableau55" ref="A20:E23" totalsRowShown="0" headerRowDxfId="60" dataDxfId="58" headerRowBorderDxfId="59">
  <autoFilter ref="A20:E23" xr:uid="{1C7172E8-5343-4970-9751-660E612A0763}"/>
  <tableColumns count="5">
    <tableColumn id="1" xr3:uid="{0E610E70-40A2-4DB7-A78B-5C5D6C7F7E8A}" name="TOTAL" dataDxfId="57"/>
    <tableColumn id="5" xr3:uid="{DEF1F96C-E85A-4483-BD42-0A008D0F903B}" name="Charge estimée" dataDxfId="56"/>
    <tableColumn id="2" xr3:uid="{1C6B83CE-0447-4E30-ACB2-363C5FCE7362}" name="Charge terminée" dataDxfId="55"/>
    <tableColumn id="3" xr3:uid="{D60510C3-F551-477B-A8A6-2C68B45F93D1}" name="Reste à faire" dataDxfId="54"/>
    <tableColumn id="4" xr3:uid="{1528109E-11A3-47CC-831F-45F9B8F11AE2}" name="% effectué" dataDxfId="53"/>
  </tableColumns>
  <tableStyleInfo name="TableStyleDark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2761362-9FFD-4802-B6D2-6A93D7D342D7}" name="Tableau8" displayName="Tableau8" ref="A36:E38" totalsRowShown="0" headerRowDxfId="52" dataDxfId="51">
  <autoFilter ref="A36:E38" xr:uid="{92761362-9FFD-4802-B6D2-6A93D7D342D7}"/>
  <tableColumns count="5">
    <tableColumn id="1" xr3:uid="{EA7C3BC2-5D3D-4C11-A6C6-A7B95857D21F}" name="Date" dataDxfId="50"/>
    <tableColumn id="2" xr3:uid="{E94C85E3-501D-459D-9C27-8561411E1E9E}" name="Charge totale estimée" dataDxfId="49"/>
    <tableColumn id="5" xr3:uid="{B326A0F6-7DE4-4A66-BC04-F5916A5DFEE3}" name="Charge terminée" dataDxfId="48">
      <calculatedColumnFormula>SUM(Tableau55[Charge terminée])</calculatedColumnFormula>
    </tableColumn>
    <tableColumn id="3" xr3:uid="{26CC19DC-C696-4EBE-B0C9-98961F32EA40}" name="Reste à faire total" dataDxfId="47"/>
    <tableColumn id="4" xr3:uid="{62B5D4C7-F97D-46F0-97B6-A6BAF39D5570}" name="% total effectué" dataDxfId="46"/>
  </tableColumns>
  <tableStyleInfo name="TableStyleDark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BB2681-3906-4C35-82F7-92BE772FE69E}" name="Tableau2" displayName="Tableau2" ref="H1:M3" totalsRowShown="0" headerRowDxfId="45" dataDxfId="44">
  <autoFilter ref="H1:M3" xr:uid="{FEBB2681-3906-4C35-82F7-92BE772FE69E}"/>
  <tableColumns count="6">
    <tableColumn id="1" xr3:uid="{F7F6C994-A690-472B-B042-8FB5A0604D9E}" name="LOGIQUE DE JEU" dataDxfId="43" totalsRowDxfId="42"/>
    <tableColumn id="3" xr3:uid="{DEE3334D-D649-42F1-85AC-6D7945A6E9DB}" name="Charge estimée" dataDxfId="41" totalsRowDxfId="40"/>
    <tableColumn id="6" xr3:uid="{2C3F4C85-0431-4832-8FAA-B90C11D7E554}" name="Charge terminée" dataDxfId="39" totalsRowDxfId="38"/>
    <tableColumn id="2" xr3:uid="{CC4B590F-737D-45F9-A73E-CFB534963C5B}" name="Reste à faire" dataDxfId="37" totalsRowDxfId="36">
      <calculatedColumnFormula>MAX(0, $I2-$J2)</calculatedColumnFormula>
    </tableColumn>
    <tableColumn id="4" xr3:uid="{E3897EDF-B39B-4441-A84E-249094F0F1B5}" name="% effectué" dataDxfId="35" totalsRowDxfId="34">
      <calculatedColumnFormula>MAX(0, Tableau2[[#This Row],[Charge terminée]]/Tableau2[[#This Row],[Charge estimée]])</calculatedColumnFormula>
    </tableColumn>
    <tableColumn id="5" xr3:uid="{B1C902EA-1D14-41C4-9B45-004BA876E369}" name="Reste à faire cumulé" dataDxfId="33">
      <calculatedColumnFormula>MAX(0, SUM($K$2:K2))</calculatedColumnFormula>
    </tableColumn>
  </tableColumns>
  <tableStyleInfo name="TableStyleDark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52357AE-FC8C-4537-AA0D-0964D8EF8770}" name="Tableau9" displayName="Tableau9" ref="E1:G9" totalsRowShown="0" headerRowDxfId="32" dataDxfId="31">
  <autoFilter ref="E1:G9" xr:uid="{452357AE-FC8C-4537-AA0D-0964D8EF8770}"/>
  <tableColumns count="3">
    <tableColumn id="1" xr3:uid="{0B4713C8-0904-4C96-8B6D-DA063B2D22A9}" name="Semaine (Aurélie)" dataDxfId="30"/>
    <tableColumn id="2" xr3:uid="{E5A09CED-1CDD-482C-AE80-B3570C6D2762}" name="Jours" dataDxfId="29"/>
    <tableColumn id="3" xr3:uid="{A50309A6-FA70-4257-B06D-8C1F1A6FA66A}" name="% de disponibilité dans la semaine" dataDxfId="28">
      <calculatedColumnFormula>F2/(NETWORKDAYS(E2, E2+6))</calculatedColumnFormula>
    </tableColumn>
  </tableColumns>
  <tableStyleInfo name="TableStyleDark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21259A9-4EF8-494B-BBE7-A30345BA10C2}" name="Tableau10" displayName="Tableau10" ref="A1:C9" totalsRowShown="0" headerRowDxfId="27" dataDxfId="26">
  <autoFilter ref="A1:C9" xr:uid="{221259A9-4EF8-494B-BBE7-A30345BA10C2}"/>
  <tableColumns count="3">
    <tableColumn id="1" xr3:uid="{E0B749FE-2CBE-4B82-AC87-6B72868D3076}" name="Semaine (Adrien)" dataDxfId="25"/>
    <tableColumn id="2" xr3:uid="{4199C683-44E7-43CB-A0EE-D33D0EAAB64F}" name="Jours" dataDxfId="24"/>
    <tableColumn id="3" xr3:uid="{CF8D6041-3F72-483B-8849-3F57E819C943}" name="% de disponibilité dans la semaine" dataDxfId="23">
      <calculatedColumnFormula>B2/(NETWORKDAYS(A2, A2+6))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workbookViewId="0">
      <selection activeCell="B6" sqref="B6:B7"/>
    </sheetView>
  </sheetViews>
  <sheetFormatPr baseColWidth="10" defaultColWidth="8.88671875" defaultRowHeight="14.4" x14ac:dyDescent="0.3"/>
  <cols>
    <col min="1" max="1" width="45.5546875" customWidth="1"/>
    <col min="2" max="2" width="27.6640625" customWidth="1"/>
    <col min="3" max="3" width="18.33203125" customWidth="1"/>
    <col min="5" max="5" width="12.88671875" customWidth="1"/>
    <col min="6" max="6" width="10.88671875" customWidth="1"/>
    <col min="7" max="7" width="9.5546875" customWidth="1"/>
    <col min="8" max="8" width="13.109375" customWidth="1"/>
    <col min="9" max="9" width="11.5546875" customWidth="1"/>
    <col min="11" max="11" width="12.44140625" customWidth="1"/>
    <col min="12" max="12" width="13.5546875" customWidth="1"/>
  </cols>
  <sheetData>
    <row r="1" spans="1:12" ht="51" customHeight="1" x14ac:dyDescent="0.3">
      <c r="A1" s="1" t="s">
        <v>0</v>
      </c>
      <c r="B1" s="2" t="s">
        <v>1</v>
      </c>
      <c r="D1" s="43" t="s">
        <v>2</v>
      </c>
      <c r="E1" s="44"/>
      <c r="F1" s="44"/>
      <c r="G1" s="26" t="s">
        <v>3</v>
      </c>
      <c r="H1" s="27"/>
      <c r="I1" s="27"/>
      <c r="J1" s="26" t="s">
        <v>4</v>
      </c>
      <c r="K1" s="27"/>
      <c r="L1" s="28"/>
    </row>
    <row r="2" spans="1:12" x14ac:dyDescent="0.3">
      <c r="A2" s="29" t="s">
        <v>5</v>
      </c>
      <c r="B2" s="30"/>
      <c r="C2" s="7" t="s">
        <v>6</v>
      </c>
      <c r="D2" s="6">
        <v>0.1</v>
      </c>
      <c r="E2" s="5" t="s">
        <v>7</v>
      </c>
      <c r="F2" s="5" t="s">
        <v>8</v>
      </c>
      <c r="G2" s="6">
        <v>0.8</v>
      </c>
      <c r="H2" s="5" t="s">
        <v>9</v>
      </c>
      <c r="I2" s="5" t="s">
        <v>10</v>
      </c>
      <c r="J2" s="6">
        <v>0.1</v>
      </c>
      <c r="K2" s="5" t="s">
        <v>11</v>
      </c>
      <c r="L2" s="5" t="s">
        <v>10</v>
      </c>
    </row>
    <row r="3" spans="1:12" x14ac:dyDescent="0.3">
      <c r="A3" t="s">
        <v>12</v>
      </c>
      <c r="B3" s="42" t="s">
        <v>13</v>
      </c>
      <c r="G3" s="30" t="s">
        <v>5</v>
      </c>
      <c r="H3" s="30"/>
      <c r="I3" s="30"/>
      <c r="J3" s="30"/>
      <c r="K3" s="30"/>
      <c r="L3" s="30"/>
    </row>
    <row r="4" spans="1:12" ht="13.5" customHeight="1" x14ac:dyDescent="0.3">
      <c r="A4" t="s">
        <v>14</v>
      </c>
      <c r="B4" s="42"/>
      <c r="G4" s="33" t="s">
        <v>15</v>
      </c>
      <c r="H4" s="34"/>
      <c r="I4" s="34"/>
      <c r="J4" s="33" t="s">
        <v>16</v>
      </c>
      <c r="K4" s="34"/>
      <c r="L4" s="39"/>
    </row>
    <row r="5" spans="1:12" x14ac:dyDescent="0.3">
      <c r="A5" t="s">
        <v>17</v>
      </c>
      <c r="B5" s="42"/>
      <c r="G5" s="35"/>
      <c r="H5" s="36"/>
      <c r="I5" s="36"/>
      <c r="J5" s="35"/>
      <c r="K5" s="36"/>
      <c r="L5" s="40"/>
    </row>
    <row r="6" spans="1:12" x14ac:dyDescent="0.3">
      <c r="A6" t="s">
        <v>18</v>
      </c>
      <c r="B6" s="42" t="s">
        <v>19</v>
      </c>
      <c r="G6" s="35"/>
      <c r="H6" s="36"/>
      <c r="I6" s="36"/>
      <c r="J6" s="35"/>
      <c r="K6" s="36"/>
      <c r="L6" s="40"/>
    </row>
    <row r="7" spans="1:12" x14ac:dyDescent="0.3">
      <c r="A7" t="s">
        <v>20</v>
      </c>
      <c r="B7" s="42"/>
      <c r="G7" s="35"/>
      <c r="H7" s="36"/>
      <c r="I7" s="36"/>
      <c r="J7" s="35"/>
      <c r="K7" s="36"/>
      <c r="L7" s="40"/>
    </row>
    <row r="8" spans="1:12" x14ac:dyDescent="0.3">
      <c r="A8" t="s">
        <v>21</v>
      </c>
      <c r="B8" s="9" t="s">
        <v>19</v>
      </c>
      <c r="G8" s="37"/>
      <c r="H8" s="38"/>
      <c r="I8" s="38"/>
      <c r="J8" s="37"/>
      <c r="K8" s="38"/>
      <c r="L8" s="41"/>
    </row>
    <row r="9" spans="1:12" x14ac:dyDescent="0.3">
      <c r="A9" s="30" t="s">
        <v>22</v>
      </c>
      <c r="B9" s="30"/>
      <c r="C9" s="7" t="s">
        <v>23</v>
      </c>
      <c r="G9" s="8"/>
      <c r="H9" s="8"/>
      <c r="I9" s="8"/>
      <c r="J9" s="8"/>
      <c r="K9" s="8"/>
      <c r="L9" s="8"/>
    </row>
    <row r="10" spans="1:12" x14ac:dyDescent="0.3">
      <c r="A10" s="11" t="s">
        <v>24</v>
      </c>
      <c r="B10" s="5" t="s">
        <v>25</v>
      </c>
      <c r="G10" s="8"/>
      <c r="H10" s="8"/>
      <c r="I10" s="8"/>
      <c r="J10" s="8"/>
      <c r="K10" s="8"/>
      <c r="L10" s="8"/>
    </row>
    <row r="11" spans="1:12" x14ac:dyDescent="0.3">
      <c r="A11" s="30" t="s">
        <v>26</v>
      </c>
      <c r="B11" s="30"/>
      <c r="C11" s="7"/>
      <c r="G11" s="8"/>
      <c r="H11" s="8"/>
      <c r="I11" s="8"/>
      <c r="J11" s="8"/>
      <c r="K11" s="8"/>
      <c r="L11" s="8"/>
    </row>
    <row r="12" spans="1:12" ht="28.8" x14ac:dyDescent="0.3">
      <c r="A12" s="13" t="s">
        <v>27</v>
      </c>
      <c r="B12" s="11"/>
      <c r="G12" s="8"/>
      <c r="H12" s="8"/>
      <c r="I12" s="8"/>
      <c r="J12" s="8"/>
      <c r="K12" s="8"/>
      <c r="L12" s="8"/>
    </row>
    <row r="13" spans="1:12" x14ac:dyDescent="0.3">
      <c r="A13" s="31" t="s">
        <v>28</v>
      </c>
      <c r="B13" s="32"/>
      <c r="C13" s="7"/>
    </row>
    <row r="14" spans="1:12" x14ac:dyDescent="0.3">
      <c r="A14" s="3" t="s">
        <v>29</v>
      </c>
      <c r="B14" s="5" t="s">
        <v>19</v>
      </c>
    </row>
    <row r="15" spans="1:12" x14ac:dyDescent="0.3">
      <c r="A15" s="3" t="s">
        <v>30</v>
      </c>
      <c r="B15" s="5" t="s">
        <v>31</v>
      </c>
    </row>
    <row r="16" spans="1:12" x14ac:dyDescent="0.3">
      <c r="A16" s="3" t="s">
        <v>32</v>
      </c>
      <c r="B16" s="5"/>
    </row>
    <row r="17" spans="1:3" x14ac:dyDescent="0.3">
      <c r="A17" s="4" t="s">
        <v>33</v>
      </c>
      <c r="B17" s="5" t="s">
        <v>34</v>
      </c>
    </row>
    <row r="18" spans="1:3" x14ac:dyDescent="0.3">
      <c r="A18" s="4" t="s">
        <v>35</v>
      </c>
      <c r="B18" s="5" t="s">
        <v>34</v>
      </c>
    </row>
    <row r="19" spans="1:3" x14ac:dyDescent="0.3">
      <c r="A19" s="4" t="s">
        <v>36</v>
      </c>
      <c r="B19" s="46" t="s">
        <v>34</v>
      </c>
    </row>
    <row r="20" spans="1:3" x14ac:dyDescent="0.3">
      <c r="A20" s="4" t="s">
        <v>37</v>
      </c>
      <c r="B20" s="46"/>
    </row>
    <row r="21" spans="1:3" x14ac:dyDescent="0.3">
      <c r="A21" s="4" t="s">
        <v>38</v>
      </c>
      <c r="B21" s="46"/>
    </row>
    <row r="22" spans="1:3" x14ac:dyDescent="0.3">
      <c r="A22" s="3" t="s">
        <v>39</v>
      </c>
      <c r="B22" s="5" t="s">
        <v>19</v>
      </c>
    </row>
    <row r="23" spans="1:3" x14ac:dyDescent="0.3">
      <c r="A23" s="32" t="s">
        <v>40</v>
      </c>
      <c r="B23" s="32"/>
      <c r="C23" s="7"/>
    </row>
    <row r="24" spans="1:3" x14ac:dyDescent="0.3">
      <c r="A24" s="10"/>
      <c r="B24" s="10" t="s">
        <v>41</v>
      </c>
    </row>
    <row r="25" spans="1:3" x14ac:dyDescent="0.3">
      <c r="A25" s="32" t="s">
        <v>42</v>
      </c>
      <c r="B25" s="32"/>
      <c r="C25" s="7"/>
    </row>
    <row r="26" spans="1:3" x14ac:dyDescent="0.3">
      <c r="A26" s="12"/>
      <c r="B26" s="12" t="s">
        <v>19</v>
      </c>
    </row>
    <row r="27" spans="1:3" x14ac:dyDescent="0.3">
      <c r="A27" s="32" t="s">
        <v>43</v>
      </c>
      <c r="B27" s="32"/>
      <c r="C27" s="7"/>
    </row>
    <row r="28" spans="1:3" x14ac:dyDescent="0.3">
      <c r="A28" s="45">
        <v>45289</v>
      </c>
      <c r="B28" s="45"/>
    </row>
  </sheetData>
  <mergeCells count="17">
    <mergeCell ref="A28:B28"/>
    <mergeCell ref="A9:B9"/>
    <mergeCell ref="A11:B11"/>
    <mergeCell ref="B19:B21"/>
    <mergeCell ref="A23:B23"/>
    <mergeCell ref="A25:B25"/>
    <mergeCell ref="A27:B27"/>
    <mergeCell ref="J1:L1"/>
    <mergeCell ref="A2:B2"/>
    <mergeCell ref="A13:B13"/>
    <mergeCell ref="G3:L3"/>
    <mergeCell ref="G4:I8"/>
    <mergeCell ref="J4:L8"/>
    <mergeCell ref="B3:B5"/>
    <mergeCell ref="B6:B7"/>
    <mergeCell ref="D1:F1"/>
    <mergeCell ref="G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86324-437E-4EBC-B227-76C46F37A667}">
  <dimension ref="A1:I16"/>
  <sheetViews>
    <sheetView zoomScale="55" zoomScaleNormal="55" workbookViewId="0">
      <selection activeCell="L12" sqref="L12"/>
    </sheetView>
  </sheetViews>
  <sheetFormatPr baseColWidth="10" defaultColWidth="8.88671875" defaultRowHeight="15" customHeight="1" x14ac:dyDescent="0.3"/>
  <cols>
    <col min="1" max="1" width="19.5546875" customWidth="1"/>
    <col min="2" max="2" width="18" customWidth="1"/>
    <col min="3" max="3" width="16.109375" customWidth="1"/>
    <col min="4" max="4" width="20.33203125" customWidth="1"/>
    <col min="5" max="5" width="25.33203125" customWidth="1"/>
    <col min="6" max="6" width="33.6640625" customWidth="1"/>
    <col min="7" max="7" width="33" customWidth="1"/>
    <col min="8" max="8" width="35.44140625" customWidth="1"/>
    <col min="9" max="9" width="35.6640625" customWidth="1"/>
  </cols>
  <sheetData>
    <row r="1" spans="1:9" ht="33" customHeight="1" x14ac:dyDescent="0.3">
      <c r="A1" s="8" t="s">
        <v>44</v>
      </c>
      <c r="B1" s="12" t="s">
        <v>45</v>
      </c>
      <c r="C1" s="12" t="s">
        <v>46</v>
      </c>
      <c r="D1" s="12" t="s">
        <v>47</v>
      </c>
      <c r="E1" s="12" t="s">
        <v>48</v>
      </c>
      <c r="F1" s="12" t="s">
        <v>49</v>
      </c>
      <c r="G1" s="12" t="s">
        <v>50</v>
      </c>
      <c r="H1" s="12" t="s">
        <v>51</v>
      </c>
      <c r="I1" s="12" t="s">
        <v>52</v>
      </c>
    </row>
    <row r="2" spans="1:9" ht="14.4" x14ac:dyDescent="0.3">
      <c r="A2" s="8" t="s">
        <v>53</v>
      </c>
      <c r="B2" s="15">
        <v>45289</v>
      </c>
      <c r="C2" s="15">
        <v>45289</v>
      </c>
      <c r="D2" s="15">
        <v>45307</v>
      </c>
      <c r="E2" s="12">
        <f t="shared" ref="E2:E12" si="0">DATEDIF(B2,C2, "D")+1</f>
        <v>1</v>
      </c>
      <c r="F2" s="12">
        <f t="shared" ref="F2:F12" si="1">NETWORKDAYS(B2, C2, "0000011")</f>
        <v>1</v>
      </c>
      <c r="G2" s="12" t="s">
        <v>54</v>
      </c>
      <c r="H2" s="12" t="str">
        <f>_xlfn.CONCAT("1 (", ROUND(1/$F2,4)*100,"%)")</f>
        <v>1 (100%)</v>
      </c>
      <c r="I2" s="12" t="str">
        <f>_xlfn.CONCAT("1 (", ROUND(1/$F2,4)*100,"%)")</f>
        <v>1 (100%)</v>
      </c>
    </row>
    <row r="3" spans="1:9" ht="14.4" x14ac:dyDescent="0.3">
      <c r="A3" s="8" t="s">
        <v>55</v>
      </c>
      <c r="B3" s="15">
        <v>45282</v>
      </c>
      <c r="C3" s="15">
        <v>45288</v>
      </c>
      <c r="D3" s="15">
        <v>45303</v>
      </c>
      <c r="E3" s="12">
        <f t="shared" si="0"/>
        <v>7</v>
      </c>
      <c r="F3" s="12">
        <f t="shared" si="1"/>
        <v>5</v>
      </c>
      <c r="G3" s="12" t="s">
        <v>56</v>
      </c>
      <c r="H3" s="12"/>
      <c r="I3" s="12" t="str">
        <f>_xlfn.CONCAT("3 (", ROUND(3/$F3,4)*100,"%)")</f>
        <v>3 (60%)</v>
      </c>
    </row>
    <row r="4" spans="1:9" ht="14.4" x14ac:dyDescent="0.3">
      <c r="A4" s="8" t="s">
        <v>57</v>
      </c>
      <c r="B4" s="15">
        <v>45278</v>
      </c>
      <c r="C4" s="15">
        <v>45284</v>
      </c>
      <c r="D4" s="15">
        <v>45295</v>
      </c>
      <c r="E4" s="12">
        <f t="shared" si="0"/>
        <v>7</v>
      </c>
      <c r="F4" s="12">
        <f t="shared" si="1"/>
        <v>5</v>
      </c>
      <c r="G4" s="12" t="s">
        <v>54</v>
      </c>
      <c r="H4" s="12"/>
      <c r="I4" s="12" t="str">
        <f>_xlfn.CONCAT("0 (", ROUND(0/$F4,4)*100,"%)")</f>
        <v>0 (0%)</v>
      </c>
    </row>
    <row r="5" spans="1:9" ht="28.8" x14ac:dyDescent="0.3">
      <c r="A5" s="8" t="s">
        <v>58</v>
      </c>
      <c r="B5" s="15">
        <v>45260</v>
      </c>
      <c r="C5" s="15">
        <v>45281</v>
      </c>
      <c r="D5" s="15">
        <v>45288</v>
      </c>
      <c r="E5" s="12">
        <f t="shared" si="0"/>
        <v>22</v>
      </c>
      <c r="F5" s="12">
        <f t="shared" si="1"/>
        <v>16</v>
      </c>
      <c r="G5" s="12" t="s">
        <v>56</v>
      </c>
      <c r="H5" s="12"/>
      <c r="I5" s="12" t="str">
        <f>_xlfn.CONCAT("8 (", ROUND(8/$F5,4)*100,"%)")</f>
        <v>8 (50%)</v>
      </c>
    </row>
    <row r="6" spans="1:9" ht="30.75" customHeight="1" x14ac:dyDescent="0.3">
      <c r="A6" s="8" t="s">
        <v>59</v>
      </c>
      <c r="B6" s="15">
        <v>45260</v>
      </c>
      <c r="C6" s="15">
        <v>45281</v>
      </c>
      <c r="D6" s="15">
        <v>45288</v>
      </c>
      <c r="E6" s="12">
        <f t="shared" si="0"/>
        <v>22</v>
      </c>
      <c r="F6" s="12">
        <f t="shared" si="1"/>
        <v>16</v>
      </c>
      <c r="G6" s="12" t="s">
        <v>56</v>
      </c>
      <c r="H6" s="12"/>
      <c r="I6" s="12" t="str">
        <f>_xlfn.CONCAT("8 (", ROUND(8/$F6,4)*100,"%)")</f>
        <v>8 (50%)</v>
      </c>
    </row>
    <row r="7" spans="1:9" ht="28.8" x14ac:dyDescent="0.3">
      <c r="A7" s="8" t="s">
        <v>60</v>
      </c>
      <c r="B7" s="15">
        <v>45259</v>
      </c>
      <c r="C7" s="15">
        <v>45259</v>
      </c>
      <c r="D7" s="15"/>
      <c r="E7" s="12">
        <f t="shared" si="0"/>
        <v>1</v>
      </c>
      <c r="F7" s="12">
        <f t="shared" si="1"/>
        <v>1</v>
      </c>
      <c r="G7" s="12" t="s">
        <v>56</v>
      </c>
      <c r="H7" s="12"/>
      <c r="I7" s="12" t="str">
        <f>_xlfn.CONCAT("0 (", ROUND(0/$F7,4)*100,"%)")</f>
        <v>0 (0%)</v>
      </c>
    </row>
    <row r="8" spans="1:9" ht="14.4" x14ac:dyDescent="0.3">
      <c r="A8" s="8" t="s">
        <v>61</v>
      </c>
      <c r="B8" s="15">
        <v>45258</v>
      </c>
      <c r="C8" s="15">
        <v>45259</v>
      </c>
      <c r="D8" s="15">
        <v>45264</v>
      </c>
      <c r="E8" s="12">
        <f t="shared" si="0"/>
        <v>2</v>
      </c>
      <c r="F8" s="12">
        <f t="shared" si="1"/>
        <v>2</v>
      </c>
      <c r="G8" s="12" t="s">
        <v>54</v>
      </c>
      <c r="H8" s="12"/>
      <c r="I8" s="12" t="str">
        <f>_xlfn.CONCAT("0 (", ROUND(0/$F8,4)*100,"%)")</f>
        <v>0 (0%)</v>
      </c>
    </row>
    <row r="9" spans="1:9" ht="28.8" x14ac:dyDescent="0.3">
      <c r="A9" s="8" t="s">
        <v>62</v>
      </c>
      <c r="B9" s="15">
        <v>45257</v>
      </c>
      <c r="C9" s="15">
        <v>45257</v>
      </c>
      <c r="D9" s="15">
        <v>45264</v>
      </c>
      <c r="E9" s="12">
        <f t="shared" si="0"/>
        <v>1</v>
      </c>
      <c r="F9" s="12">
        <f t="shared" si="1"/>
        <v>1</v>
      </c>
      <c r="G9" s="12" t="s">
        <v>63</v>
      </c>
      <c r="H9" s="12"/>
      <c r="I9" s="12" t="str">
        <f>_xlfn.CONCAT("0 (", ROUND(0/$F9,4)*100,"%)")</f>
        <v>0 (0%)</v>
      </c>
    </row>
    <row r="10" spans="1:9" ht="37.5" customHeight="1" x14ac:dyDescent="0.3">
      <c r="A10" s="8" t="s">
        <v>64</v>
      </c>
      <c r="B10" s="15">
        <v>45230</v>
      </c>
      <c r="C10" s="15">
        <v>45254</v>
      </c>
      <c r="D10" s="15"/>
      <c r="E10" s="12">
        <f t="shared" si="0"/>
        <v>25</v>
      </c>
      <c r="F10" s="12">
        <f t="shared" si="1"/>
        <v>19</v>
      </c>
      <c r="G10" s="12" t="s">
        <v>56</v>
      </c>
      <c r="H10" s="12"/>
      <c r="I10" s="12" t="str">
        <f>_xlfn.CONCAT("11 (", ROUND(11/$F10,4)*100,"%)")</f>
        <v>11 (57,89%)</v>
      </c>
    </row>
    <row r="11" spans="1:9" ht="28.8" x14ac:dyDescent="0.3">
      <c r="A11" s="8" t="s">
        <v>5</v>
      </c>
      <c r="B11" s="15">
        <v>45230</v>
      </c>
      <c r="C11" s="15">
        <v>45252</v>
      </c>
      <c r="D11" s="15"/>
      <c r="E11" s="12">
        <f t="shared" si="0"/>
        <v>23</v>
      </c>
      <c r="F11" s="12">
        <f t="shared" si="1"/>
        <v>17</v>
      </c>
      <c r="G11" s="12" t="s">
        <v>56</v>
      </c>
      <c r="H11" s="12"/>
      <c r="I11" s="12" t="str">
        <f>_xlfn.CONCAT("11 (", ROUND(11/$F11,4)*100,"%)")</f>
        <v>11 (64,71%)</v>
      </c>
    </row>
    <row r="12" spans="1:9" ht="14.4" x14ac:dyDescent="0.3">
      <c r="A12" s="8" t="s">
        <v>65</v>
      </c>
      <c r="B12" s="15">
        <v>45230</v>
      </c>
      <c r="C12" s="15">
        <v>45230</v>
      </c>
      <c r="D12" s="15"/>
      <c r="E12" s="12">
        <f t="shared" si="0"/>
        <v>1</v>
      </c>
      <c r="F12" s="12">
        <f t="shared" si="1"/>
        <v>1</v>
      </c>
      <c r="G12" s="12" t="s">
        <v>66</v>
      </c>
      <c r="H12" s="12" t="str">
        <f>_xlfn.CONCAT("1 (", ROUND(1/$F12,4)*100,"%)")</f>
        <v>1 (100%)</v>
      </c>
      <c r="I12" s="12" t="str">
        <f>_xlfn.CONCAT("1 (", ROUND(1/$F12,4)*100,"%)")</f>
        <v>1 (100%)</v>
      </c>
    </row>
    <row r="14" spans="1:9" ht="14.4" x14ac:dyDescent="0.3">
      <c r="A14" s="14" t="s">
        <v>67</v>
      </c>
    </row>
    <row r="15" spans="1:9" ht="86.4" x14ac:dyDescent="0.3">
      <c r="A15" s="14" t="s">
        <v>68</v>
      </c>
    </row>
    <row r="16" spans="1:9" ht="15" customHeight="1" x14ac:dyDescent="0.3">
      <c r="A16" t="s">
        <v>69</v>
      </c>
    </row>
  </sheetData>
  <phoneticPr fontId="5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A709E-3247-40E1-BDE9-03068B932DB0}">
  <dimension ref="A1:U53"/>
  <sheetViews>
    <sheetView tabSelected="1" topLeftCell="A32" zoomScale="85" zoomScaleNormal="85" workbookViewId="0">
      <selection activeCell="G42" sqref="G42"/>
    </sheetView>
  </sheetViews>
  <sheetFormatPr baseColWidth="10" defaultColWidth="14.109375" defaultRowHeight="14.4" x14ac:dyDescent="0.3"/>
  <cols>
    <col min="1" max="1" width="41.77734375" style="17" customWidth="1"/>
    <col min="2" max="2" width="14.109375" style="8"/>
    <col min="3" max="3" width="14.109375" style="16"/>
    <col min="4" max="4" width="14.109375" style="8"/>
    <col min="5" max="5" width="19.33203125" style="8" customWidth="1"/>
    <col min="6" max="6" width="18.77734375" style="8" customWidth="1"/>
    <col min="7" max="7" width="14.109375" style="8"/>
    <col min="8" max="8" width="37.33203125" style="8" customWidth="1"/>
    <col min="9" max="9" width="14.109375" style="16"/>
    <col min="10" max="14" width="14.109375" style="8"/>
    <col min="15" max="15" width="6.109375" style="8" customWidth="1"/>
    <col min="16" max="16" width="23" style="8" customWidth="1"/>
    <col min="17" max="16384" width="14.109375" style="8"/>
  </cols>
  <sheetData>
    <row r="1" spans="1:21" ht="29.4" thickBot="1" x14ac:dyDescent="0.35">
      <c r="A1" s="17" t="s">
        <v>89</v>
      </c>
      <c r="B1" s="8" t="s">
        <v>72</v>
      </c>
      <c r="C1" s="8" t="s">
        <v>87</v>
      </c>
      <c r="D1" s="8" t="s">
        <v>74</v>
      </c>
      <c r="E1" s="16" t="s">
        <v>73</v>
      </c>
      <c r="F1" s="8" t="s">
        <v>86</v>
      </c>
      <c r="H1" s="17" t="s">
        <v>90</v>
      </c>
      <c r="I1" s="8" t="s">
        <v>72</v>
      </c>
      <c r="J1" s="8" t="s">
        <v>87</v>
      </c>
      <c r="K1" s="8" t="s">
        <v>74</v>
      </c>
      <c r="L1" s="16" t="s">
        <v>73</v>
      </c>
      <c r="M1" s="8" t="s">
        <v>86</v>
      </c>
      <c r="P1" s="17" t="s">
        <v>77</v>
      </c>
      <c r="Q1" s="8" t="s">
        <v>72</v>
      </c>
      <c r="R1" s="8" t="s">
        <v>70</v>
      </c>
      <c r="S1" s="19" t="s">
        <v>74</v>
      </c>
      <c r="T1" s="16" t="s">
        <v>73</v>
      </c>
      <c r="U1" s="8" t="s">
        <v>86</v>
      </c>
    </row>
    <row r="2" spans="1:21" ht="29.4" thickTop="1" x14ac:dyDescent="0.3">
      <c r="A2" s="17" t="s">
        <v>88</v>
      </c>
      <c r="B2" s="8">
        <v>1</v>
      </c>
      <c r="C2" s="8">
        <v>0</v>
      </c>
      <c r="D2" s="8">
        <f t="shared" ref="D2:D4" si="0">MAX(0, $B2-($B2*$E2))</f>
        <v>1</v>
      </c>
      <c r="E2" s="16">
        <f>MAX(0, Tableau6[[#This Row],[Charge terminée]]/Tableau6[[#This Row],[Charge estimée]])</f>
        <v>0</v>
      </c>
      <c r="F2" s="8">
        <f>MAX(0, SUM($D$2:D2))</f>
        <v>1</v>
      </c>
      <c r="H2" s="25" t="s">
        <v>91</v>
      </c>
      <c r="I2" s="21">
        <v>2</v>
      </c>
      <c r="J2" s="8">
        <v>0</v>
      </c>
      <c r="K2" s="8">
        <f t="shared" ref="K2:K3" si="1">MAX(0, $I2-$J2)</f>
        <v>2</v>
      </c>
      <c r="L2" s="22">
        <f>MAX(0, Tableau2[[#This Row],[Charge terminée]]/Tableau2[[#This Row],[Charge estimée]])</f>
        <v>0</v>
      </c>
      <c r="M2" s="8">
        <f>MAX(0, SUM($K$2:K2))</f>
        <v>2</v>
      </c>
      <c r="P2" s="17" t="s">
        <v>78</v>
      </c>
      <c r="Q2" s="8">
        <v>5</v>
      </c>
      <c r="R2" s="8">
        <v>0</v>
      </c>
      <c r="S2" s="8">
        <f>MAX(0, $Q2-($Q2*$T2))</f>
        <v>5</v>
      </c>
      <c r="T2" s="16">
        <f>MAX(0, Tableau5[[#This Row],[Charge consommée]]/Tableau5[[#This Row],[Charge estimée]])</f>
        <v>0</v>
      </c>
      <c r="U2" s="8">
        <f>MAX(0, SUM(S2:S2))</f>
        <v>5</v>
      </c>
    </row>
    <row r="3" spans="1:21" ht="33.75" customHeight="1" x14ac:dyDescent="0.3">
      <c r="A3" s="17" t="s">
        <v>94</v>
      </c>
      <c r="B3" s="8">
        <v>3</v>
      </c>
      <c r="C3" s="8">
        <v>0</v>
      </c>
      <c r="D3" s="8">
        <f t="shared" si="0"/>
        <v>3</v>
      </c>
      <c r="E3" s="16">
        <f>MAX(0, Tableau6[[#This Row],[Charge terminée]]/Tableau6[[#This Row],[Charge estimée]])</f>
        <v>0</v>
      </c>
      <c r="F3" s="8">
        <f>MAX(0, SUM($D$2:D3))</f>
        <v>4</v>
      </c>
      <c r="H3" s="25" t="s">
        <v>96</v>
      </c>
      <c r="I3" s="21">
        <v>3</v>
      </c>
      <c r="J3" s="8">
        <v>0</v>
      </c>
      <c r="K3" s="8">
        <f t="shared" si="1"/>
        <v>3</v>
      </c>
      <c r="L3" s="22">
        <f>MAX(0, Tableau2[[#This Row],[Charge terminée]]/Tableau2[[#This Row],[Charge estimée]])</f>
        <v>0</v>
      </c>
      <c r="M3" s="8">
        <f>MAX(0, SUM($K$2:K3))</f>
        <v>5</v>
      </c>
    </row>
    <row r="4" spans="1:21" ht="29.25" customHeight="1" x14ac:dyDescent="0.3">
      <c r="A4" s="17" t="s">
        <v>95</v>
      </c>
      <c r="B4" s="8">
        <v>3</v>
      </c>
      <c r="C4" s="8">
        <v>0</v>
      </c>
      <c r="D4" s="8">
        <f t="shared" si="0"/>
        <v>3</v>
      </c>
      <c r="E4" s="16">
        <f>MAX(0, Tableau6[[#This Row],[Charge terminée]]/Tableau6[[#This Row],[Charge estimée]])</f>
        <v>0</v>
      </c>
      <c r="F4" s="8">
        <f>MAX(0, SUM($D$2:D4))</f>
        <v>7</v>
      </c>
    </row>
    <row r="5" spans="1:21" x14ac:dyDescent="0.3">
      <c r="I5" s="8"/>
      <c r="J5" s="16"/>
    </row>
    <row r="6" spans="1:21" ht="30.75" customHeight="1" x14ac:dyDescent="0.3"/>
    <row r="9" spans="1:21" x14ac:dyDescent="0.3">
      <c r="I9" s="8"/>
      <c r="J9" s="16"/>
    </row>
    <row r="10" spans="1:21" x14ac:dyDescent="0.3">
      <c r="I10" s="8"/>
      <c r="K10" s="16"/>
    </row>
    <row r="11" spans="1:21" ht="15" thickBot="1" x14ac:dyDescent="0.35">
      <c r="G11" s="19"/>
      <c r="H11" s="23"/>
      <c r="I11" s="8"/>
      <c r="J11" s="16"/>
    </row>
    <row r="12" spans="1:21" ht="15" thickTop="1" x14ac:dyDescent="0.3">
      <c r="H12" s="23"/>
      <c r="I12" s="8"/>
      <c r="J12" s="16"/>
    </row>
    <row r="16" spans="1:21" x14ac:dyDescent="0.3">
      <c r="I16" s="8"/>
      <c r="K16" s="16"/>
    </row>
    <row r="17" spans="1:11" x14ac:dyDescent="0.3">
      <c r="I17" s="8"/>
      <c r="K17" s="16"/>
    </row>
    <row r="18" spans="1:11" x14ac:dyDescent="0.3">
      <c r="I18" s="8"/>
      <c r="K18" s="16"/>
    </row>
    <row r="19" spans="1:11" x14ac:dyDescent="0.3">
      <c r="I19" s="8"/>
      <c r="K19" s="16"/>
    </row>
    <row r="20" spans="1:11" ht="29.4" thickBot="1" x14ac:dyDescent="0.35">
      <c r="A20" s="17" t="s">
        <v>71</v>
      </c>
      <c r="B20" s="8" t="s">
        <v>72</v>
      </c>
      <c r="C20" s="20" t="s">
        <v>87</v>
      </c>
      <c r="D20" s="8" t="s">
        <v>74</v>
      </c>
      <c r="E20" s="20" t="s">
        <v>73</v>
      </c>
      <c r="H20" s="16"/>
      <c r="I20" s="8"/>
    </row>
    <row r="21" spans="1:11" ht="15" thickTop="1" x14ac:dyDescent="0.3">
      <c r="A21" s="17" t="s">
        <v>75</v>
      </c>
      <c r="B21" s="8">
        <f>SUM(Tableau2[Charge estimée])</f>
        <v>5</v>
      </c>
      <c r="C21" s="8">
        <f>SUM(Tableau2[Charge terminée])</f>
        <v>0</v>
      </c>
      <c r="D21" s="8">
        <f>MAX(0,SUM(Tableau2[Reste à faire]))</f>
        <v>5</v>
      </c>
      <c r="E21" s="16">
        <f>MAX(0, AVERAGE(Tableau2[% effectué]))</f>
        <v>0</v>
      </c>
      <c r="H21" s="16"/>
      <c r="I21" s="8"/>
    </row>
    <row r="22" spans="1:11" ht="15" thickBot="1" x14ac:dyDescent="0.35">
      <c r="A22" s="17" t="s">
        <v>76</v>
      </c>
      <c r="B22" s="8">
        <f>SUM(Tableau6[Charge estimée])</f>
        <v>7</v>
      </c>
      <c r="C22" s="8">
        <f>SUM(Tableau6[Charge terminée])</f>
        <v>0</v>
      </c>
      <c r="D22" s="8">
        <f>MAX(0,SUM(Tableau6[Reste à faire]))</f>
        <v>7</v>
      </c>
      <c r="E22" s="16">
        <f>MAX(0, AVERAGE(Tableau6[% effectué]))</f>
        <v>0</v>
      </c>
      <c r="F22" s="19"/>
    </row>
    <row r="23" spans="1:11" ht="15" thickTop="1" x14ac:dyDescent="0.3">
      <c r="A23" s="17" t="s">
        <v>57</v>
      </c>
      <c r="B23" s="8">
        <f>SUM(Tableau5[Charge estimée])</f>
        <v>5</v>
      </c>
      <c r="C23" s="8">
        <f>SUM(Tableau5[Charge consommée])</f>
        <v>0</v>
      </c>
      <c r="D23" s="8">
        <f>MAX(0,SUM(Tableau5[Reste à faire]))</f>
        <v>5</v>
      </c>
      <c r="E23" s="16">
        <f>MAX(0, AVERAGE(Tableau5[% effectué]))</f>
        <v>0</v>
      </c>
    </row>
    <row r="36" spans="1:10" ht="29.4" thickBot="1" x14ac:dyDescent="0.35">
      <c r="A36" s="17" t="s">
        <v>1</v>
      </c>
      <c r="B36" s="8" t="s">
        <v>83</v>
      </c>
      <c r="C36" s="20" t="s">
        <v>87</v>
      </c>
      <c r="D36" s="16" t="s">
        <v>85</v>
      </c>
      <c r="E36" s="8" t="s">
        <v>84</v>
      </c>
    </row>
    <row r="37" spans="1:10" ht="15" thickTop="1" x14ac:dyDescent="0.3">
      <c r="A37" s="24" t="s">
        <v>92</v>
      </c>
      <c r="B37" s="8">
        <v>17</v>
      </c>
      <c r="C37" s="8">
        <v>0</v>
      </c>
      <c r="D37" s="8">
        <f>MAX(0, Tableau8[[#This Row],[Charge totale estimée]]-Tableau8[[#This Row],[Charge terminée]])</f>
        <v>17</v>
      </c>
      <c r="E37" s="8">
        <f>MAX(0, Tableau8[[#This Row],[Charge terminée]]/Tableau8[[#This Row],[Charge totale estimée]])</f>
        <v>0</v>
      </c>
    </row>
    <row r="38" spans="1:10" x14ac:dyDescent="0.3">
      <c r="A38" s="24" t="s">
        <v>93</v>
      </c>
      <c r="B38" s="8">
        <f>SUM(Tableau55[Charge estimée])</f>
        <v>17</v>
      </c>
      <c r="C38" s="8">
        <f>SUM(Tableau55[Charge terminée])</f>
        <v>0</v>
      </c>
      <c r="D38" s="8">
        <f>MAX(0, ROUNDUP(SUM(Tableau55[Reste à faire]), 0))</f>
        <v>17</v>
      </c>
      <c r="E38" s="16">
        <f>MAX(0, AVERAGE(Tableau55[% effectué]))</f>
        <v>0</v>
      </c>
    </row>
    <row r="44" spans="1:10" x14ac:dyDescent="0.3">
      <c r="I44" s="8"/>
      <c r="J44" s="16"/>
    </row>
    <row r="45" spans="1:10" x14ac:dyDescent="0.3">
      <c r="I45" s="8"/>
      <c r="J45" s="16"/>
    </row>
    <row r="46" spans="1:10" x14ac:dyDescent="0.3">
      <c r="I46" s="8"/>
      <c r="J46" s="16"/>
    </row>
    <row r="47" spans="1:10" x14ac:dyDescent="0.3">
      <c r="I47" s="8"/>
      <c r="J47" s="16"/>
    </row>
    <row r="51" spans="9:10" x14ac:dyDescent="0.3">
      <c r="I51" s="8"/>
      <c r="J51" s="16"/>
    </row>
    <row r="52" spans="9:10" x14ac:dyDescent="0.3">
      <c r="I52" s="8"/>
      <c r="J52" s="16"/>
    </row>
    <row r="53" spans="9:10" x14ac:dyDescent="0.3">
      <c r="I53" s="8"/>
      <c r="J53" s="16"/>
    </row>
  </sheetData>
  <conditionalFormatting sqref="B38">
    <cfRule type="cellIs" dxfId="12" priority="5" operator="greaterThan">
      <formula>$C$37</formula>
    </cfRule>
    <cfRule type="cellIs" dxfId="13" priority="10" operator="lessThan">
      <formula>$C$37</formula>
    </cfRule>
    <cfRule type="cellIs" dxfId="11" priority="1" operator="equal">
      <formula>$B$37</formula>
    </cfRule>
  </conditionalFormatting>
  <conditionalFormatting sqref="C38">
    <cfRule type="cellIs" dxfId="22" priority="2" operator="lessThan">
      <formula>C37</formula>
    </cfRule>
    <cfRule type="cellIs" dxfId="21" priority="3" operator="greaterThan">
      <formula>C37</formula>
    </cfRule>
    <cfRule type="cellIs" dxfId="20" priority="4" operator="equal">
      <formula>C37</formula>
    </cfRule>
  </conditionalFormatting>
  <conditionalFormatting sqref="D38">
    <cfRule type="cellIs" dxfId="19" priority="7" operator="greaterThan">
      <formula>D37</formula>
    </cfRule>
    <cfRule type="cellIs" dxfId="18" priority="9" operator="equal">
      <formula>D37</formula>
    </cfRule>
    <cfRule type="cellIs" dxfId="17" priority="12" operator="lessThan">
      <formula>D37</formula>
    </cfRule>
  </conditionalFormatting>
  <conditionalFormatting sqref="E38">
    <cfRule type="cellIs" dxfId="16" priority="6" operator="lessThan">
      <formula>E37</formula>
    </cfRule>
    <cfRule type="cellIs" dxfId="15" priority="8" operator="equal">
      <formula>E37</formula>
    </cfRule>
    <cfRule type="cellIs" dxfId="14" priority="11" operator="greaterThan">
      <formula>E37</formula>
    </cfRule>
  </conditionalFormatting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8DF51-A65E-46BF-AD2D-1E1284840E96}">
  <dimension ref="A1:G9"/>
  <sheetViews>
    <sheetView topLeftCell="C1" zoomScale="160" zoomScaleNormal="160" workbookViewId="0">
      <selection activeCell="H11" sqref="H11"/>
    </sheetView>
  </sheetViews>
  <sheetFormatPr baseColWidth="10" defaultColWidth="8.88671875" defaultRowHeight="14.4" x14ac:dyDescent="0.3"/>
  <cols>
    <col min="1" max="1" width="15.33203125" style="8" customWidth="1"/>
    <col min="2" max="2" width="9.33203125" style="8" customWidth="1"/>
    <col min="3" max="3" width="19.109375" style="16" customWidth="1"/>
    <col min="4" max="4" width="8.88671875" style="8"/>
    <col min="5" max="5" width="14" style="8" customWidth="1"/>
    <col min="6" max="6" width="8.88671875" style="8"/>
    <col min="7" max="7" width="17.6640625" style="8" customWidth="1"/>
    <col min="8" max="8" width="14.44140625" style="8" customWidth="1"/>
    <col min="9" max="16384" width="8.88671875" style="8"/>
  </cols>
  <sheetData>
    <row r="1" spans="1:7" ht="28.8" x14ac:dyDescent="0.3">
      <c r="A1" s="8" t="s">
        <v>79</v>
      </c>
      <c r="B1" s="8" t="s">
        <v>80</v>
      </c>
      <c r="C1" s="16" t="s">
        <v>81</v>
      </c>
      <c r="E1" s="8" t="s">
        <v>82</v>
      </c>
      <c r="F1" s="8" t="s">
        <v>80</v>
      </c>
      <c r="G1" s="16" t="s">
        <v>81</v>
      </c>
    </row>
    <row r="2" spans="1:7" x14ac:dyDescent="0.3">
      <c r="A2" s="18">
        <v>45313</v>
      </c>
      <c r="B2" s="8">
        <v>4</v>
      </c>
      <c r="C2" s="16">
        <f>B2/(NETWORKDAYS(A2, A2+6))</f>
        <v>0.8</v>
      </c>
      <c r="E2" s="18">
        <v>45313</v>
      </c>
      <c r="F2" s="8">
        <v>4</v>
      </c>
      <c r="G2" s="16">
        <f>F2/(NETWORKDAYS(E2, E2+6))</f>
        <v>0.8</v>
      </c>
    </row>
    <row r="3" spans="1:7" x14ac:dyDescent="0.3">
      <c r="A3" s="18">
        <v>45320</v>
      </c>
      <c r="B3" s="8">
        <v>5</v>
      </c>
      <c r="C3" s="16">
        <f t="shared" ref="C3:C9" si="0">B3/(NETWORKDAYS(A3, A3+6))</f>
        <v>1</v>
      </c>
      <c r="E3" s="18">
        <v>45320</v>
      </c>
      <c r="F3" s="8">
        <v>0</v>
      </c>
      <c r="G3" s="16">
        <f t="shared" ref="G3:G7" si="1">F3/(NETWORKDAYS(E3, E3+6))</f>
        <v>0</v>
      </c>
    </row>
    <row r="4" spans="1:7" x14ac:dyDescent="0.3">
      <c r="A4" s="18">
        <v>45327</v>
      </c>
      <c r="B4" s="8">
        <v>0</v>
      </c>
      <c r="C4" s="16">
        <f t="shared" si="0"/>
        <v>0</v>
      </c>
      <c r="E4" s="18">
        <v>45327</v>
      </c>
      <c r="F4" s="8">
        <v>5</v>
      </c>
      <c r="G4" s="16">
        <f t="shared" si="1"/>
        <v>1</v>
      </c>
    </row>
    <row r="5" spans="1:7" x14ac:dyDescent="0.3">
      <c r="A5" s="18">
        <v>45334</v>
      </c>
      <c r="B5" s="8">
        <v>4</v>
      </c>
      <c r="C5" s="16">
        <f t="shared" si="0"/>
        <v>0.8</v>
      </c>
      <c r="E5" s="18">
        <v>45334</v>
      </c>
      <c r="F5" s="8">
        <v>4</v>
      </c>
      <c r="G5" s="16">
        <f t="shared" si="1"/>
        <v>0.8</v>
      </c>
    </row>
    <row r="6" spans="1:7" x14ac:dyDescent="0.3">
      <c r="A6" s="18">
        <v>45341</v>
      </c>
      <c r="B6" s="8">
        <v>5</v>
      </c>
      <c r="C6" s="16">
        <f t="shared" si="0"/>
        <v>1</v>
      </c>
      <c r="E6" s="18">
        <v>45341</v>
      </c>
      <c r="F6" s="8">
        <v>0</v>
      </c>
      <c r="G6" s="16">
        <f t="shared" si="1"/>
        <v>0</v>
      </c>
    </row>
    <row r="7" spans="1:7" x14ac:dyDescent="0.3">
      <c r="A7" s="18">
        <v>45348</v>
      </c>
      <c r="B7" s="8">
        <v>0</v>
      </c>
      <c r="C7" s="16">
        <f t="shared" si="0"/>
        <v>0</v>
      </c>
      <c r="E7" s="18">
        <v>45348</v>
      </c>
      <c r="F7" s="8">
        <v>3</v>
      </c>
      <c r="G7" s="16">
        <f t="shared" si="1"/>
        <v>0.6</v>
      </c>
    </row>
    <row r="8" spans="1:7" x14ac:dyDescent="0.3">
      <c r="A8" s="18">
        <v>45355</v>
      </c>
      <c r="B8" s="8">
        <v>0</v>
      </c>
      <c r="C8" s="16">
        <f t="shared" si="0"/>
        <v>0</v>
      </c>
      <c r="E8" s="18">
        <v>45355</v>
      </c>
      <c r="F8" s="8">
        <v>5</v>
      </c>
      <c r="G8" s="16">
        <f t="shared" ref="G8:G9" si="2">F8/(NETWORKDAYS(E8, E8+6))</f>
        <v>1</v>
      </c>
    </row>
    <row r="9" spans="1:7" x14ac:dyDescent="0.3">
      <c r="A9" s="18">
        <v>45362</v>
      </c>
      <c r="B9" s="8">
        <v>5</v>
      </c>
      <c r="C9" s="16">
        <f t="shared" si="0"/>
        <v>1</v>
      </c>
      <c r="E9" s="18">
        <v>45362</v>
      </c>
      <c r="F9" s="8">
        <v>0</v>
      </c>
      <c r="G9" s="16">
        <f t="shared" si="2"/>
        <v>0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A0F089637E3442BF2A844266D68716" ma:contentTypeVersion="12" ma:contentTypeDescription="Crée un document." ma:contentTypeScope="" ma:versionID="f28170ee316fac3257731a9208559e9f">
  <xsd:schema xmlns:xsd="http://www.w3.org/2001/XMLSchema" xmlns:xs="http://www.w3.org/2001/XMLSchema" xmlns:p="http://schemas.microsoft.com/office/2006/metadata/properties" xmlns:ns2="f6a020cf-f4f2-428d-be97-b66963ff4d3a" xmlns:ns3="d356c4ed-543c-4062-8826-267ee253bc84" targetNamespace="http://schemas.microsoft.com/office/2006/metadata/properties" ma:root="true" ma:fieldsID="02522b0800d63e96027f6264903aaee9" ns2:_="" ns3:_="">
    <xsd:import namespace="f6a020cf-f4f2-428d-be97-b66963ff4d3a"/>
    <xsd:import namespace="d356c4ed-543c-4062-8826-267ee253bc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a020cf-f4f2-428d-be97-b66963ff4d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cdd53382-3e7f-4968-ad1c-c4c4e5c2df1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56c4ed-543c-4062-8826-267ee253bc84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171b89b-68ac-4da9-af9c-a8dc10a4de6a}" ma:internalName="TaxCatchAll" ma:showField="CatchAllData" ma:web="d356c4ed-543c-4062-8826-267ee253bc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356c4ed-543c-4062-8826-267ee253bc84" xsi:nil="true"/>
    <lcf76f155ced4ddcb4097134ff3c332f xmlns="f6a020cf-f4f2-428d-be97-b66963ff4d3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A98BCD-6B14-4C14-8296-5380F8FE45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a020cf-f4f2-428d-be97-b66963ff4d3a"/>
    <ds:schemaRef ds:uri="d356c4ed-543c-4062-8826-267ee253bc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16E8B18-4132-40EA-99BD-170A4DC9C84A}">
  <ds:schemaRefs>
    <ds:schemaRef ds:uri="http://schemas.microsoft.com/office/2006/metadata/properties"/>
    <ds:schemaRef ds:uri="http://schemas.microsoft.com/office/infopath/2007/PartnerControls"/>
    <ds:schemaRef ds:uri="d356c4ed-543c-4062-8826-267ee253bc84"/>
    <ds:schemaRef ds:uri="f6a020cf-f4f2-428d-be97-b66963ff4d3a"/>
  </ds:schemaRefs>
</ds:datastoreItem>
</file>

<file path=customXml/itemProps3.xml><?xml version="1.0" encoding="utf-8"?>
<ds:datastoreItem xmlns:ds="http://schemas.openxmlformats.org/officeDocument/2006/customXml" ds:itemID="{5C423872-C3D9-4BE5-A52F-733B85893D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aurélie</vt:lpstr>
      <vt:lpstr>V2</vt:lpstr>
      <vt:lpstr>Détails dev</vt:lpstr>
      <vt:lpstr>Calendrier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Travail</dc:creator>
  <cp:keywords/>
  <dc:description/>
  <cp:lastModifiedBy>Adrien SAVOIE</cp:lastModifiedBy>
  <cp:revision/>
  <dcterms:created xsi:type="dcterms:W3CDTF">2023-11-15T15:45:36Z</dcterms:created>
  <dcterms:modified xsi:type="dcterms:W3CDTF">2024-01-29T11:29:55Z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0x010100E6A0F089637E3442BF2A844266D68716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MediaServiceImageTags">
    <vt:lpwstr/>
  </property>
</Properties>
</file>